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DCDFA7BC-5669-48E6-8D47-96FF554D3DE8}" xr6:coauthVersionLast="47" xr6:coauthVersionMax="47" xr10:uidLastSave="{00000000-0000-0000-0000-000000000000}"/>
  <workbookProtection workbookAlgorithmName="SHA-512" workbookHashValue="YiGXsNT/o0mpsssahX1/a2AUELB8rvcxshs+xVWDUVO7jevlBwV4U39afKa8cEvyK1PNJtpLEUDB4s2nvLU2HQ==" workbookSaltValue="xFEYGW/xPtFt85CXFPvsM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Audit!$A$1:$BG$1736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Sheet'!$A$2:$Z$2933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Incentives!$B$2:$Q$479</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403" i="100" l="1"/>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T2352"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AB94" i="94"/>
  <c r="AA94" i="94"/>
  <c r="Z94" i="94"/>
  <c r="Y94" i="94"/>
  <c r="AB91" i="94"/>
  <c r="AA91" i="94"/>
  <c r="Z91" i="94"/>
  <c r="Y91" i="94"/>
  <c r="AB90" i="94"/>
  <c r="AA90" i="94"/>
  <c r="Z90" i="94"/>
  <c r="Y90" i="94"/>
  <c r="AD94" i="94"/>
  <c r="AD91" i="94"/>
  <c r="AD90" i="94"/>
  <c r="AD88" i="94"/>
  <c r="AB88" i="94"/>
  <c r="AA88" i="94"/>
  <c r="Z88" i="94"/>
  <c r="Y88" i="94"/>
  <c r="X94" i="94"/>
  <c r="X91" i="94"/>
  <c r="X90" i="94"/>
  <c r="X88" i="94"/>
  <c r="W94" i="94"/>
  <c r="W91" i="94"/>
  <c r="W90" i="94"/>
  <c r="W88" i="94"/>
  <c r="AN87" i="94"/>
  <c r="AN86" i="94"/>
  <c r="AN85" i="94"/>
  <c r="AN84" i="94"/>
  <c r="AN83" i="94"/>
  <c r="AN82" i="94"/>
  <c r="AN67" i="94"/>
  <c r="AN66" i="94"/>
  <c r="AN63" i="94"/>
  <c r="AN62" i="94"/>
  <c r="AD84" i="94"/>
  <c r="AD87" i="94"/>
  <c r="AD86" i="94"/>
  <c r="AD85" i="94"/>
  <c r="AD83" i="94"/>
  <c r="AD82" i="94"/>
  <c r="AD67" i="94"/>
  <c r="AD66" i="94"/>
  <c r="AD63" i="94"/>
  <c r="AD62" i="94"/>
  <c r="AB87" i="94"/>
  <c r="AB86" i="94"/>
  <c r="AB85" i="94"/>
  <c r="AB84" i="94"/>
  <c r="AB83" i="94"/>
  <c r="AB82" i="94"/>
  <c r="AB67" i="94"/>
  <c r="AB66" i="94"/>
  <c r="AB63" i="94"/>
  <c r="AB62" i="94"/>
  <c r="AA87" i="94"/>
  <c r="AA86" i="94"/>
  <c r="AA85" i="94"/>
  <c r="AA84" i="94"/>
  <c r="AA83" i="94"/>
  <c r="AA82" i="94"/>
  <c r="AA67" i="94"/>
  <c r="AA66" i="94"/>
  <c r="AA63" i="94"/>
  <c r="AA62" i="94"/>
  <c r="Z87" i="94"/>
  <c r="Z86" i="94"/>
  <c r="Z85" i="94"/>
  <c r="Z84" i="94"/>
  <c r="Z83" i="94"/>
  <c r="Z82" i="94"/>
  <c r="Z67" i="94"/>
  <c r="Z66" i="94"/>
  <c r="Z63" i="94"/>
  <c r="Z62" i="94"/>
  <c r="Y87" i="94"/>
  <c r="Y86" i="94"/>
  <c r="Y85" i="94"/>
  <c r="Y84" i="94"/>
  <c r="Y83" i="94"/>
  <c r="Y82" i="94"/>
  <c r="Y67" i="94"/>
  <c r="Y66" i="94"/>
  <c r="Y63" i="94"/>
  <c r="Y62" i="94"/>
  <c r="X87" i="94"/>
  <c r="X86" i="94"/>
  <c r="X85" i="94"/>
  <c r="X84" i="94"/>
  <c r="X83" i="94"/>
  <c r="X82" i="94"/>
  <c r="X67" i="94"/>
  <c r="X66" i="94"/>
  <c r="X63" i="94"/>
  <c r="X62" i="94"/>
  <c r="W87" i="94"/>
  <c r="W86" i="94"/>
  <c r="W85" i="94"/>
  <c r="W84" i="94"/>
  <c r="W83" i="94"/>
  <c r="W82" i="94"/>
  <c r="W67" i="94"/>
  <c r="W66" i="94"/>
  <c r="W63" i="94"/>
  <c r="W62" i="94"/>
  <c r="P2383" i="100"/>
  <c r="P2395" i="100"/>
  <c r="Q2395" i="100"/>
  <c r="Q2373" i="100"/>
  <c r="P2373" i="100"/>
  <c r="P2361" i="100"/>
  <c r="Q2351" i="100"/>
  <c r="P2351" i="100"/>
  <c r="P2339" i="100"/>
  <c r="Q2329" i="100"/>
  <c r="P2329" i="100"/>
  <c r="P2317" i="100"/>
  <c r="P2307" i="100"/>
  <c r="Q2307" i="100"/>
  <c r="P2295"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J2681" i="100"/>
  <c r="K2681" i="100" s="1"/>
  <c r="J2680" i="100"/>
  <c r="K2680" i="100" s="1"/>
  <c r="J2679" i="100"/>
  <c r="K2679" i="100" s="1"/>
  <c r="J2678" i="100"/>
  <c r="K2678" i="100" s="1"/>
  <c r="J2677" i="100"/>
  <c r="K2677" i="100" s="1"/>
  <c r="J2676" i="100"/>
  <c r="K2676" i="100" s="1"/>
  <c r="J2675" i="100"/>
  <c r="J2646" i="100"/>
  <c r="J2647" i="100"/>
  <c r="K2647" i="100" s="1"/>
  <c r="J2648" i="100"/>
  <c r="J2649" i="100"/>
  <c r="K2649" i="100" s="1"/>
  <c r="J2650" i="100"/>
  <c r="K2650" i="100" s="1"/>
  <c r="J2651" i="100"/>
  <c r="K2651" i="100" s="1"/>
  <c r="J2652" i="100"/>
  <c r="K2652" i="100" s="1"/>
  <c r="J2653" i="100"/>
  <c r="K2653" i="100" s="1"/>
  <c r="J2654" i="100"/>
  <c r="I2654" i="100" s="1"/>
  <c r="J2645" i="100"/>
  <c r="K2645" i="100" s="1"/>
  <c r="T2933" i="100"/>
  <c r="T2932" i="100"/>
  <c r="G2932" i="100" s="1"/>
  <c r="T2931" i="100"/>
  <c r="G2931" i="100" s="1"/>
  <c r="T2930" i="100"/>
  <c r="G2930" i="100" s="1"/>
  <c r="T2929" i="100"/>
  <c r="G2929" i="100" s="1"/>
  <c r="T2928" i="100"/>
  <c r="G2928" i="100" s="1"/>
  <c r="T2927" i="100"/>
  <c r="G2927" i="100" s="1"/>
  <c r="T2926" i="100"/>
  <c r="G2926" i="100" s="1"/>
  <c r="T2925" i="100"/>
  <c r="T2914" i="100"/>
  <c r="G2914" i="100" s="1"/>
  <c r="T2913" i="100"/>
  <c r="G2913" i="100" s="1"/>
  <c r="T2912" i="100"/>
  <c r="G2912" i="100" s="1"/>
  <c r="T2911" i="100"/>
  <c r="G2911" i="100" s="1"/>
  <c r="T2910" i="100"/>
  <c r="G2910" i="100" s="1"/>
  <c r="T2909" i="100"/>
  <c r="G2909" i="100" s="1"/>
  <c r="T2908" i="100"/>
  <c r="G2908" i="100" s="1"/>
  <c r="T2907" i="100"/>
  <c r="T2906" i="100"/>
  <c r="G2906" i="100" s="1"/>
  <c r="T2905" i="100"/>
  <c r="T2904" i="100"/>
  <c r="G2904" i="100" s="1"/>
  <c r="T2903" i="100"/>
  <c r="G2903" i="100" s="1"/>
  <c r="T2902" i="100"/>
  <c r="G2902" i="100" s="1"/>
  <c r="T2901" i="100"/>
  <c r="G2901" i="100" s="1"/>
  <c r="T2900" i="100"/>
  <c r="G2900" i="100" s="1"/>
  <c r="T2899" i="100"/>
  <c r="T2898" i="100"/>
  <c r="G2898" i="100" s="1"/>
  <c r="T2897" i="100"/>
  <c r="G2897" i="100" s="1"/>
  <c r="T2896" i="100"/>
  <c r="G2896" i="100" s="1"/>
  <c r="T2895" i="100"/>
  <c r="G2895" i="100" s="1"/>
  <c r="T2884" i="100"/>
  <c r="G2884" i="100" s="1"/>
  <c r="T2883" i="100"/>
  <c r="G2883" i="100" s="1"/>
  <c r="T2882" i="100"/>
  <c r="G2882" i="100" s="1"/>
  <c r="T2881" i="100"/>
  <c r="T2880" i="100"/>
  <c r="G2880" i="100" s="1"/>
  <c r="T2879" i="100"/>
  <c r="G2879" i="100" s="1"/>
  <c r="T2878" i="100"/>
  <c r="G2878" i="100" s="1"/>
  <c r="T2877" i="100"/>
  <c r="G2877" i="100" s="1"/>
  <c r="T2876" i="100"/>
  <c r="G2876" i="100" s="1"/>
  <c r="T2875" i="100"/>
  <c r="T2874" i="100"/>
  <c r="G2874" i="100" s="1"/>
  <c r="T2873" i="100"/>
  <c r="G2873" i="100" s="1"/>
  <c r="T2872" i="100"/>
  <c r="G2872" i="100" s="1"/>
  <c r="T2871" i="100"/>
  <c r="G2871" i="100" s="1"/>
  <c r="T2870" i="100"/>
  <c r="G2870" i="100" s="1"/>
  <c r="T2869" i="100"/>
  <c r="G2869" i="100" s="1"/>
  <c r="T2868" i="100"/>
  <c r="G2868" i="100" s="1"/>
  <c r="T2867" i="100"/>
  <c r="G2867" i="100" s="1"/>
  <c r="T2866" i="100"/>
  <c r="G2866" i="100" s="1"/>
  <c r="T2865" i="100"/>
  <c r="T2854" i="100"/>
  <c r="G2854" i="100" s="1"/>
  <c r="T2853" i="100"/>
  <c r="G2853" i="100" s="1"/>
  <c r="T2852" i="100"/>
  <c r="G2852" i="100" s="1"/>
  <c r="T2851" i="100"/>
  <c r="G2851" i="100" s="1"/>
  <c r="T2850" i="100"/>
  <c r="G2850" i="100" s="1"/>
  <c r="T2849" i="100"/>
  <c r="G2849" i="100" s="1"/>
  <c r="T2848" i="100"/>
  <c r="G2848" i="100" s="1"/>
  <c r="T2847" i="100"/>
  <c r="G2847" i="100" s="1"/>
  <c r="T2846" i="100"/>
  <c r="G2846" i="100" s="1"/>
  <c r="T2845" i="100"/>
  <c r="T2844" i="100"/>
  <c r="G2844" i="100" s="1"/>
  <c r="T2843" i="100"/>
  <c r="G2843" i="100" s="1"/>
  <c r="T2842" i="100"/>
  <c r="G2842" i="100" s="1"/>
  <c r="T2841" i="100"/>
  <c r="G2841" i="100" s="1"/>
  <c r="T2840" i="100"/>
  <c r="G2840" i="100" s="1"/>
  <c r="T2839" i="100"/>
  <c r="T2838" i="100"/>
  <c r="G2838" i="100" s="1"/>
  <c r="T2837" i="100"/>
  <c r="G2837" i="100" s="1"/>
  <c r="T2836" i="100"/>
  <c r="G2836" i="100" s="1"/>
  <c r="T2835" i="100"/>
  <c r="G2835" i="100" s="1"/>
  <c r="T2824" i="100"/>
  <c r="G2824" i="100" s="1"/>
  <c r="T2823" i="100"/>
  <c r="G2823" i="100" s="1"/>
  <c r="T2822" i="100"/>
  <c r="G2822" i="100" s="1"/>
  <c r="T2821" i="100"/>
  <c r="T2820" i="100"/>
  <c r="G2820" i="100" s="1"/>
  <c r="T2819" i="100"/>
  <c r="G2819" i="100" s="1"/>
  <c r="T2818" i="100"/>
  <c r="G2818" i="100" s="1"/>
  <c r="T2817" i="100"/>
  <c r="G2817" i="100" s="1"/>
  <c r="T2816" i="100"/>
  <c r="G2816" i="100" s="1"/>
  <c r="T2815" i="100"/>
  <c r="T2814" i="100"/>
  <c r="G2814" i="100" s="1"/>
  <c r="T2813" i="100"/>
  <c r="G2813" i="100" s="1"/>
  <c r="T2812" i="100"/>
  <c r="G2812" i="100" s="1"/>
  <c r="T2811" i="100"/>
  <c r="G2811" i="100" s="1"/>
  <c r="T2810" i="100"/>
  <c r="G2810" i="100" s="1"/>
  <c r="T2809" i="100"/>
  <c r="G2809" i="100" s="1"/>
  <c r="T2808" i="100"/>
  <c r="G2808" i="100" s="1"/>
  <c r="T2807" i="100"/>
  <c r="G2807" i="100" s="1"/>
  <c r="T2806" i="100"/>
  <c r="G2806" i="100" s="1"/>
  <c r="T2805" i="100"/>
  <c r="G2805" i="100" s="1"/>
  <c r="T2794" i="100"/>
  <c r="G2794" i="100" s="1"/>
  <c r="T2793" i="100"/>
  <c r="G2793" i="100" s="1"/>
  <c r="T2792" i="100"/>
  <c r="G2792" i="100" s="1"/>
  <c r="T2791" i="100"/>
  <c r="G2791" i="100" s="1"/>
  <c r="T2790" i="100"/>
  <c r="T2789" i="100"/>
  <c r="G2789" i="100" s="1"/>
  <c r="T2788" i="100"/>
  <c r="G2788" i="100" s="1"/>
  <c r="T2787" i="100"/>
  <c r="T2786" i="100"/>
  <c r="G2786" i="100" s="1"/>
  <c r="T2785" i="100"/>
  <c r="T2784" i="100"/>
  <c r="G2784" i="100" s="1"/>
  <c r="T2783" i="100"/>
  <c r="G2783" i="100" s="1"/>
  <c r="T2782" i="100"/>
  <c r="G2782" i="100" s="1"/>
  <c r="T2781" i="100"/>
  <c r="G2781" i="100" s="1"/>
  <c r="T2780" i="100"/>
  <c r="G2780" i="100" s="1"/>
  <c r="T2779" i="100"/>
  <c r="G2779" i="100" s="1"/>
  <c r="T2778" i="100"/>
  <c r="G2778" i="100" s="1"/>
  <c r="T2777" i="100"/>
  <c r="G2777" i="100" s="1"/>
  <c r="T2776" i="100"/>
  <c r="G2776" i="100" s="1"/>
  <c r="T2775" i="100"/>
  <c r="G2775" i="100" s="1"/>
  <c r="T2764" i="100"/>
  <c r="G2764" i="100" s="1"/>
  <c r="T2763" i="100"/>
  <c r="G2763" i="100" s="1"/>
  <c r="T2762" i="100"/>
  <c r="G2762" i="100" s="1"/>
  <c r="T2761" i="100"/>
  <c r="G2761" i="100" s="1"/>
  <c r="T2760" i="100"/>
  <c r="G2760" i="100" s="1"/>
  <c r="T2759" i="100"/>
  <c r="G2759" i="100" s="1"/>
  <c r="T2758" i="100"/>
  <c r="G2758" i="100" s="1"/>
  <c r="T2757" i="100"/>
  <c r="G2757" i="100" s="1"/>
  <c r="T2756" i="100"/>
  <c r="G2756" i="100" s="1"/>
  <c r="T2755" i="100"/>
  <c r="T2754" i="100"/>
  <c r="G2754" i="100" s="1"/>
  <c r="T2753" i="100"/>
  <c r="T2752" i="100"/>
  <c r="G2752" i="100" s="1"/>
  <c r="T2751" i="100"/>
  <c r="G2751" i="100" s="1"/>
  <c r="T2750" i="100"/>
  <c r="G2750" i="100" s="1"/>
  <c r="T2749" i="100"/>
  <c r="G2749" i="100" s="1"/>
  <c r="T2748" i="100"/>
  <c r="G2748" i="100" s="1"/>
  <c r="T2747" i="100"/>
  <c r="G2747" i="100" s="1"/>
  <c r="T2746" i="100"/>
  <c r="G2746" i="100" s="1"/>
  <c r="T2745" i="100"/>
  <c r="T2734" i="100"/>
  <c r="G2734" i="100" s="1"/>
  <c r="T2733" i="100"/>
  <c r="G2733" i="100" s="1"/>
  <c r="T2732" i="100"/>
  <c r="G2732" i="100" s="1"/>
  <c r="T2731" i="100"/>
  <c r="G2731" i="100" s="1"/>
  <c r="T2730" i="100"/>
  <c r="T2729" i="100"/>
  <c r="G2729" i="100" s="1"/>
  <c r="T2728" i="100"/>
  <c r="G2728" i="100" s="1"/>
  <c r="T2727" i="100"/>
  <c r="T2726" i="100"/>
  <c r="G2726" i="100" s="1"/>
  <c r="T2725" i="100"/>
  <c r="T2724" i="100"/>
  <c r="G2724" i="100" s="1"/>
  <c r="T2723" i="100"/>
  <c r="G2723" i="100" s="1"/>
  <c r="T2722" i="100"/>
  <c r="G2722" i="100" s="1"/>
  <c r="T2721" i="100"/>
  <c r="G2721" i="100" s="1"/>
  <c r="T2720" i="100"/>
  <c r="G2720" i="100" s="1"/>
  <c r="T2719" i="100"/>
  <c r="T2718" i="100"/>
  <c r="G2718" i="100" s="1"/>
  <c r="T2717" i="100"/>
  <c r="G2717" i="100" s="1"/>
  <c r="T2716" i="100"/>
  <c r="G2716" i="100" s="1"/>
  <c r="T2715" i="100"/>
  <c r="G2715" i="100" s="1"/>
  <c r="T2704" i="100"/>
  <c r="G2704" i="100" s="1"/>
  <c r="T2703" i="100"/>
  <c r="G2703" i="100" s="1"/>
  <c r="T2702" i="100"/>
  <c r="G2702" i="100" s="1"/>
  <c r="T2701" i="100"/>
  <c r="T2700" i="100"/>
  <c r="G2700" i="100" s="1"/>
  <c r="T2699" i="100"/>
  <c r="G2699" i="100" s="1"/>
  <c r="T2698" i="100"/>
  <c r="G2698" i="100" s="1"/>
  <c r="T2697" i="100"/>
  <c r="G2697" i="100" s="1"/>
  <c r="T2696" i="100"/>
  <c r="G2696" i="100" s="1"/>
  <c r="T2695" i="100"/>
  <c r="T2694" i="100"/>
  <c r="G2694" i="100" s="1"/>
  <c r="Q2915" i="100"/>
  <c r="P2905" i="100"/>
  <c r="Q2885" i="100"/>
  <c r="P2875" i="100"/>
  <c r="Q2855" i="100"/>
  <c r="P2845" i="100"/>
  <c r="Q2825" i="100"/>
  <c r="P2815" i="100"/>
  <c r="Q2795" i="100"/>
  <c r="P2785" i="100"/>
  <c r="Q2765" i="100"/>
  <c r="P2755" i="100"/>
  <c r="Q2735" i="100"/>
  <c r="P2725" i="100"/>
  <c r="Q2705" i="100"/>
  <c r="P2695" i="100"/>
  <c r="G2933" i="100"/>
  <c r="G2925" i="100"/>
  <c r="G2907" i="100"/>
  <c r="G2865" i="100"/>
  <c r="G2787" i="100"/>
  <c r="G2745" i="100"/>
  <c r="G2839" i="100"/>
  <c r="G2719" i="100"/>
  <c r="K2925" i="100"/>
  <c r="I2925" i="100"/>
  <c r="C2924" i="100"/>
  <c r="B2924" i="100"/>
  <c r="C2923" i="100"/>
  <c r="B2923" i="100"/>
  <c r="C2922" i="100"/>
  <c r="B2922" i="100"/>
  <c r="C2921" i="100"/>
  <c r="B2921" i="100"/>
  <c r="C2920" i="100"/>
  <c r="B2920" i="100"/>
  <c r="C2919" i="100"/>
  <c r="B2919" i="100"/>
  <c r="C2918" i="100"/>
  <c r="B2918" i="100"/>
  <c r="C2917" i="100"/>
  <c r="B2917" i="100"/>
  <c r="C2916" i="100"/>
  <c r="B2916" i="100"/>
  <c r="C2915" i="100"/>
  <c r="B2915" i="100"/>
  <c r="G2899" i="100"/>
  <c r="K2895" i="100"/>
  <c r="I2895" i="100"/>
  <c r="C2894" i="100"/>
  <c r="B2894" i="100"/>
  <c r="C2893" i="100"/>
  <c r="B2893" i="100"/>
  <c r="C2892" i="100"/>
  <c r="B2892" i="100"/>
  <c r="C2891" i="100"/>
  <c r="B2891" i="100"/>
  <c r="C2890" i="100"/>
  <c r="B2890" i="100"/>
  <c r="C2889" i="100"/>
  <c r="B2889" i="100"/>
  <c r="C2888" i="100"/>
  <c r="B2888" i="100"/>
  <c r="I2887" i="100"/>
  <c r="C2887" i="100"/>
  <c r="B2887" i="100"/>
  <c r="C2886" i="100"/>
  <c r="B2886" i="100"/>
  <c r="C2885" i="100"/>
  <c r="B2885" i="100"/>
  <c r="G2881" i="100"/>
  <c r="K2865" i="100"/>
  <c r="I2865" i="100"/>
  <c r="C2864" i="100"/>
  <c r="B2864" i="100"/>
  <c r="C2863" i="100"/>
  <c r="B2863" i="100"/>
  <c r="C2862" i="100"/>
  <c r="B2862" i="100"/>
  <c r="C2861" i="100"/>
  <c r="B2861" i="100"/>
  <c r="C2860" i="100"/>
  <c r="B2860" i="100"/>
  <c r="C2859" i="100"/>
  <c r="B2859" i="100"/>
  <c r="C2858" i="100"/>
  <c r="B2858" i="100"/>
  <c r="C2857" i="100"/>
  <c r="B2857" i="100"/>
  <c r="I2856" i="100"/>
  <c r="C2856" i="100"/>
  <c r="B2856" i="100"/>
  <c r="C2855" i="100"/>
  <c r="B2855" i="100"/>
  <c r="K2835" i="100"/>
  <c r="I2835" i="100"/>
  <c r="C2834" i="100"/>
  <c r="B2834" i="100"/>
  <c r="C2833" i="100"/>
  <c r="B2833" i="100"/>
  <c r="C2832" i="100"/>
  <c r="B2832" i="100"/>
  <c r="C2831" i="100"/>
  <c r="B2831" i="100"/>
  <c r="C2830" i="100"/>
  <c r="B2830" i="100"/>
  <c r="C2829" i="100"/>
  <c r="B2829" i="100"/>
  <c r="C2828" i="100"/>
  <c r="B2828" i="100"/>
  <c r="C2827" i="100"/>
  <c r="B2827" i="100"/>
  <c r="C2826" i="100"/>
  <c r="B2826" i="100"/>
  <c r="C2825" i="100"/>
  <c r="B2825" i="100"/>
  <c r="G2821" i="100"/>
  <c r="K2805" i="100"/>
  <c r="I2805" i="100"/>
  <c r="C2804" i="100"/>
  <c r="B2804" i="100"/>
  <c r="K2803" i="100"/>
  <c r="C2803" i="100"/>
  <c r="B2803" i="100"/>
  <c r="C2802" i="100"/>
  <c r="B2802" i="100"/>
  <c r="C2801" i="100"/>
  <c r="B2801" i="100"/>
  <c r="C2800" i="100"/>
  <c r="B2800" i="100"/>
  <c r="C2799" i="100"/>
  <c r="B2799" i="100"/>
  <c r="C2798" i="100"/>
  <c r="B2798" i="100"/>
  <c r="C2797" i="100"/>
  <c r="B2797" i="100"/>
  <c r="C2796" i="100"/>
  <c r="B2796" i="100"/>
  <c r="C2795" i="100"/>
  <c r="B2795" i="100"/>
  <c r="G2790" i="100"/>
  <c r="K2775" i="100"/>
  <c r="I2775" i="100"/>
  <c r="C2774" i="100"/>
  <c r="B2774" i="100"/>
  <c r="C2773" i="100"/>
  <c r="B2773" i="100"/>
  <c r="C2772" i="100"/>
  <c r="B2772" i="100"/>
  <c r="C2771" i="100"/>
  <c r="B2771" i="100"/>
  <c r="C2770" i="100"/>
  <c r="B2770" i="100"/>
  <c r="C2769" i="100"/>
  <c r="B2769" i="100"/>
  <c r="C2768" i="100"/>
  <c r="B2768" i="100"/>
  <c r="C2767" i="100"/>
  <c r="B2767" i="100"/>
  <c r="K2766" i="100"/>
  <c r="C2766" i="100"/>
  <c r="B2766" i="100"/>
  <c r="C2765" i="100"/>
  <c r="B2765" i="100"/>
  <c r="G2753" i="100"/>
  <c r="K2745" i="100"/>
  <c r="I2745" i="100"/>
  <c r="C2744" i="100"/>
  <c r="B2744" i="100"/>
  <c r="C2743" i="100"/>
  <c r="B2743" i="100"/>
  <c r="C2742" i="100"/>
  <c r="B2742" i="100"/>
  <c r="C2741" i="100"/>
  <c r="B2741" i="100"/>
  <c r="C2740" i="100"/>
  <c r="B2740" i="100"/>
  <c r="I2739" i="100"/>
  <c r="C2739" i="100"/>
  <c r="B2739" i="100"/>
  <c r="C2738" i="100"/>
  <c r="B2738" i="100"/>
  <c r="C2737" i="100"/>
  <c r="B2737" i="100"/>
  <c r="C2736" i="100"/>
  <c r="B2736" i="100"/>
  <c r="C2735" i="100"/>
  <c r="B2735" i="100"/>
  <c r="G2730" i="100"/>
  <c r="G2727" i="100"/>
  <c r="K2715" i="100"/>
  <c r="I2715" i="100"/>
  <c r="C2714" i="100"/>
  <c r="B2714" i="100"/>
  <c r="C2713" i="100"/>
  <c r="B2713" i="100"/>
  <c r="C2712" i="100"/>
  <c r="B2712" i="100"/>
  <c r="C2711" i="100"/>
  <c r="B2711" i="100"/>
  <c r="C2710" i="100"/>
  <c r="B2710" i="100"/>
  <c r="C2709" i="100"/>
  <c r="B2709" i="100"/>
  <c r="C2708" i="100"/>
  <c r="B2708" i="100"/>
  <c r="C2707" i="100"/>
  <c r="B2707" i="100"/>
  <c r="C2706" i="100"/>
  <c r="B2706" i="100"/>
  <c r="C2705" i="100"/>
  <c r="B2705" i="100"/>
  <c r="G2701"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P2665" i="100"/>
  <c r="K2685" i="100"/>
  <c r="I2685" i="100"/>
  <c r="C2684" i="100"/>
  <c r="B2684" i="100"/>
  <c r="C2683" i="100"/>
  <c r="B2683" i="100"/>
  <c r="I2682" i="100"/>
  <c r="C2682" i="100"/>
  <c r="B2682" i="100"/>
  <c r="C2681" i="100"/>
  <c r="B2681" i="100"/>
  <c r="C2680" i="100"/>
  <c r="B2680" i="100"/>
  <c r="C2679" i="100"/>
  <c r="B2679" i="100"/>
  <c r="C2678" i="100"/>
  <c r="B2678" i="100"/>
  <c r="C2677" i="100"/>
  <c r="B2677" i="100"/>
  <c r="C2676" i="100"/>
  <c r="B2676" i="100"/>
  <c r="K2675" i="100"/>
  <c r="C2675" i="100"/>
  <c r="B2675" i="100"/>
  <c r="Q2645" i="100"/>
  <c r="P2635" i="100"/>
  <c r="K2655" i="100"/>
  <c r="I2655" i="100"/>
  <c r="C2654" i="100"/>
  <c r="B2654" i="100"/>
  <c r="C2653" i="100"/>
  <c r="B2653" i="100"/>
  <c r="C2652" i="100"/>
  <c r="B2652" i="100"/>
  <c r="C2651" i="100"/>
  <c r="B2651" i="100"/>
  <c r="C2650" i="100"/>
  <c r="B2650" i="100"/>
  <c r="C2649" i="100"/>
  <c r="B2649" i="100"/>
  <c r="K2648" i="100"/>
  <c r="C2648" i="100"/>
  <c r="B2648" i="100"/>
  <c r="C2647" i="100"/>
  <c r="B2647" i="100"/>
  <c r="I2646" i="100"/>
  <c r="C2646" i="100"/>
  <c r="B2646" i="100"/>
  <c r="C2645" i="100"/>
  <c r="B2645" i="100"/>
  <c r="C2686" i="100"/>
  <c r="C2756" i="100"/>
  <c r="C2692" i="100"/>
  <c r="C2699" i="100"/>
  <c r="C2815" i="100"/>
  <c r="B2928" i="100"/>
  <c r="C2926" i="100"/>
  <c r="C2848" i="100"/>
  <c r="C2640" i="100"/>
  <c r="C2748" i="100"/>
  <c r="C2782" i="100"/>
  <c r="C2868" i="100"/>
  <c r="B2690" i="100"/>
  <c r="C2759" i="100"/>
  <c r="C2794" i="100"/>
  <c r="B2776" i="100"/>
  <c r="C2816" i="100"/>
  <c r="B2745" i="100"/>
  <c r="B2836" i="100"/>
  <c r="C2841" i="100"/>
  <c r="B2667" i="100"/>
  <c r="B2839" i="100"/>
  <c r="B2870" i="100"/>
  <c r="C2788" i="100"/>
  <c r="C2842" i="100"/>
  <c r="C2701" i="100"/>
  <c r="B2688" i="100"/>
  <c r="C2658" i="100"/>
  <c r="C2784" i="100"/>
  <c r="C2704" i="100"/>
  <c r="B2909" i="100"/>
  <c r="C2905" i="100"/>
  <c r="B2877" i="100"/>
  <c r="C2847" i="100"/>
  <c r="B2854" i="100"/>
  <c r="B2754" i="100"/>
  <c r="B2715" i="100"/>
  <c r="B2896" i="100"/>
  <c r="B2669" i="100"/>
  <c r="C2911" i="100"/>
  <c r="C2870" i="100"/>
  <c r="B2789" i="100"/>
  <c r="B2699" i="100"/>
  <c r="B2638" i="100"/>
  <c r="B2691" i="100"/>
  <c r="B2695" i="100"/>
  <c r="C2698" i="100"/>
  <c r="C2835" i="100"/>
  <c r="B2719" i="100"/>
  <c r="B2841" i="100"/>
  <c r="C2634" i="100"/>
  <c r="B2866" i="100"/>
  <c r="C2846" i="100"/>
  <c r="B2759" i="100"/>
  <c r="B2761" i="100"/>
  <c r="B2794" i="100"/>
  <c r="C2779" i="100"/>
  <c r="B2874" i="100"/>
  <c r="B2808" i="100"/>
  <c r="C2669" i="100"/>
  <c r="C2656" i="100"/>
  <c r="C2914" i="100"/>
  <c r="C2664" i="100"/>
  <c r="C2695" i="100"/>
  <c r="B2670" i="100"/>
  <c r="B2904" i="100"/>
  <c r="B2704" i="100"/>
  <c r="C2688" i="100"/>
  <c r="B2689" i="100"/>
  <c r="B2637" i="100"/>
  <c r="C2781" i="100"/>
  <c r="C2879" i="100"/>
  <c r="B2659" i="100"/>
  <c r="B2697" i="100"/>
  <c r="C2876" i="100"/>
  <c r="C2697" i="100"/>
  <c r="B2868" i="100"/>
  <c r="C2785" i="100"/>
  <c r="B2905" i="100"/>
  <c r="B2926" i="100"/>
  <c r="B2750" i="100"/>
  <c r="B2757" i="100"/>
  <c r="B2851" i="100"/>
  <c r="B2718" i="100"/>
  <c r="C2749" i="100"/>
  <c r="B2788" i="100"/>
  <c r="C2840" i="100"/>
  <c r="C2700" i="100"/>
  <c r="B2778" i="100"/>
  <c r="C2845" i="100"/>
  <c r="C2810" i="100"/>
  <c r="B2726" i="100"/>
  <c r="C2819" i="100"/>
  <c r="C2904" i="100"/>
  <c r="C2655" i="100"/>
  <c r="B2716" i="100"/>
  <c r="C2865" i="100"/>
  <c r="B2727" i="100"/>
  <c r="B2694" i="100"/>
  <c r="B2838" i="100"/>
  <c r="C2730" i="100"/>
  <c r="B2790" i="100"/>
  <c r="B2685" i="100"/>
  <c r="C2685" i="100"/>
  <c r="C2906" i="100"/>
  <c r="C2869" i="100"/>
  <c r="B2728" i="100"/>
  <c r="C2805" i="100"/>
  <c r="C2757" i="100"/>
  <c r="B2878" i="100"/>
  <c r="B2930" i="100"/>
  <c r="C2751" i="100"/>
  <c r="C2726" i="100"/>
  <c r="C2727" i="100"/>
  <c r="C2674" i="100"/>
  <c r="B2847" i="100"/>
  <c r="C2671" i="100"/>
  <c r="B2700" i="100"/>
  <c r="B2760" i="100"/>
  <c r="B2805" i="100"/>
  <c r="C2638" i="100"/>
  <c r="B2844" i="100"/>
  <c r="B2664" i="100"/>
  <c r="B2720" i="100"/>
  <c r="B2634" i="100"/>
  <c r="B2899" i="100"/>
  <c r="C2644" i="100"/>
  <c r="B2901" i="100"/>
  <c r="C2662" i="100"/>
  <c r="B2636" i="100"/>
  <c r="C2821" i="100"/>
  <c r="C2776" i="100"/>
  <c r="C2808" i="100"/>
  <c r="C2758" i="100"/>
  <c r="C2878" i="100"/>
  <c r="B2900" i="100"/>
  <c r="C2696" i="100"/>
  <c r="C2851" i="100"/>
  <c r="B2755" i="100"/>
  <c r="B2895" i="100"/>
  <c r="C2729" i="100"/>
  <c r="B2639" i="100"/>
  <c r="C2875" i="100"/>
  <c r="B2674" i="100"/>
  <c r="C2755" i="100"/>
  <c r="C2734" i="100"/>
  <c r="B2784" i="100"/>
  <c r="C2659" i="100"/>
  <c r="B2898" i="100"/>
  <c r="B2848" i="100"/>
  <c r="B2756" i="100"/>
  <c r="C2719" i="100"/>
  <c r="C2778" i="100"/>
  <c r="B2785" i="100"/>
  <c r="B2845" i="100"/>
  <c r="B2806" i="100"/>
  <c r="C2670" i="100"/>
  <c r="B2701" i="100"/>
  <c r="B2925" i="100"/>
  <c r="C2898" i="100"/>
  <c r="B2658" i="100"/>
  <c r="C2750" i="100"/>
  <c r="C2694" i="100"/>
  <c r="B2871" i="100"/>
  <c r="B2666" i="100"/>
  <c r="B2846" i="100"/>
  <c r="B2908" i="100"/>
  <c r="B2751" i="100"/>
  <c r="C2874" i="100"/>
  <c r="B2748" i="100"/>
  <c r="B2686" i="100"/>
  <c r="C2689" i="100"/>
  <c r="B2749" i="100"/>
  <c r="B2660" i="100"/>
  <c r="B2910" i="100"/>
  <c r="C2849" i="100"/>
  <c r="B2816" i="100"/>
  <c r="C2780" i="100"/>
  <c r="C2895" i="100"/>
  <c r="C2786" i="100"/>
  <c r="B2725" i="100"/>
  <c r="C2872" i="100"/>
  <c r="C2824" i="100"/>
  <c r="C2635" i="100"/>
  <c r="C2665" i="100"/>
  <c r="C2668" i="100"/>
  <c r="C2641" i="100"/>
  <c r="C2787" i="100"/>
  <c r="B2780" i="100"/>
  <c r="C2720" i="100"/>
  <c r="C2896" i="100"/>
  <c r="C2661" i="100"/>
  <c r="C2690" i="100"/>
  <c r="C2721" i="100"/>
  <c r="C2844" i="100"/>
  <c r="B2815" i="100"/>
  <c r="B2758" i="100"/>
  <c r="C2754" i="100"/>
  <c r="C2752" i="100"/>
  <c r="C2877" i="100"/>
  <c r="C2839" i="100"/>
  <c r="C2715" i="100"/>
  <c r="C2931" i="100"/>
  <c r="B2668" i="100"/>
  <c r="C2854" i="100"/>
  <c r="B2814" i="100"/>
  <c r="C2722" i="100"/>
  <c r="C2775" i="100"/>
  <c r="C2731" i="100"/>
  <c r="B2746" i="100"/>
  <c r="C2811" i="100"/>
  <c r="B2724" i="100"/>
  <c r="B2821" i="100"/>
  <c r="B2764" i="100"/>
  <c r="C2728" i="100"/>
  <c r="B2869" i="100"/>
  <c r="B2819" i="100"/>
  <c r="B2932" i="100"/>
  <c r="B2879" i="100"/>
  <c r="B2640" i="100"/>
  <c r="B2872" i="100"/>
  <c r="B2671" i="100"/>
  <c r="C2660" i="100"/>
  <c r="B2752" i="100"/>
  <c r="B2734" i="100"/>
  <c r="B2817" i="100"/>
  <c r="C2910" i="100"/>
  <c r="B2835" i="100"/>
  <c r="C2746" i="100"/>
  <c r="B2812" i="100"/>
  <c r="C2818" i="100"/>
  <c r="C2814" i="100"/>
  <c r="B2824" i="100"/>
  <c r="B2865" i="100"/>
  <c r="C2666" i="100"/>
  <c r="B2696" i="100"/>
  <c r="B2781" i="100"/>
  <c r="B2641" i="100"/>
  <c r="B2875" i="100"/>
  <c r="C2908" i="100"/>
  <c r="B2884" i="100"/>
  <c r="B2692" i="100"/>
  <c r="C2817" i="100"/>
  <c r="C2907" i="100"/>
  <c r="C2930" i="100"/>
  <c r="C2761" i="100"/>
  <c r="B2842" i="100"/>
  <c r="B2880" i="100"/>
  <c r="C2790" i="100"/>
  <c r="B2810" i="100"/>
  <c r="C2902" i="100"/>
  <c r="C2718" i="100"/>
  <c r="B2731" i="100"/>
  <c r="C2806" i="100"/>
  <c r="C2745" i="100"/>
  <c r="B2775" i="100"/>
  <c r="C2820" i="100"/>
  <c r="C2871" i="100"/>
  <c r="B2787" i="100"/>
  <c r="C2925" i="100"/>
  <c r="C2932" i="100"/>
  <c r="C2716" i="100"/>
  <c r="B2931" i="100"/>
  <c r="C2724" i="100"/>
  <c r="B2729" i="100"/>
  <c r="C2881" i="100"/>
  <c r="B2655" i="100"/>
  <c r="C2725" i="100"/>
  <c r="C2789" i="100"/>
  <c r="B2911" i="100"/>
  <c r="B2840" i="100"/>
  <c r="B2644" i="100"/>
  <c r="B2907" i="100"/>
  <c r="C2884" i="100"/>
  <c r="B2782" i="100"/>
  <c r="C2899" i="100"/>
  <c r="C2636" i="100"/>
  <c r="B2721" i="100"/>
  <c r="B2849" i="100"/>
  <c r="C2637" i="100"/>
  <c r="B2662" i="100"/>
  <c r="B2818" i="100"/>
  <c r="C2812" i="100"/>
  <c r="C2764" i="100"/>
  <c r="B2665" i="100"/>
  <c r="C2900" i="100"/>
  <c r="B2791" i="100"/>
  <c r="B2809" i="100"/>
  <c r="B2902" i="100"/>
  <c r="C2850" i="100"/>
  <c r="B2656" i="100"/>
  <c r="B2779" i="100"/>
  <c r="C2880" i="100"/>
  <c r="B2929" i="100"/>
  <c r="B2786" i="100"/>
  <c r="C2760" i="100"/>
  <c r="C2838" i="100"/>
  <c r="B2820" i="100"/>
  <c r="B2811" i="100"/>
  <c r="B2635" i="100"/>
  <c r="C2836" i="100"/>
  <c r="B2722" i="100"/>
  <c r="C2639" i="100"/>
  <c r="B2914" i="100"/>
  <c r="C2809" i="100"/>
  <c r="C2909" i="100"/>
  <c r="C2667" i="100"/>
  <c r="C2901" i="100"/>
  <c r="C2929" i="100"/>
  <c r="B2730" i="100"/>
  <c r="B2876" i="100"/>
  <c r="B2698" i="100"/>
  <c r="B2906" i="100"/>
  <c r="B2661" i="100"/>
  <c r="C2928" i="100"/>
  <c r="C2791" i="100"/>
  <c r="B2850" i="100"/>
  <c r="B2881" i="100"/>
  <c r="C2866" i="100"/>
  <c r="C2691" i="100"/>
  <c r="I2894" i="100" l="1"/>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767" i="97" l="1"/>
  <c r="T753" i="97"/>
  <c r="T739" i="97"/>
  <c r="T725" i="97"/>
  <c r="T711" i="97"/>
  <c r="T697" i="97"/>
  <c r="T683" i="97"/>
  <c r="T669" i="97"/>
  <c r="T655" i="97"/>
  <c r="T641" i="97"/>
  <c r="N56" i="98"/>
  <c r="N55" i="98"/>
  <c r="N54" i="98"/>
  <c r="N53" i="98"/>
  <c r="N52" i="98"/>
  <c r="N51" i="98"/>
  <c r="N50" i="98"/>
  <c r="N49" i="98"/>
  <c r="N48" i="98"/>
  <c r="N47" i="98"/>
  <c r="M48" i="98"/>
  <c r="J55" i="98"/>
  <c r="E40" i="98" s="1"/>
  <c r="J54" i="98"/>
  <c r="E39" i="98" s="1"/>
  <c r="J53" i="98"/>
  <c r="J52" i="98"/>
  <c r="J51" i="98"/>
  <c r="J50" i="98"/>
  <c r="J49" i="98"/>
  <c r="J48" i="98"/>
  <c r="J47" i="98"/>
  <c r="J56" i="98"/>
  <c r="E41" i="98" s="1"/>
  <c r="E38" i="98"/>
  <c r="L56" i="98"/>
  <c r="L55" i="98"/>
  <c r="L54" i="98"/>
  <c r="L53" i="98"/>
  <c r="L52" i="98"/>
  <c r="K56" i="98"/>
  <c r="K55" i="98"/>
  <c r="K54" i="98"/>
  <c r="K53" i="98"/>
  <c r="K52" i="98"/>
  <c r="R753" i="97"/>
  <c r="R739" i="97"/>
  <c r="D733" i="97"/>
  <c r="R725" i="97"/>
  <c r="R711" i="97"/>
  <c r="R683" i="97"/>
  <c r="R669" i="97"/>
  <c r="R655" i="97"/>
  <c r="R641" i="97"/>
  <c r="N61" i="98"/>
  <c r="N60" i="98"/>
  <c r="N59" i="98"/>
  <c r="N58" i="98"/>
  <c r="N57" i="98"/>
  <c r="J61" i="98"/>
  <c r="E46" i="98" s="1"/>
  <c r="J60" i="98"/>
  <c r="E45" i="98" s="1"/>
  <c r="J59" i="98"/>
  <c r="E44" i="98" s="1"/>
  <c r="J58" i="98"/>
  <c r="E43" i="98" s="1"/>
  <c r="J57" i="98"/>
  <c r="E42" i="98" s="1"/>
  <c r="L61" i="98"/>
  <c r="K61" i="98"/>
  <c r="L60" i="98"/>
  <c r="K60" i="98"/>
  <c r="L59" i="98"/>
  <c r="K59" i="98"/>
  <c r="L58" i="98"/>
  <c r="K58" i="98"/>
  <c r="L57" i="98"/>
  <c r="K57" i="98"/>
  <c r="E37" i="98"/>
  <c r="I431" i="94"/>
  <c r="I420" i="94"/>
  <c r="I409" i="94"/>
  <c r="I398" i="94"/>
  <c r="I387" i="94"/>
  <c r="I376" i="94"/>
  <c r="I365" i="94"/>
  <c r="I354" i="94"/>
  <c r="I343" i="94"/>
  <c r="I332" i="94"/>
  <c r="I321" i="94"/>
  <c r="I310" i="94"/>
  <c r="I299" i="94"/>
  <c r="I288" i="94"/>
  <c r="I277" i="94"/>
  <c r="I266" i="94"/>
  <c r="I255" i="94"/>
  <c r="I244" i="94"/>
  <c r="I233" i="94"/>
  <c r="E430" i="94"/>
  <c r="K428" i="94"/>
  <c r="G428" i="94"/>
  <c r="E428" i="94"/>
  <c r="O428" i="94" s="1"/>
  <c r="C428" i="94"/>
  <c r="E427" i="94"/>
  <c r="E431" i="94" s="1"/>
  <c r="K425" i="94"/>
  <c r="G425" i="94"/>
  <c r="E419" i="94"/>
  <c r="K417" i="94"/>
  <c r="G417" i="94"/>
  <c r="E417" i="94"/>
  <c r="O417" i="94" s="1"/>
  <c r="C417" i="94"/>
  <c r="E416" i="94"/>
  <c r="E420" i="94" s="1"/>
  <c r="K414" i="94"/>
  <c r="G414" i="94"/>
  <c r="E408" i="94"/>
  <c r="K406" i="94"/>
  <c r="G406" i="94"/>
  <c r="E406" i="94"/>
  <c r="O406" i="94" s="1"/>
  <c r="C406" i="94"/>
  <c r="E405" i="94"/>
  <c r="E409" i="94" s="1"/>
  <c r="K403" i="94"/>
  <c r="G403" i="94"/>
  <c r="E397" i="94"/>
  <c r="K395" i="94"/>
  <c r="G395" i="94"/>
  <c r="E395" i="94"/>
  <c r="O395" i="94" s="1"/>
  <c r="C395" i="94"/>
  <c r="E394" i="94"/>
  <c r="E398" i="94" s="1"/>
  <c r="K392" i="94"/>
  <c r="G392" i="94"/>
  <c r="E386" i="94"/>
  <c r="K384" i="94"/>
  <c r="G384" i="94"/>
  <c r="E384" i="94"/>
  <c r="O384" i="94" s="1"/>
  <c r="C384" i="94"/>
  <c r="R697" i="97" s="1"/>
  <c r="E383" i="94"/>
  <c r="E387" i="94" s="1"/>
  <c r="K381" i="94"/>
  <c r="G381" i="94"/>
  <c r="E375" i="94"/>
  <c r="K373" i="94"/>
  <c r="G373" i="94"/>
  <c r="E373" i="94"/>
  <c r="O373" i="94" s="1"/>
  <c r="C373" i="94"/>
  <c r="E372" i="94"/>
  <c r="E376" i="94" s="1"/>
  <c r="K370" i="94"/>
  <c r="G370" i="94"/>
  <c r="E364" i="94"/>
  <c r="K362" i="94"/>
  <c r="G362" i="94"/>
  <c r="E362" i="94"/>
  <c r="O362" i="94" s="1"/>
  <c r="C362" i="94"/>
  <c r="E361" i="94"/>
  <c r="E365" i="94" s="1"/>
  <c r="K359" i="94"/>
  <c r="G359" i="94"/>
  <c r="E353" i="94"/>
  <c r="K351" i="94"/>
  <c r="G351" i="94"/>
  <c r="E351" i="94"/>
  <c r="O351" i="94" s="1"/>
  <c r="C351" i="94"/>
  <c r="E350" i="94"/>
  <c r="E354" i="94" s="1"/>
  <c r="K348" i="94"/>
  <c r="G348" i="94"/>
  <c r="E342" i="94"/>
  <c r="K340" i="94"/>
  <c r="G340" i="94"/>
  <c r="E340" i="94"/>
  <c r="O340" i="94" s="1"/>
  <c r="C340" i="94"/>
  <c r="E339" i="94"/>
  <c r="E343" i="94" s="1"/>
  <c r="K337" i="94"/>
  <c r="G337" i="94"/>
  <c r="E331" i="94"/>
  <c r="K329" i="94"/>
  <c r="G329" i="94"/>
  <c r="E329" i="94"/>
  <c r="O329" i="94" s="1"/>
  <c r="C329" i="94"/>
  <c r="E328" i="94"/>
  <c r="E332" i="94" s="1"/>
  <c r="K326" i="94"/>
  <c r="G326" i="94"/>
  <c r="Z1" i="57"/>
  <c r="Z2" i="57" s="1"/>
  <c r="Q2" i="98"/>
  <c r="P2623" i="100"/>
  <c r="J2630" i="100" s="1"/>
  <c r="P2612" i="100"/>
  <c r="J2613" i="100" s="1"/>
  <c r="P2601" i="100"/>
  <c r="J2608" i="100" s="1"/>
  <c r="P2590" i="100"/>
  <c r="J2591" i="100" s="1"/>
  <c r="P2579" i="100"/>
  <c r="J2580" i="100" s="1"/>
  <c r="I2580" i="100" s="1"/>
  <c r="P2568" i="100"/>
  <c r="J2575" i="100" s="1"/>
  <c r="P2557" i="100"/>
  <c r="J2564" i="100" s="1"/>
  <c r="P2546" i="100"/>
  <c r="P2535" i="100"/>
  <c r="J2542" i="100" s="1"/>
  <c r="P2524" i="100"/>
  <c r="J2532" i="100" s="1"/>
  <c r="P2513" i="100"/>
  <c r="J2523" i="100" s="1"/>
  <c r="I2523" i="100" s="1"/>
  <c r="P2512" i="100"/>
  <c r="J2484" i="100" s="1"/>
  <c r="K2484" i="100" s="1"/>
  <c r="P2511" i="100"/>
  <c r="J2474" i="100" s="1"/>
  <c r="P2510" i="100"/>
  <c r="J2520" i="100" s="1"/>
  <c r="K2520" i="100" s="1"/>
  <c r="P2509" i="100"/>
  <c r="J2519" i="100" s="1"/>
  <c r="I2519" i="100" s="1"/>
  <c r="P2508" i="100"/>
  <c r="J2518" i="100" s="1"/>
  <c r="K2518" i="100" s="1"/>
  <c r="P2507" i="100"/>
  <c r="J2434" i="100" s="1"/>
  <c r="I2434" i="100" s="1"/>
  <c r="P2506" i="100"/>
  <c r="J2424" i="100" s="1"/>
  <c r="P2505" i="100"/>
  <c r="J2414" i="100" s="1"/>
  <c r="I2414" i="100" s="1"/>
  <c r="P2504" i="100"/>
  <c r="J2404" i="100" s="1"/>
  <c r="K2404" i="100" s="1"/>
  <c r="J2629" i="100"/>
  <c r="K2629" i="100" s="1"/>
  <c r="J2628" i="100"/>
  <c r="K2628" i="100" s="1"/>
  <c r="J2627" i="100"/>
  <c r="I2627" i="100" s="1"/>
  <c r="K2626" i="100"/>
  <c r="I2626" i="100"/>
  <c r="K2625" i="100"/>
  <c r="I2625" i="100"/>
  <c r="K2623" i="100"/>
  <c r="I2623" i="100"/>
  <c r="J2618" i="100"/>
  <c r="K2618" i="100" s="1"/>
  <c r="J2617" i="100"/>
  <c r="K2617" i="100" s="1"/>
  <c r="J2616" i="100"/>
  <c r="K2616" i="100" s="1"/>
  <c r="K2615" i="100"/>
  <c r="I2615" i="100"/>
  <c r="K2614" i="100"/>
  <c r="I2614" i="100"/>
  <c r="K2612" i="100"/>
  <c r="I2612" i="100"/>
  <c r="J2607" i="100"/>
  <c r="K2607" i="100" s="1"/>
  <c r="J2606" i="100"/>
  <c r="K2606" i="100" s="1"/>
  <c r="J2605" i="100"/>
  <c r="I2605" i="100" s="1"/>
  <c r="K2604" i="100"/>
  <c r="I2604" i="100"/>
  <c r="K2603" i="100"/>
  <c r="I2603" i="100"/>
  <c r="K2601" i="100"/>
  <c r="I2601" i="100"/>
  <c r="J2596" i="100"/>
  <c r="K2596" i="100" s="1"/>
  <c r="J2595" i="100"/>
  <c r="I2595" i="100" s="1"/>
  <c r="J2594" i="100"/>
  <c r="K2593" i="100"/>
  <c r="I2593" i="100"/>
  <c r="K2592" i="100"/>
  <c r="I2592" i="100"/>
  <c r="K2590" i="100"/>
  <c r="I2590" i="100"/>
  <c r="J2585" i="100"/>
  <c r="K2585" i="100" s="1"/>
  <c r="J2584" i="100"/>
  <c r="J2583" i="100"/>
  <c r="K2583" i="100" s="1"/>
  <c r="K2582" i="100"/>
  <c r="I2582" i="100"/>
  <c r="K2581" i="100"/>
  <c r="I2581" i="100"/>
  <c r="K2579" i="100"/>
  <c r="I2579" i="100"/>
  <c r="J2574" i="100"/>
  <c r="J2573" i="100"/>
  <c r="I2573" i="100" s="1"/>
  <c r="J2572" i="100"/>
  <c r="I2572" i="100" s="1"/>
  <c r="K2571" i="100"/>
  <c r="I2571" i="100"/>
  <c r="K2570" i="100"/>
  <c r="I2570" i="100"/>
  <c r="K2568" i="100"/>
  <c r="I2568" i="100"/>
  <c r="J2563" i="100"/>
  <c r="K2563" i="100" s="1"/>
  <c r="J2562" i="100"/>
  <c r="I2562" i="100" s="1"/>
  <c r="J2561" i="100"/>
  <c r="K2561" i="100" s="1"/>
  <c r="K2560" i="100"/>
  <c r="I2560" i="100"/>
  <c r="K2559" i="100"/>
  <c r="I2559" i="100"/>
  <c r="K2557" i="100"/>
  <c r="I2557" i="100"/>
  <c r="J2552" i="100"/>
  <c r="I2552" i="100" s="1"/>
  <c r="J2551" i="100"/>
  <c r="K2551" i="100" s="1"/>
  <c r="J2550" i="100"/>
  <c r="K2550" i="100" s="1"/>
  <c r="K2549" i="100"/>
  <c r="I2549" i="100"/>
  <c r="K2548" i="100"/>
  <c r="I2548" i="100"/>
  <c r="J2555" i="100"/>
  <c r="K2546" i="100"/>
  <c r="I2546" i="100"/>
  <c r="J2541" i="100"/>
  <c r="K2541" i="100" s="1"/>
  <c r="J2540" i="100"/>
  <c r="K2540" i="100" s="1"/>
  <c r="J2539" i="100"/>
  <c r="K2539" i="100" s="1"/>
  <c r="K2538" i="100"/>
  <c r="I2538" i="100"/>
  <c r="K2537" i="100"/>
  <c r="I2537" i="100"/>
  <c r="K2535" i="100"/>
  <c r="I2535" i="100"/>
  <c r="J2530" i="100"/>
  <c r="K2530" i="100" s="1"/>
  <c r="J2529" i="100"/>
  <c r="I2529" i="100" s="1"/>
  <c r="J2528" i="100"/>
  <c r="K2528" i="100" s="1"/>
  <c r="K2527" i="100"/>
  <c r="I2527" i="100"/>
  <c r="K2526" i="100"/>
  <c r="I2526" i="100"/>
  <c r="K2524" i="100"/>
  <c r="I2524" i="100"/>
  <c r="J2513" i="100"/>
  <c r="K2513" i="100" s="1"/>
  <c r="J2512" i="100"/>
  <c r="K2512" i="100" s="1"/>
  <c r="J2511" i="100"/>
  <c r="I2511" i="100" s="1"/>
  <c r="J2510" i="100"/>
  <c r="K2510" i="100" s="1"/>
  <c r="J2509" i="100"/>
  <c r="K2509" i="100" s="1"/>
  <c r="J2508" i="100"/>
  <c r="J2507" i="100"/>
  <c r="I2507" i="100" s="1"/>
  <c r="J2506" i="100"/>
  <c r="I2506" i="100" s="1"/>
  <c r="J2505" i="100"/>
  <c r="K2505" i="100" s="1"/>
  <c r="J2504" i="100"/>
  <c r="K2504" i="100" s="1"/>
  <c r="J2503" i="100"/>
  <c r="I2503" i="100" s="1"/>
  <c r="K2502" i="100"/>
  <c r="I2502" i="100"/>
  <c r="K2501" i="100"/>
  <c r="I2501" i="100"/>
  <c r="K2500" i="100"/>
  <c r="I2500" i="100"/>
  <c r="K2499" i="100"/>
  <c r="I2499" i="100"/>
  <c r="K2498" i="100"/>
  <c r="I2498" i="100"/>
  <c r="K2497" i="100"/>
  <c r="I2497" i="100"/>
  <c r="J2496" i="100"/>
  <c r="K2496" i="100" s="1"/>
  <c r="J2495" i="100"/>
  <c r="K2495" i="100" s="1"/>
  <c r="J2493" i="100"/>
  <c r="K2493" i="100" s="1"/>
  <c r="K2492" i="100"/>
  <c r="I2492" i="100"/>
  <c r="K2491" i="100"/>
  <c r="I2491" i="100"/>
  <c r="K2490" i="100"/>
  <c r="I2490" i="100"/>
  <c r="K2489" i="100"/>
  <c r="I2489" i="100"/>
  <c r="K2488" i="100"/>
  <c r="I2488" i="100"/>
  <c r="K2487" i="100"/>
  <c r="I2487" i="100"/>
  <c r="J2486" i="100"/>
  <c r="I2486" i="100" s="1"/>
  <c r="J2485" i="100"/>
  <c r="K2485" i="100" s="1"/>
  <c r="J2483" i="100"/>
  <c r="I2483" i="100" s="1"/>
  <c r="K2482" i="100"/>
  <c r="I2482" i="100"/>
  <c r="K2481" i="100"/>
  <c r="I2481" i="100"/>
  <c r="K2480" i="100"/>
  <c r="I2480" i="100"/>
  <c r="K2479" i="100"/>
  <c r="I2479" i="100"/>
  <c r="K2478" i="100"/>
  <c r="I2478" i="100"/>
  <c r="K2477" i="100"/>
  <c r="I2477" i="100"/>
  <c r="J2476" i="100"/>
  <c r="K2476" i="100" s="1"/>
  <c r="J2475" i="100"/>
  <c r="K2475" i="100" s="1"/>
  <c r="J2473" i="100"/>
  <c r="K2473" i="100" s="1"/>
  <c r="K2472" i="100"/>
  <c r="I2472" i="100"/>
  <c r="K2471" i="100"/>
  <c r="I2471" i="100"/>
  <c r="K2470" i="100"/>
  <c r="I2470" i="100"/>
  <c r="K2469" i="100"/>
  <c r="I2469" i="100"/>
  <c r="K2468" i="100"/>
  <c r="I2468" i="100"/>
  <c r="K2467" i="100"/>
  <c r="I2467" i="100"/>
  <c r="J2466" i="100"/>
  <c r="I2466" i="100" s="1"/>
  <c r="J2465" i="100"/>
  <c r="K2465" i="100" s="1"/>
  <c r="J2464" i="100"/>
  <c r="K2464" i="100" s="1"/>
  <c r="J2463" i="100"/>
  <c r="I2463" i="100" s="1"/>
  <c r="K2462" i="100"/>
  <c r="I2462" i="100"/>
  <c r="K2461" i="100"/>
  <c r="I2461" i="100"/>
  <c r="K2460" i="100"/>
  <c r="I2460" i="100"/>
  <c r="K2459" i="100"/>
  <c r="I2459" i="100"/>
  <c r="K2458" i="100"/>
  <c r="I2458" i="100"/>
  <c r="K2457" i="100"/>
  <c r="I2457" i="100"/>
  <c r="J2456" i="100"/>
  <c r="K2456" i="100" s="1"/>
  <c r="J2455" i="100"/>
  <c r="K2455" i="100" s="1"/>
  <c r="J2453" i="100"/>
  <c r="K2453" i="100" s="1"/>
  <c r="K2452" i="100"/>
  <c r="I2452" i="100"/>
  <c r="K2451" i="100"/>
  <c r="I2451" i="100"/>
  <c r="K2450" i="100"/>
  <c r="I2450" i="100"/>
  <c r="K2449" i="100"/>
  <c r="I2449" i="100"/>
  <c r="K2448" i="100"/>
  <c r="I2448" i="100"/>
  <c r="K2447" i="100"/>
  <c r="I2447" i="100"/>
  <c r="J2446" i="100"/>
  <c r="J2445" i="100"/>
  <c r="K2445" i="100" s="1"/>
  <c r="J2443" i="100"/>
  <c r="K2443" i="100" s="1"/>
  <c r="K2442" i="100"/>
  <c r="I2442" i="100"/>
  <c r="K2441" i="100"/>
  <c r="I2441" i="100"/>
  <c r="K2440" i="100"/>
  <c r="I2440" i="100"/>
  <c r="K2439" i="100"/>
  <c r="I2439" i="100"/>
  <c r="K2438" i="100"/>
  <c r="I2438" i="100"/>
  <c r="K2437" i="100"/>
  <c r="I2437" i="100"/>
  <c r="J2436" i="100"/>
  <c r="K2436" i="100" s="1"/>
  <c r="J2435" i="100"/>
  <c r="I2435" i="100" s="1"/>
  <c r="J2433" i="100"/>
  <c r="I2433" i="100" s="1"/>
  <c r="K2432" i="100"/>
  <c r="I2432" i="100"/>
  <c r="K2431" i="100"/>
  <c r="I2431" i="100"/>
  <c r="K2430" i="100"/>
  <c r="I2430" i="100"/>
  <c r="K2429" i="100"/>
  <c r="I2429" i="100"/>
  <c r="K2428" i="100"/>
  <c r="I2428" i="100"/>
  <c r="K2427" i="100"/>
  <c r="I2427" i="100"/>
  <c r="J2426" i="100"/>
  <c r="J2425" i="100"/>
  <c r="K2425" i="100" s="1"/>
  <c r="J2423" i="100"/>
  <c r="K2423" i="100" s="1"/>
  <c r="K2422" i="100"/>
  <c r="I2422" i="100"/>
  <c r="K2421" i="100"/>
  <c r="I2421" i="100"/>
  <c r="K2420" i="100"/>
  <c r="I2420" i="100"/>
  <c r="K2419" i="100"/>
  <c r="I2419" i="100"/>
  <c r="K2418" i="100"/>
  <c r="I2418" i="100"/>
  <c r="K2417" i="100"/>
  <c r="I2417" i="100"/>
  <c r="J2416" i="100"/>
  <c r="I2416" i="100" s="1"/>
  <c r="J2415" i="100"/>
  <c r="K2415" i="100" s="1"/>
  <c r="J2413" i="100"/>
  <c r="K2413" i="100" s="1"/>
  <c r="K2412" i="100"/>
  <c r="I2412" i="100"/>
  <c r="K2411" i="100"/>
  <c r="I2411" i="100"/>
  <c r="K2410" i="100"/>
  <c r="I2410" i="100"/>
  <c r="K2409" i="100"/>
  <c r="I2409" i="100"/>
  <c r="K2408" i="100"/>
  <c r="I2408" i="100"/>
  <c r="K2407" i="100"/>
  <c r="I2407" i="100"/>
  <c r="J2406" i="100"/>
  <c r="I2406" i="100" s="1"/>
  <c r="J2405" i="100"/>
  <c r="K2405" i="100" s="1"/>
  <c r="B2537" i="100"/>
  <c r="C2593" i="100"/>
  <c r="C2550" i="100"/>
  <c r="B2611" i="100"/>
  <c r="B2601" i="100"/>
  <c r="B2494" i="100"/>
  <c r="B2495" i="100"/>
  <c r="B2608" i="100"/>
  <c r="B2480" i="100"/>
  <c r="C2504" i="100"/>
  <c r="C2507" i="100"/>
  <c r="C2479" i="100"/>
  <c r="B2548" i="100"/>
  <c r="C2452" i="100"/>
  <c r="B2464" i="100"/>
  <c r="C2601" i="100"/>
  <c r="C2616" i="100"/>
  <c r="C2557" i="100"/>
  <c r="B2486" i="100"/>
  <c r="B2544" i="100"/>
  <c r="B2408" i="100"/>
  <c r="C2627" i="100"/>
  <c r="C2573" i="100"/>
  <c r="C2467" i="100"/>
  <c r="C2422" i="100"/>
  <c r="C2432" i="100"/>
  <c r="B2469" i="100"/>
  <c r="B2587" i="100"/>
  <c r="B2456" i="100"/>
  <c r="B2449" i="100"/>
  <c r="C2614" i="100"/>
  <c r="B2557" i="100"/>
  <c r="B2439" i="100"/>
  <c r="C2598" i="100"/>
  <c r="C2444" i="100"/>
  <c r="C2631" i="100"/>
  <c r="C2520" i="100"/>
  <c r="C2453" i="100"/>
  <c r="C2549" i="100"/>
  <c r="C2455" i="100"/>
  <c r="C2437" i="100"/>
  <c r="C2448" i="100"/>
  <c r="C2561" i="100"/>
  <c r="C2442" i="100"/>
  <c r="C2423" i="100"/>
  <c r="B2542" i="100"/>
  <c r="C2535" i="100"/>
  <c r="B2466" i="100"/>
  <c r="C2489" i="100"/>
  <c r="B2612" i="100"/>
  <c r="B2586" i="100"/>
  <c r="B2437" i="100"/>
  <c r="B2573" i="100"/>
  <c r="C2435" i="100"/>
  <c r="B2535" i="100"/>
  <c r="C2454" i="100"/>
  <c r="C2472" i="100"/>
  <c r="C2546" i="100"/>
  <c r="C2560" i="100"/>
  <c r="B2613" i="100"/>
  <c r="C2578" i="100"/>
  <c r="C2407" i="100"/>
  <c r="B2462" i="100"/>
  <c r="C2525" i="100"/>
  <c r="B2426" i="100"/>
  <c r="B2578" i="100"/>
  <c r="C2419" i="100"/>
  <c r="B2530" i="100"/>
  <c r="C2516" i="100"/>
  <c r="B2419" i="100"/>
  <c r="C2412" i="100"/>
  <c r="B2550" i="100"/>
  <c r="C2493" i="100"/>
  <c r="B2602" i="100"/>
  <c r="B2521" i="100"/>
  <c r="C2524" i="100"/>
  <c r="B2433" i="100"/>
  <c r="B2477" i="100"/>
  <c r="B2524" i="100"/>
  <c r="B2452" i="100"/>
  <c r="B2546" i="100"/>
  <c r="C2518" i="100"/>
  <c r="C2482" i="100"/>
  <c r="C2569" i="100"/>
  <c r="B2497" i="100"/>
  <c r="C2425" i="100"/>
  <c r="B2428" i="100"/>
  <c r="B2588" i="100"/>
  <c r="C2445" i="100"/>
  <c r="B2543" i="100"/>
  <c r="C2581" i="100"/>
  <c r="C2599" i="100"/>
  <c r="B2533" i="100"/>
  <c r="C2476" i="100"/>
  <c r="B2565" i="100"/>
  <c r="C2553" i="100"/>
  <c r="C2621" i="100"/>
  <c r="B2453" i="100"/>
  <c r="C2612" i="100"/>
  <c r="B2465" i="100"/>
  <c r="B2447" i="100"/>
  <c r="C2564" i="100"/>
  <c r="C2597" i="100"/>
  <c r="B2458" i="100"/>
  <c r="C2468" i="100"/>
  <c r="B2416" i="100"/>
  <c r="C2424" i="100"/>
  <c r="B2420" i="100"/>
  <c r="C2514" i="100"/>
  <c r="B2492" i="100"/>
  <c r="C2408" i="100"/>
  <c r="C2474" i="100"/>
  <c r="C2574" i="100"/>
  <c r="C2521" i="100"/>
  <c r="B2487" i="100"/>
  <c r="B2529" i="100"/>
  <c r="C2624" i="100"/>
  <c r="C2488" i="100"/>
  <c r="B2554" i="100"/>
  <c r="C2487" i="100"/>
  <c r="C2600" i="100"/>
  <c r="C2623" i="100"/>
  <c r="C2409" i="100"/>
  <c r="C2463" i="100"/>
  <c r="B2629" i="100"/>
  <c r="C2471" i="100"/>
  <c r="B2605" i="100"/>
  <c r="C2485" i="100"/>
  <c r="B2455" i="100"/>
  <c r="B2511" i="100"/>
  <c r="C2469" i="100"/>
  <c r="C2580" i="100"/>
  <c r="B2490" i="100"/>
  <c r="B2582" i="100"/>
  <c r="C2436" i="100"/>
  <c r="C2575" i="100"/>
  <c r="C2577" i="100"/>
  <c r="C2604" i="100"/>
  <c r="B2556" i="100"/>
  <c r="B2429" i="100"/>
  <c r="C2590" i="100"/>
  <c r="C2584" i="100"/>
  <c r="C2473" i="100"/>
  <c r="B2503" i="100"/>
  <c r="C2611" i="100"/>
  <c r="C2411" i="100"/>
  <c r="B2513" i="100"/>
  <c r="B2572" i="100"/>
  <c r="C2406" i="100"/>
  <c r="C2450" i="100"/>
  <c r="B2476" i="100"/>
  <c r="C2620" i="100"/>
  <c r="C2630" i="100"/>
  <c r="C2576" i="100"/>
  <c r="C2458" i="100"/>
  <c r="C2505" i="100"/>
  <c r="C2533" i="100"/>
  <c r="B2598" i="100"/>
  <c r="B2614" i="100"/>
  <c r="B2607" i="100"/>
  <c r="C2602" i="100"/>
  <c r="B2500" i="100"/>
  <c r="C2510" i="100"/>
  <c r="B2412" i="100"/>
  <c r="B2454" i="100"/>
  <c r="C2517" i="100"/>
  <c r="C2441" i="100"/>
  <c r="B2591" i="100"/>
  <c r="B2575" i="100"/>
  <c r="C2438" i="100"/>
  <c r="C2499" i="100"/>
  <c r="B2597" i="100"/>
  <c r="C2532" i="100"/>
  <c r="B2619" i="100"/>
  <c r="C2526" i="100"/>
  <c r="C2542" i="100"/>
  <c r="C2537" i="100"/>
  <c r="C2457" i="100"/>
  <c r="C2603" i="100"/>
  <c r="C2498" i="100"/>
  <c r="B2594" i="100"/>
  <c r="B2405" i="100"/>
  <c r="B2493" i="100"/>
  <c r="C2559" i="100"/>
  <c r="B2536" i="100"/>
  <c r="B2459" i="100"/>
  <c r="C2588" i="100"/>
  <c r="C2618" i="100"/>
  <c r="B2584" i="100"/>
  <c r="C2617" i="100"/>
  <c r="B2457" i="100"/>
  <c r="B2532" i="100"/>
  <c r="B2515" i="100"/>
  <c r="B2450" i="100"/>
  <c r="B2425" i="100"/>
  <c r="B2430" i="100"/>
  <c r="C2570" i="100"/>
  <c r="C2583" i="100"/>
  <c r="B2561" i="100"/>
  <c r="C2609" i="100"/>
  <c r="B2473" i="100"/>
  <c r="C2506" i="100"/>
  <c r="C2606" i="100"/>
  <c r="B2523" i="100"/>
  <c r="C2523" i="100"/>
  <c r="B2567" i="100"/>
  <c r="C2626" i="100"/>
  <c r="B2516" i="100"/>
  <c r="B2514" i="100"/>
  <c r="B2626" i="100"/>
  <c r="B2570" i="100"/>
  <c r="B2436" i="100"/>
  <c r="B2576" i="100"/>
  <c r="B2577" i="100"/>
  <c r="C2633" i="100"/>
  <c r="B2545" i="100"/>
  <c r="B2489" i="100"/>
  <c r="C2625" i="100"/>
  <c r="B2623" i="100"/>
  <c r="C2515" i="100"/>
  <c r="C2447" i="100"/>
  <c r="B2431" i="100"/>
  <c r="C2431" i="100"/>
  <c r="B2442" i="100"/>
  <c r="C2495" i="100"/>
  <c r="C2462" i="100"/>
  <c r="B2609" i="100"/>
  <c r="B2618" i="100"/>
  <c r="C2547" i="100"/>
  <c r="B2444" i="100"/>
  <c r="C2541" i="100"/>
  <c r="C2551" i="100"/>
  <c r="C2460" i="100"/>
  <c r="B2566" i="100"/>
  <c r="C2456" i="100"/>
  <c r="B2620" i="100"/>
  <c r="B2485" i="100"/>
  <c r="C2492" i="100"/>
  <c r="B2589" i="100"/>
  <c r="B2630" i="100"/>
  <c r="C2418" i="100"/>
  <c r="B2628" i="100"/>
  <c r="B2581" i="100"/>
  <c r="B2560" i="100"/>
  <c r="B2435" i="100"/>
  <c r="B2600" i="100"/>
  <c r="B2488" i="100"/>
  <c r="C2470" i="100"/>
  <c r="B2504" i="100"/>
  <c r="C2628" i="100"/>
  <c r="C2426" i="100"/>
  <c r="C2439" i="100"/>
  <c r="B2540" i="100"/>
  <c r="B2474" i="100"/>
  <c r="C2440" i="100"/>
  <c r="C2430" i="100"/>
  <c r="C2464" i="100"/>
  <c r="C2591" i="100"/>
  <c r="C2433" i="100"/>
  <c r="B2421" i="100"/>
  <c r="B2491" i="100"/>
  <c r="B2509" i="100"/>
  <c r="B2479" i="100"/>
  <c r="C2592" i="100"/>
  <c r="B2569" i="100"/>
  <c r="B2564" i="100"/>
  <c r="C2497" i="100"/>
  <c r="C2509" i="100"/>
  <c r="B2625" i="100"/>
  <c r="C2417" i="100"/>
  <c r="B2621" i="100"/>
  <c r="C2421" i="100"/>
  <c r="C2494" i="100"/>
  <c r="C2610" i="100"/>
  <c r="C2539" i="100"/>
  <c r="C2607" i="100"/>
  <c r="B2580" i="100"/>
  <c r="B2448" i="100"/>
  <c r="B2472" i="100"/>
  <c r="C2585" i="100"/>
  <c r="B2478" i="100"/>
  <c r="B2526" i="100"/>
  <c r="C2632" i="100"/>
  <c r="C2589" i="100"/>
  <c r="C2615" i="100"/>
  <c r="B2484" i="100"/>
  <c r="B2538" i="100"/>
  <c r="C2555" i="100"/>
  <c r="B2475" i="100"/>
  <c r="B2505" i="100"/>
  <c r="B2443" i="100"/>
  <c r="B2592" i="100"/>
  <c r="B2496" i="100"/>
  <c r="C2414" i="100"/>
  <c r="C2434" i="100"/>
  <c r="B2470" i="100"/>
  <c r="C2477" i="100"/>
  <c r="C2475" i="100"/>
  <c r="C2512" i="100"/>
  <c r="B2440" i="100"/>
  <c r="C2545" i="100"/>
  <c r="C2428" i="100"/>
  <c r="C2519" i="100"/>
  <c r="C2513" i="100"/>
  <c r="C2538" i="100"/>
  <c r="B2539" i="100"/>
  <c r="C2596" i="100"/>
  <c r="B2579" i="100"/>
  <c r="C2586" i="100"/>
  <c r="B2471" i="100"/>
  <c r="C2420" i="100"/>
  <c r="C2582" i="100"/>
  <c r="B2555" i="100"/>
  <c r="C2508" i="100"/>
  <c r="C2480" i="100"/>
  <c r="B2558" i="100"/>
  <c r="B2531" i="100"/>
  <c r="C2490" i="100"/>
  <c r="C2568" i="100"/>
  <c r="C2594" i="100"/>
  <c r="B2438" i="100"/>
  <c r="B2461" i="100"/>
  <c r="C2511" i="100"/>
  <c r="B2413" i="100"/>
  <c r="B2596" i="100"/>
  <c r="C2572" i="100"/>
  <c r="B2553" i="100"/>
  <c r="B2610" i="100"/>
  <c r="C2579" i="100"/>
  <c r="C2548" i="100"/>
  <c r="C2449" i="100"/>
  <c r="B2599" i="100"/>
  <c r="C2531" i="100"/>
  <c r="B2593" i="100"/>
  <c r="C2536" i="100"/>
  <c r="B2551" i="100"/>
  <c r="B2528" i="100"/>
  <c r="B2502" i="100"/>
  <c r="B2617" i="100"/>
  <c r="B2632" i="100"/>
  <c r="C2466" i="100"/>
  <c r="B2510" i="100"/>
  <c r="C2484" i="100"/>
  <c r="C2459" i="100"/>
  <c r="B2622" i="100"/>
  <c r="B2571" i="100"/>
  <c r="B2446" i="100"/>
  <c r="C2486" i="100"/>
  <c r="B2631" i="100"/>
  <c r="B2627" i="100"/>
  <c r="C2415" i="100"/>
  <c r="B2603" i="100"/>
  <c r="B2451" i="100"/>
  <c r="B2507" i="100"/>
  <c r="B2547" i="100"/>
  <c r="B2525" i="100"/>
  <c r="C2571" i="100"/>
  <c r="B2512" i="100"/>
  <c r="B2568" i="100"/>
  <c r="C2562" i="100"/>
  <c r="C2429" i="100"/>
  <c r="C2500" i="100"/>
  <c r="B2414" i="100"/>
  <c r="C2491" i="100"/>
  <c r="B2417" i="100"/>
  <c r="C2554" i="100"/>
  <c r="C2483" i="100"/>
  <c r="C2613" i="100"/>
  <c r="C2427" i="100"/>
  <c r="C2552" i="100"/>
  <c r="C2465" i="100"/>
  <c r="C2446" i="100"/>
  <c r="C2605" i="100"/>
  <c r="C2558" i="100"/>
  <c r="B2483" i="100"/>
  <c r="C2587" i="100"/>
  <c r="C2534" i="100"/>
  <c r="B2506" i="100"/>
  <c r="C2529" i="100"/>
  <c r="C2567" i="100"/>
  <c r="B2499" i="100"/>
  <c r="B2423" i="100"/>
  <c r="C2501" i="100"/>
  <c r="B2482" i="100"/>
  <c r="C2566" i="100"/>
  <c r="B2595" i="100"/>
  <c r="B2534" i="100"/>
  <c r="B2404" i="100"/>
  <c r="C2405" i="100"/>
  <c r="B2615" i="100"/>
  <c r="B2409" i="100"/>
  <c r="B2501" i="100"/>
  <c r="B2422" i="100"/>
  <c r="B2606" i="100"/>
  <c r="B2562" i="100"/>
  <c r="B2527" i="100"/>
  <c r="B2411" i="100"/>
  <c r="B2522" i="100"/>
  <c r="B2434" i="100"/>
  <c r="C2622" i="100"/>
  <c r="B2432" i="100"/>
  <c r="B2518" i="100"/>
  <c r="B2481" i="100"/>
  <c r="C2416" i="100"/>
  <c r="C2443" i="100"/>
  <c r="B2616" i="100"/>
  <c r="B2498" i="100"/>
  <c r="C2543" i="100"/>
  <c r="B2410" i="100"/>
  <c r="C2629" i="100"/>
  <c r="B2517" i="100"/>
  <c r="B2604" i="100"/>
  <c r="B2519" i="100"/>
  <c r="B2559" i="100"/>
  <c r="B2585" i="100"/>
  <c r="C2527" i="100"/>
  <c r="B2463" i="100"/>
  <c r="B2520" i="100"/>
  <c r="C2540" i="100"/>
  <c r="C2530" i="100"/>
  <c r="C2404" i="100"/>
  <c r="B2418" i="100"/>
  <c r="B2424" i="100"/>
  <c r="C2461" i="100"/>
  <c r="C2522" i="100"/>
  <c r="C2451" i="100"/>
  <c r="B2633" i="100"/>
  <c r="C2608" i="100"/>
  <c r="C2481" i="100"/>
  <c r="B2563" i="100"/>
  <c r="B2445" i="100"/>
  <c r="C2563" i="100"/>
  <c r="C2413" i="100"/>
  <c r="B2460" i="100"/>
  <c r="C2410" i="100"/>
  <c r="B2549" i="100"/>
  <c r="C2595" i="100"/>
  <c r="C2544" i="100"/>
  <c r="C2478" i="100"/>
  <c r="C2556" i="100"/>
  <c r="B2427" i="100"/>
  <c r="B2467" i="100"/>
  <c r="B2590" i="100"/>
  <c r="C2503" i="100"/>
  <c r="B2508" i="100"/>
  <c r="C2496" i="100"/>
  <c r="C2619" i="100"/>
  <c r="B2541" i="100"/>
  <c r="B2574" i="100"/>
  <c r="B2407" i="100"/>
  <c r="B2624" i="100"/>
  <c r="B2441" i="100"/>
  <c r="B2583" i="100"/>
  <c r="B2552" i="100"/>
  <c r="B2406" i="100"/>
  <c r="C2502" i="100"/>
  <c r="C2528" i="100"/>
  <c r="B2468" i="100"/>
  <c r="B2415" i="100"/>
  <c r="C2565" i="100"/>
  <c r="J2515" i="100" l="1"/>
  <c r="K2515" i="100" s="1"/>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J2521" i="100"/>
  <c r="K2521" i="100" s="1"/>
  <c r="K2595" i="100"/>
  <c r="J2514" i="100"/>
  <c r="I2514" i="100" s="1"/>
  <c r="J2522" i="100"/>
  <c r="I2522" i="100" s="1"/>
  <c r="J2516" i="100"/>
  <c r="K2516" i="100" s="1"/>
  <c r="I2583" i="100"/>
  <c r="I2495" i="100"/>
  <c r="J2494" i="100"/>
  <c r="K2494" i="100" s="1"/>
  <c r="K2433" i="100"/>
  <c r="I2476" i="100"/>
  <c r="I2505" i="100"/>
  <c r="I2415" i="100"/>
  <c r="I2455" i="100"/>
  <c r="I2475" i="100"/>
  <c r="K2507" i="100"/>
  <c r="K2416" i="100"/>
  <c r="J2588" i="100"/>
  <c r="K2588" i="100" s="1"/>
  <c r="I2473" i="100"/>
  <c r="I2596" i="100"/>
  <c r="L764" i="97"/>
  <c r="M56" i="98"/>
  <c r="M55" i="98"/>
  <c r="M52" i="98"/>
  <c r="M47" i="98"/>
  <c r="D761" i="97"/>
  <c r="D763" i="97"/>
  <c r="D747" i="97"/>
  <c r="D719" i="97"/>
  <c r="D749" i="97"/>
  <c r="L750" i="97"/>
  <c r="D735" i="97"/>
  <c r="L736" i="97"/>
  <c r="D705" i="97"/>
  <c r="D721" i="97"/>
  <c r="L722" i="97"/>
  <c r="D691" i="97"/>
  <c r="D707" i="97"/>
  <c r="L708" i="97"/>
  <c r="D679" i="97"/>
  <c r="D693" i="97"/>
  <c r="L694" i="97"/>
  <c r="D677" i="97"/>
  <c r="D651" i="97"/>
  <c r="L680" i="97"/>
  <c r="D663" i="97"/>
  <c r="D665" i="97"/>
  <c r="L666" i="97"/>
  <c r="D649" i="97"/>
  <c r="L652" i="97"/>
  <c r="D635" i="97"/>
  <c r="H635" i="97"/>
  <c r="D637" i="97"/>
  <c r="L638" i="97"/>
  <c r="K420" i="94"/>
  <c r="K376" i="94"/>
  <c r="K431" i="94"/>
  <c r="K409" i="94"/>
  <c r="K398" i="94"/>
  <c r="K387" i="94"/>
  <c r="K365" i="94"/>
  <c r="K354" i="94"/>
  <c r="K343" i="94"/>
  <c r="K332" i="94"/>
  <c r="J2454" i="100"/>
  <c r="K2454" i="100" s="1"/>
  <c r="I2443" i="100"/>
  <c r="I2453" i="100"/>
  <c r="J2534" i="100"/>
  <c r="K2534" i="100" s="1"/>
  <c r="I2539" i="100"/>
  <c r="J2578" i="100"/>
  <c r="K2578" i="100" s="1"/>
  <c r="I2413" i="100"/>
  <c r="I2436" i="100"/>
  <c r="I2513" i="100"/>
  <c r="I2528" i="100"/>
  <c r="J2620" i="100"/>
  <c r="I2620" i="100" s="1"/>
  <c r="J2598" i="100"/>
  <c r="K2598" i="100" s="1"/>
  <c r="K2573" i="100"/>
  <c r="I2585" i="100"/>
  <c r="K2605" i="100"/>
  <c r="I2423" i="100"/>
  <c r="K2529" i="100"/>
  <c r="J2569" i="100"/>
  <c r="K2569" i="100" s="1"/>
  <c r="I2456" i="100"/>
  <c r="I2496" i="100"/>
  <c r="J2554" i="100"/>
  <c r="K2554" i="100" s="1"/>
  <c r="J2576" i="100"/>
  <c r="K2576" i="100" s="1"/>
  <c r="I2607" i="100"/>
  <c r="J2517" i="100"/>
  <c r="K2517" i="100" s="1"/>
  <c r="K2523" i="100"/>
  <c r="J2444" i="100"/>
  <c r="K2444" i="100" s="1"/>
  <c r="I2404" i="100"/>
  <c r="I2493" i="100"/>
  <c r="I2509" i="100"/>
  <c r="I2541" i="100"/>
  <c r="J2556" i="100"/>
  <c r="I2561" i="100"/>
  <c r="J2589" i="100"/>
  <c r="J2599" i="100"/>
  <c r="J2622" i="100"/>
  <c r="I2622" i="100" s="1"/>
  <c r="K2511" i="100"/>
  <c r="K2519" i="100"/>
  <c r="I2465" i="100"/>
  <c r="I2485" i="100"/>
  <c r="J2600" i="100"/>
  <c r="I2600" i="100" s="1"/>
  <c r="K2627" i="100"/>
  <c r="K2463" i="100"/>
  <c r="K2503" i="100"/>
  <c r="J2544" i="100"/>
  <c r="K2544" i="100" s="1"/>
  <c r="J2610" i="100"/>
  <c r="I2610" i="100" s="1"/>
  <c r="K2483" i="100"/>
  <c r="I2510" i="100"/>
  <c r="I2518" i="100"/>
  <c r="I2551" i="100"/>
  <c r="I2563" i="100"/>
  <c r="I2617" i="100"/>
  <c r="I2629" i="100"/>
  <c r="K2435" i="100"/>
  <c r="J2602" i="100"/>
  <c r="K2602" i="100" s="1"/>
  <c r="I2606" i="100"/>
  <c r="J2632" i="100"/>
  <c r="K2632" i="100" s="1"/>
  <c r="I2542" i="100"/>
  <c r="K2542" i="100"/>
  <c r="I2405" i="100"/>
  <c r="K2414" i="100"/>
  <c r="K2574" i="100"/>
  <c r="I2574" i="100"/>
  <c r="I2630" i="100"/>
  <c r="K2630" i="100"/>
  <c r="I2425" i="100"/>
  <c r="K2555" i="100"/>
  <c r="I2555" i="100"/>
  <c r="K2434" i="100"/>
  <c r="J2565" i="100"/>
  <c r="J2558" i="100"/>
  <c r="J2566" i="100"/>
  <c r="J2567" i="100"/>
  <c r="K2608" i="100"/>
  <c r="I2608" i="100"/>
  <c r="K2564" i="100"/>
  <c r="I2564" i="100"/>
  <c r="K2406" i="100"/>
  <c r="I2446" i="100"/>
  <c r="K2446" i="100"/>
  <c r="K2575" i="100"/>
  <c r="I2575" i="100"/>
  <c r="K2584" i="100"/>
  <c r="I2584" i="100"/>
  <c r="K2594" i="100"/>
  <c r="I2594" i="100"/>
  <c r="K2474" i="100"/>
  <c r="I2474" i="100"/>
  <c r="K2613" i="100"/>
  <c r="I2613" i="100"/>
  <c r="K2424" i="100"/>
  <c r="I2424" i="100"/>
  <c r="K2508" i="100"/>
  <c r="I2508" i="100"/>
  <c r="I2426" i="100"/>
  <c r="K2426" i="100"/>
  <c r="I2445" i="100"/>
  <c r="I2532" i="100"/>
  <c r="K2532" i="100"/>
  <c r="K2591" i="100"/>
  <c r="I2591" i="100"/>
  <c r="K2466" i="100"/>
  <c r="K2486" i="100"/>
  <c r="K2506" i="100"/>
  <c r="K2522" i="100"/>
  <c r="J2547" i="100"/>
  <c r="K2552" i="100"/>
  <c r="K2562" i="100"/>
  <c r="K2572" i="100"/>
  <c r="J2577" i="100"/>
  <c r="K2580" i="100"/>
  <c r="J2587" i="100"/>
  <c r="J2597" i="100"/>
  <c r="J2531" i="100"/>
  <c r="J2609" i="100"/>
  <c r="I2616" i="100"/>
  <c r="J2619" i="100"/>
  <c r="J2536" i="100"/>
  <c r="J2586" i="100"/>
  <c r="J2624" i="100"/>
  <c r="I2464" i="100"/>
  <c r="I2484" i="100"/>
  <c r="I2504" i="100"/>
  <c r="I2512" i="100"/>
  <c r="I2520" i="100"/>
  <c r="I2530" i="100"/>
  <c r="J2533" i="100"/>
  <c r="I2540" i="100"/>
  <c r="J2543" i="100"/>
  <c r="I2550" i="100"/>
  <c r="J2553" i="100"/>
  <c r="I2598" i="100"/>
  <c r="J2611" i="100"/>
  <c r="I2618" i="100"/>
  <c r="J2621" i="100"/>
  <c r="I2628" i="100"/>
  <c r="J2631" i="100"/>
  <c r="J2525" i="100"/>
  <c r="J2545" i="100"/>
  <c r="J2633" i="100"/>
  <c r="C2822" i="100"/>
  <c r="B2673" i="100"/>
  <c r="C2813" i="100"/>
  <c r="C2837" i="100"/>
  <c r="B2642" i="100"/>
  <c r="C2823" i="100"/>
  <c r="B2747" i="100"/>
  <c r="B2643" i="100"/>
  <c r="B2732" i="100"/>
  <c r="C2897" i="100"/>
  <c r="B2783" i="100"/>
  <c r="B2933" i="100"/>
  <c r="C2673" i="100"/>
  <c r="C2883" i="100"/>
  <c r="B2733" i="100"/>
  <c r="B2813" i="100"/>
  <c r="B2793" i="100"/>
  <c r="C2693" i="100"/>
  <c r="C2933" i="100"/>
  <c r="B2897" i="100"/>
  <c r="C2853" i="100"/>
  <c r="C2873" i="100"/>
  <c r="B2792" i="100"/>
  <c r="B2927" i="100"/>
  <c r="B2702" i="100"/>
  <c r="B2883" i="100"/>
  <c r="B2807" i="100"/>
  <c r="C2927" i="100"/>
  <c r="B2763" i="100"/>
  <c r="C2762" i="100"/>
  <c r="C2903" i="100"/>
  <c r="C2747" i="100"/>
  <c r="B2723" i="100"/>
  <c r="B2657" i="100"/>
  <c r="B2753" i="100"/>
  <c r="C2843" i="100"/>
  <c r="B2693" i="100"/>
  <c r="B2762" i="100"/>
  <c r="B2903" i="100"/>
  <c r="B2853" i="100"/>
  <c r="C2723" i="100"/>
  <c r="C2687" i="100"/>
  <c r="B2777" i="100"/>
  <c r="C2732" i="100"/>
  <c r="C2783" i="100"/>
  <c r="B2703" i="100"/>
  <c r="C2867" i="100"/>
  <c r="C2643" i="100"/>
  <c r="C2792" i="100"/>
  <c r="B2823" i="100"/>
  <c r="C2657" i="100"/>
  <c r="B2663" i="100"/>
  <c r="C2642" i="100"/>
  <c r="C2753" i="100"/>
  <c r="B2822" i="100"/>
  <c r="B2843" i="100"/>
  <c r="C2912" i="100"/>
  <c r="C2672" i="100"/>
  <c r="B2672" i="100"/>
  <c r="C2702" i="100"/>
  <c r="C2703" i="100"/>
  <c r="C2807" i="100"/>
  <c r="B2882" i="100"/>
  <c r="C2777" i="100"/>
  <c r="C2717" i="100"/>
  <c r="B2837" i="100"/>
  <c r="C2763" i="100"/>
  <c r="B2912" i="100"/>
  <c r="C2733" i="100"/>
  <c r="C2852" i="100"/>
  <c r="B2687" i="100"/>
  <c r="C2913" i="100"/>
  <c r="B2717" i="100"/>
  <c r="C2882" i="100"/>
  <c r="B2852" i="100"/>
  <c r="B2867" i="100"/>
  <c r="B2913" i="100"/>
  <c r="C2663" i="100"/>
  <c r="B2873" i="100"/>
  <c r="C2793" i="100"/>
  <c r="I2515" i="100" l="1"/>
  <c r="Z89" i="94"/>
  <c r="Y89" i="94"/>
  <c r="AA89" i="94"/>
  <c r="I2554" i="100"/>
  <c r="I2521" i="100"/>
  <c r="I2632" i="100"/>
  <c r="I2516" i="100"/>
  <c r="K2514" i="100"/>
  <c r="I2544" i="100"/>
  <c r="I2569" i="100"/>
  <c r="K2622" i="100"/>
  <c r="I2494" i="100"/>
  <c r="I2578" i="100"/>
  <c r="K2600" i="100"/>
  <c r="I2602" i="100"/>
  <c r="I2454" i="100"/>
  <c r="I2534" i="100"/>
  <c r="I2588" i="100"/>
  <c r="I2576" i="100"/>
  <c r="I2444" i="100"/>
  <c r="K2620" i="100"/>
  <c r="K2610" i="100"/>
  <c r="I2517" i="100"/>
  <c r="K2599" i="100"/>
  <c r="I2599" i="100"/>
  <c r="K2589" i="100"/>
  <c r="I2589" i="100"/>
  <c r="K2556" i="100"/>
  <c r="I2556" i="100"/>
  <c r="K2621" i="100"/>
  <c r="I2621" i="100"/>
  <c r="K2543" i="100"/>
  <c r="I2543" i="100"/>
  <c r="K2533" i="100"/>
  <c r="I2533" i="100"/>
  <c r="K2624" i="100"/>
  <c r="I2624" i="100"/>
  <c r="I2547" i="100"/>
  <c r="K2547" i="100"/>
  <c r="K2586" i="100"/>
  <c r="I2586" i="100"/>
  <c r="K2633" i="100"/>
  <c r="I2633" i="100"/>
  <c r="K2536" i="100"/>
  <c r="I2536" i="100"/>
  <c r="I2597" i="100"/>
  <c r="K2597" i="100"/>
  <c r="K2545" i="100"/>
  <c r="I2545" i="100"/>
  <c r="K2619" i="100"/>
  <c r="I2619" i="100"/>
  <c r="I2587" i="100"/>
  <c r="K2587" i="100"/>
  <c r="I2567" i="100"/>
  <c r="K2567" i="100"/>
  <c r="K2611" i="100"/>
  <c r="I2611" i="100"/>
  <c r="K2525" i="100"/>
  <c r="I2525" i="100"/>
  <c r="K2553" i="100"/>
  <c r="I2553" i="100"/>
  <c r="K2566" i="100"/>
  <c r="I2566" i="100"/>
  <c r="K2631" i="100"/>
  <c r="I2631" i="100"/>
  <c r="K2609" i="100"/>
  <c r="I2609" i="100"/>
  <c r="I2577" i="100"/>
  <c r="K2577" i="100"/>
  <c r="K2558" i="100"/>
  <c r="I2558" i="100"/>
  <c r="K2531" i="100"/>
  <c r="I2531" i="100"/>
  <c r="K2565" i="100"/>
  <c r="I2565" i="100"/>
  <c r="AB38" i="72" l="1"/>
  <c r="Z38" i="72" s="1"/>
  <c r="O466" i="94"/>
  <c r="O458" i="94"/>
  <c r="O450" i="94"/>
  <c r="O442" i="94"/>
  <c r="O434" i="94"/>
  <c r="E17" i="12"/>
  <c r="T2403" i="100"/>
  <c r="J2403" i="100" s="1"/>
  <c r="T2402" i="100"/>
  <c r="J2402" i="100" s="1"/>
  <c r="T2401" i="100"/>
  <c r="J2401" i="100" s="1"/>
  <c r="T2400" i="100"/>
  <c r="J2400" i="100" s="1"/>
  <c r="K2400" i="100" s="1"/>
  <c r="T2399" i="100"/>
  <c r="J2399" i="100" s="1"/>
  <c r="K2399" i="100" s="1"/>
  <c r="T2398" i="100"/>
  <c r="T2397" i="100"/>
  <c r="J2397" i="100" s="1"/>
  <c r="T2396" i="100"/>
  <c r="J2396" i="100" s="1"/>
  <c r="K2396" i="100" s="1"/>
  <c r="T2395" i="100"/>
  <c r="J2395" i="100" s="1"/>
  <c r="K2395" i="100" s="1"/>
  <c r="T2383" i="100"/>
  <c r="T2384" i="100"/>
  <c r="G2384" i="100" s="1"/>
  <c r="T2385" i="100"/>
  <c r="G2385" i="100" s="1"/>
  <c r="T2386" i="100"/>
  <c r="G2386" i="100" s="1"/>
  <c r="T2387" i="100"/>
  <c r="G2387" i="100" s="1"/>
  <c r="T2388" i="100"/>
  <c r="G2388" i="100" s="1"/>
  <c r="T2389" i="100"/>
  <c r="G2389" i="100" s="1"/>
  <c r="T2390" i="100"/>
  <c r="G2390" i="100" s="1"/>
  <c r="T2391" i="100"/>
  <c r="G2391" i="100" s="1"/>
  <c r="T2392" i="100"/>
  <c r="G2392" i="100" s="1"/>
  <c r="T2393" i="100"/>
  <c r="G2393" i="100" s="1"/>
  <c r="T2394" i="100"/>
  <c r="G2394" i="100" s="1"/>
  <c r="T2382" i="100"/>
  <c r="G2382" i="100" s="1"/>
  <c r="T2361" i="100"/>
  <c r="T2362" i="100"/>
  <c r="G2362" i="100" s="1"/>
  <c r="T2363" i="100"/>
  <c r="G2363" i="100" s="1"/>
  <c r="T2364" i="100"/>
  <c r="G2364" i="100" s="1"/>
  <c r="T2365" i="100"/>
  <c r="G2365" i="100" s="1"/>
  <c r="T2366" i="100"/>
  <c r="G2366" i="100" s="1"/>
  <c r="T2367" i="100"/>
  <c r="G2367" i="100" s="1"/>
  <c r="T2368" i="100"/>
  <c r="G2368" i="100" s="1"/>
  <c r="T2369" i="100"/>
  <c r="G2369" i="100" s="1"/>
  <c r="T2370" i="100"/>
  <c r="G2370" i="100" s="1"/>
  <c r="T2371" i="100"/>
  <c r="G2371" i="100" s="1"/>
  <c r="T2372" i="100"/>
  <c r="G2372" i="100" s="1"/>
  <c r="T2360" i="100"/>
  <c r="G2360" i="100" s="1"/>
  <c r="T2339" i="100"/>
  <c r="T2340" i="100"/>
  <c r="G2340" i="100" s="1"/>
  <c r="T2341" i="100"/>
  <c r="G2341" i="100" s="1"/>
  <c r="T2342" i="100"/>
  <c r="G2342" i="100" s="1"/>
  <c r="T2343" i="100"/>
  <c r="G2343" i="100" s="1"/>
  <c r="T2344" i="100"/>
  <c r="G2344" i="100" s="1"/>
  <c r="T2345" i="100"/>
  <c r="G2345" i="100" s="1"/>
  <c r="T2346" i="100"/>
  <c r="G2346" i="100" s="1"/>
  <c r="T2347" i="100"/>
  <c r="G2347" i="100" s="1"/>
  <c r="T2348" i="100"/>
  <c r="G2348" i="100" s="1"/>
  <c r="T2349" i="100"/>
  <c r="G2349" i="100" s="1"/>
  <c r="T2350" i="100"/>
  <c r="G2350" i="100" s="1"/>
  <c r="T2338" i="100"/>
  <c r="G2338" i="100" s="1"/>
  <c r="T2317" i="100"/>
  <c r="T2318" i="100"/>
  <c r="G2318" i="100" s="1"/>
  <c r="T2319" i="100"/>
  <c r="G2319" i="100" s="1"/>
  <c r="T2320" i="100"/>
  <c r="G2320" i="100" s="1"/>
  <c r="T2321" i="100"/>
  <c r="T2322" i="100"/>
  <c r="G2322" i="100" s="1"/>
  <c r="T2323" i="100"/>
  <c r="G2323" i="100" s="1"/>
  <c r="T2324" i="100"/>
  <c r="G2324" i="100" s="1"/>
  <c r="T2325" i="100"/>
  <c r="G2325" i="100" s="1"/>
  <c r="T2326" i="100"/>
  <c r="G2326" i="100" s="1"/>
  <c r="T2327" i="100"/>
  <c r="G2327" i="100" s="1"/>
  <c r="T2328" i="100"/>
  <c r="G2328" i="100" s="1"/>
  <c r="T2316" i="100"/>
  <c r="G2316" i="100" s="1"/>
  <c r="J2398" i="100"/>
  <c r="T2381" i="100"/>
  <c r="J2381" i="100" s="1"/>
  <c r="T2380" i="100"/>
  <c r="J2380" i="100" s="1"/>
  <c r="T2379" i="100"/>
  <c r="J2379" i="100" s="1"/>
  <c r="T2378" i="100"/>
  <c r="J2378" i="100" s="1"/>
  <c r="T2377" i="100"/>
  <c r="J2377" i="100" s="1"/>
  <c r="K2377" i="100" s="1"/>
  <c r="T2376" i="100"/>
  <c r="J2376" i="100" s="1"/>
  <c r="T2375" i="100"/>
  <c r="J2375" i="100" s="1"/>
  <c r="T2374" i="100"/>
  <c r="J2374" i="100" s="1"/>
  <c r="T2373" i="100"/>
  <c r="J2373" i="100" s="1"/>
  <c r="K2373" i="100" s="1"/>
  <c r="T2359" i="100"/>
  <c r="J2359" i="100" s="1"/>
  <c r="T2358" i="100"/>
  <c r="J2358" i="100" s="1"/>
  <c r="T2357" i="100"/>
  <c r="J2357" i="100" s="1"/>
  <c r="K2357" i="100" s="1"/>
  <c r="T2356" i="100"/>
  <c r="J2356" i="100" s="1"/>
  <c r="K2356" i="100" s="1"/>
  <c r="T2355" i="100"/>
  <c r="J2355" i="100" s="1"/>
  <c r="K2355" i="100" s="1"/>
  <c r="T2354" i="100"/>
  <c r="J2354" i="100" s="1"/>
  <c r="T2353" i="100"/>
  <c r="J2353" i="100" s="1"/>
  <c r="K2353" i="100" s="1"/>
  <c r="J2352" i="100"/>
  <c r="K2352" i="100" s="1"/>
  <c r="T2351" i="100"/>
  <c r="J2351" i="100" s="1"/>
  <c r="K2351" i="100" s="1"/>
  <c r="T2337" i="100"/>
  <c r="J2337" i="100" s="1"/>
  <c r="T2336" i="100"/>
  <c r="J2336" i="100" s="1"/>
  <c r="I2336" i="100" s="1"/>
  <c r="T2335" i="100"/>
  <c r="J2335" i="100" s="1"/>
  <c r="T2334" i="100"/>
  <c r="J2334" i="100" s="1"/>
  <c r="K2334" i="100" s="1"/>
  <c r="T2333" i="100"/>
  <c r="J2333" i="100" s="1"/>
  <c r="T2332" i="100"/>
  <c r="J2332" i="100" s="1"/>
  <c r="I2332" i="100" s="1"/>
  <c r="T2331" i="100"/>
  <c r="J2331" i="100" s="1"/>
  <c r="T2330" i="100"/>
  <c r="J2330" i="100" s="1"/>
  <c r="T2329" i="100"/>
  <c r="J2329" i="100" s="1"/>
  <c r="E36" i="98"/>
  <c r="E35" i="98"/>
  <c r="E34" i="98"/>
  <c r="E33" i="98"/>
  <c r="E32" i="98"/>
  <c r="T837" i="97"/>
  <c r="T823" i="97"/>
  <c r="T809" i="97"/>
  <c r="T795" i="97"/>
  <c r="K2394" i="100"/>
  <c r="I2394" i="100"/>
  <c r="J2393" i="100"/>
  <c r="K2393" i="100" s="1"/>
  <c r="K2392" i="100"/>
  <c r="I2392" i="100"/>
  <c r="K2391" i="100"/>
  <c r="I2391" i="100"/>
  <c r="J2390" i="100"/>
  <c r="I2390" i="100" s="1"/>
  <c r="J2389" i="100"/>
  <c r="I2389" i="100" s="1"/>
  <c r="J2388" i="100"/>
  <c r="I2388" i="100" s="1"/>
  <c r="J2387" i="100"/>
  <c r="K2387" i="100" s="1"/>
  <c r="J2386" i="100"/>
  <c r="K2386" i="100" s="1"/>
  <c r="J2385" i="100"/>
  <c r="K2385" i="100" s="1"/>
  <c r="K2384" i="100"/>
  <c r="I2384" i="100"/>
  <c r="J2383" i="100"/>
  <c r="K2383" i="100" s="1"/>
  <c r="K2382" i="100"/>
  <c r="I2382" i="100"/>
  <c r="K2372" i="100"/>
  <c r="I2372" i="100"/>
  <c r="J2371" i="100"/>
  <c r="K2371" i="100" s="1"/>
  <c r="K2370" i="100"/>
  <c r="I2370" i="100"/>
  <c r="K2369" i="100"/>
  <c r="I2369" i="100"/>
  <c r="J2368" i="100"/>
  <c r="I2368" i="100" s="1"/>
  <c r="J2367" i="100"/>
  <c r="K2367" i="100" s="1"/>
  <c r="J2366" i="100"/>
  <c r="I2366" i="100" s="1"/>
  <c r="J2365" i="100"/>
  <c r="K2365" i="100" s="1"/>
  <c r="J2364" i="100"/>
  <c r="K2364" i="100" s="1"/>
  <c r="J2363" i="100"/>
  <c r="I2363" i="100" s="1"/>
  <c r="K2362" i="100"/>
  <c r="I2362" i="100"/>
  <c r="J2361" i="100"/>
  <c r="K2361" i="100" s="1"/>
  <c r="K2360" i="100"/>
  <c r="I2360" i="100"/>
  <c r="K2350" i="100"/>
  <c r="I2350" i="100"/>
  <c r="J2349" i="100"/>
  <c r="K2349" i="100" s="1"/>
  <c r="K2348" i="100"/>
  <c r="I2348" i="100"/>
  <c r="K2347" i="100"/>
  <c r="I2347" i="100"/>
  <c r="J2346" i="100"/>
  <c r="I2346" i="100" s="1"/>
  <c r="J2345" i="100"/>
  <c r="K2345" i="100" s="1"/>
  <c r="J2344" i="100"/>
  <c r="I2344" i="100" s="1"/>
  <c r="J2343" i="100"/>
  <c r="K2343" i="100" s="1"/>
  <c r="J2342" i="100"/>
  <c r="K2342" i="100" s="1"/>
  <c r="J2341" i="100"/>
  <c r="K2341" i="100" s="1"/>
  <c r="K2340" i="100"/>
  <c r="I2340" i="100"/>
  <c r="J2339" i="100"/>
  <c r="K2339" i="100" s="1"/>
  <c r="K2338" i="100"/>
  <c r="I2338" i="100"/>
  <c r="K2328" i="100"/>
  <c r="I2328" i="100"/>
  <c r="J2327" i="100"/>
  <c r="K2327" i="100" s="1"/>
  <c r="K2326" i="100"/>
  <c r="I2326" i="100"/>
  <c r="K2325" i="100"/>
  <c r="I2325" i="100"/>
  <c r="J2324" i="100"/>
  <c r="K2324" i="100" s="1"/>
  <c r="J2323" i="100"/>
  <c r="I2323" i="100" s="1"/>
  <c r="J2322" i="100"/>
  <c r="K2322" i="100" s="1"/>
  <c r="G2321" i="100"/>
  <c r="J2321" i="100"/>
  <c r="K2321" i="100" s="1"/>
  <c r="J2320" i="100"/>
  <c r="I2320" i="100" s="1"/>
  <c r="J2319" i="100"/>
  <c r="I2319" i="100" s="1"/>
  <c r="K2318" i="100"/>
  <c r="I2318" i="100"/>
  <c r="J2317" i="100"/>
  <c r="I2317" i="100" s="1"/>
  <c r="K2316" i="100"/>
  <c r="I2316" i="100"/>
  <c r="B2390" i="100"/>
  <c r="C2384" i="100"/>
  <c r="C2392" i="100"/>
  <c r="C2318" i="100"/>
  <c r="B2342" i="100"/>
  <c r="C2382" i="100"/>
  <c r="C2349" i="100"/>
  <c r="B2384" i="100"/>
  <c r="B2324" i="100"/>
  <c r="C2323" i="100"/>
  <c r="B2349" i="100"/>
  <c r="C2321" i="100"/>
  <c r="B2343" i="100"/>
  <c r="C2371" i="100"/>
  <c r="B2327" i="100"/>
  <c r="C2347" i="100"/>
  <c r="C2393" i="100"/>
  <c r="B2325" i="100"/>
  <c r="B2362" i="100"/>
  <c r="C2340" i="100"/>
  <c r="C2343" i="100"/>
  <c r="C2324" i="100"/>
  <c r="B2340" i="100"/>
  <c r="B2386" i="100"/>
  <c r="B2387" i="100"/>
  <c r="B2346" i="100"/>
  <c r="B2371" i="100"/>
  <c r="B2385" i="100"/>
  <c r="B2347" i="100"/>
  <c r="B2393" i="100"/>
  <c r="B2367" i="100"/>
  <c r="B2392" i="100"/>
  <c r="C2365" i="100"/>
  <c r="C2369" i="100"/>
  <c r="C2385" i="100"/>
  <c r="B2322" i="100"/>
  <c r="C2344" i="100"/>
  <c r="C2388" i="100"/>
  <c r="C2322" i="100"/>
  <c r="C2319" i="100"/>
  <c r="B2365" i="100"/>
  <c r="B2388" i="100"/>
  <c r="C2362" i="100"/>
  <c r="B2341" i="100"/>
  <c r="B2318" i="100"/>
  <c r="B2391" i="100"/>
  <c r="C2366" i="100"/>
  <c r="C2368" i="100"/>
  <c r="B2319" i="100"/>
  <c r="B2326" i="100"/>
  <c r="C2370" i="100"/>
  <c r="B2389" i="100"/>
  <c r="C2326" i="100"/>
  <c r="C2389" i="100"/>
  <c r="B2368" i="100"/>
  <c r="C2345" i="100"/>
  <c r="B2316" i="100"/>
  <c r="C2390" i="100"/>
  <c r="C2325" i="100"/>
  <c r="B2370" i="100"/>
  <c r="C2387" i="100"/>
  <c r="C2338" i="100"/>
  <c r="B2338" i="100"/>
  <c r="C2327" i="100"/>
  <c r="B2364" i="100"/>
  <c r="B2382" i="100"/>
  <c r="B2369" i="100"/>
  <c r="B2363" i="100"/>
  <c r="C2391" i="100"/>
  <c r="C2342" i="100"/>
  <c r="B2320" i="100"/>
  <c r="C2360" i="100"/>
  <c r="C2346" i="100"/>
  <c r="C2386" i="100"/>
  <c r="C2367" i="100"/>
  <c r="B2360" i="100"/>
  <c r="B2344" i="100"/>
  <c r="C2341" i="100"/>
  <c r="C2348" i="100"/>
  <c r="B2345" i="100"/>
  <c r="C2363" i="100"/>
  <c r="B2366" i="100"/>
  <c r="B2323" i="100"/>
  <c r="C2316" i="100"/>
  <c r="C2320" i="100"/>
  <c r="B2321" i="100"/>
  <c r="C2364" i="100"/>
  <c r="B2348" i="100"/>
  <c r="K2330" i="100" l="1"/>
  <c r="I2330" i="100"/>
  <c r="K2323" i="100"/>
  <c r="M61" i="98"/>
  <c r="M58" i="98"/>
  <c r="M59" i="98"/>
  <c r="M60" i="98"/>
  <c r="I2342" i="100"/>
  <c r="I2386" i="100"/>
  <c r="I2339" i="100"/>
  <c r="I2383" i="100"/>
  <c r="K2320" i="100"/>
  <c r="K2344" i="100"/>
  <c r="I2364" i="100"/>
  <c r="K2389" i="100"/>
  <c r="K2388" i="100"/>
  <c r="I2398" i="100"/>
  <c r="K2398" i="100"/>
  <c r="I2402" i="100"/>
  <c r="K2402" i="100"/>
  <c r="I2380" i="100"/>
  <c r="K2380" i="100"/>
  <c r="K2363" i="100"/>
  <c r="K2366" i="100"/>
  <c r="I2367" i="100"/>
  <c r="I2353" i="100"/>
  <c r="I2357" i="100"/>
  <c r="I2345" i="100"/>
  <c r="K2317" i="100"/>
  <c r="I2324" i="100"/>
  <c r="I2321" i="100"/>
  <c r="K2319" i="100"/>
  <c r="I2397" i="100"/>
  <c r="K2397" i="100"/>
  <c r="K2401" i="100"/>
  <c r="I2401" i="100"/>
  <c r="K2403" i="100"/>
  <c r="I2403" i="100"/>
  <c r="K2390" i="100"/>
  <c r="I2387" i="100"/>
  <c r="I2393" i="100"/>
  <c r="I2395" i="100"/>
  <c r="I2396" i="100"/>
  <c r="I2400" i="100"/>
  <c r="I2385" i="100"/>
  <c r="I2399" i="100"/>
  <c r="K2378" i="100"/>
  <c r="I2378" i="100"/>
  <c r="I2376" i="100"/>
  <c r="K2376" i="100"/>
  <c r="I2375" i="100"/>
  <c r="K2375" i="100"/>
  <c r="K2374" i="100"/>
  <c r="I2374" i="100"/>
  <c r="K2379" i="100"/>
  <c r="I2379" i="100"/>
  <c r="K2381" i="100"/>
  <c r="I2381" i="100"/>
  <c r="K2368" i="100"/>
  <c r="I2365" i="100"/>
  <c r="I2371" i="100"/>
  <c r="I2373" i="100"/>
  <c r="I2377" i="100"/>
  <c r="I2361" i="100"/>
  <c r="I2354" i="100"/>
  <c r="K2354" i="100"/>
  <c r="K2358" i="100"/>
  <c r="I2358" i="100"/>
  <c r="K2359" i="100"/>
  <c r="I2359" i="100"/>
  <c r="I2343" i="100"/>
  <c r="I2349" i="100"/>
  <c r="I2351" i="100"/>
  <c r="I2352" i="100"/>
  <c r="I2356" i="100"/>
  <c r="K2346" i="100"/>
  <c r="I2341" i="100"/>
  <c r="I2355" i="100"/>
  <c r="K2333" i="100"/>
  <c r="I2333" i="100"/>
  <c r="K2335" i="100"/>
  <c r="I2335" i="100"/>
  <c r="K2331" i="100"/>
  <c r="I2331" i="100"/>
  <c r="K2337" i="100"/>
  <c r="I2337" i="100"/>
  <c r="K2329" i="100"/>
  <c r="I2329" i="100"/>
  <c r="K2332" i="100"/>
  <c r="K2336" i="100"/>
  <c r="I2322" i="100"/>
  <c r="I2327" i="100"/>
  <c r="I2334"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T2295" i="100"/>
  <c r="T2296" i="100"/>
  <c r="G2296" i="100" s="1"/>
  <c r="T2297" i="100"/>
  <c r="G2297" i="100" s="1"/>
  <c r="T2298" i="100"/>
  <c r="G2298" i="100" s="1"/>
  <c r="T2299" i="100"/>
  <c r="G2299" i="100" s="1"/>
  <c r="T2300" i="100"/>
  <c r="G2300" i="100" s="1"/>
  <c r="T2301" i="100"/>
  <c r="G2301" i="100" s="1"/>
  <c r="T2302" i="100"/>
  <c r="G2302" i="100" s="1"/>
  <c r="T2303" i="100"/>
  <c r="G2303" i="100" s="1"/>
  <c r="T2304" i="100"/>
  <c r="G2304" i="100" s="1"/>
  <c r="T2305" i="100"/>
  <c r="G2305" i="100" s="1"/>
  <c r="T2306" i="100"/>
  <c r="G2306" i="100" s="1"/>
  <c r="T2294" i="100"/>
  <c r="G2294" i="100" s="1"/>
  <c r="T2312" i="100"/>
  <c r="J2312" i="100" s="1"/>
  <c r="T2313" i="100"/>
  <c r="J2313" i="100" s="1"/>
  <c r="T2314" i="100"/>
  <c r="J2314" i="100" s="1"/>
  <c r="T2311" i="100"/>
  <c r="J2311" i="100" s="1"/>
  <c r="T2315" i="100"/>
  <c r="J2315" i="100" s="1"/>
  <c r="T2310" i="100"/>
  <c r="J2310" i="100" s="1"/>
  <c r="T2309" i="100"/>
  <c r="J2309" i="100" s="1"/>
  <c r="T2308" i="100"/>
  <c r="J2308" i="100" s="1"/>
  <c r="T2307" i="100"/>
  <c r="J2307" i="100" s="1"/>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B2303" i="100"/>
  <c r="P2371" i="100" a="1"/>
  <c r="B2294" i="100"/>
  <c r="B2304" i="100"/>
  <c r="B2299" i="100"/>
  <c r="C2305" i="100"/>
  <c r="C2297" i="100"/>
  <c r="Q2327" i="100" a="1"/>
  <c r="B2305" i="100"/>
  <c r="C2304" i="100"/>
  <c r="B2296" i="100"/>
  <c r="C2299" i="100"/>
  <c r="C2296" i="100"/>
  <c r="C454" i="94" a="1"/>
  <c r="B2300" i="100"/>
  <c r="C2302" i="100"/>
  <c r="Q2371" i="100" a="1"/>
  <c r="C446" i="94" a="1"/>
  <c r="P2327" i="100" a="1"/>
  <c r="P2393" i="100" a="1"/>
  <c r="C2294" i="100"/>
  <c r="B2302" i="100"/>
  <c r="B2301" i="100"/>
  <c r="C2298" i="100"/>
  <c r="B2297" i="100"/>
  <c r="C470" i="94" a="1"/>
  <c r="P2349" i="100" a="1"/>
  <c r="C2301" i="100"/>
  <c r="B2298" i="100"/>
  <c r="Q2349" i="100" a="1"/>
  <c r="C2300" i="100"/>
  <c r="C462" i="94" a="1"/>
  <c r="Q2393" i="100" a="1"/>
  <c r="C2303"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P2305" i="100" a="1"/>
  <c r="Q2305" i="100" a="1"/>
  <c r="M57" i="98" l="1"/>
  <c r="C418" i="94"/>
  <c r="M416" i="94" s="1"/>
  <c r="C429" i="94"/>
  <c r="M427" i="94" s="1"/>
  <c r="C396" i="94"/>
  <c r="M394" i="94" s="1"/>
  <c r="C407" i="94"/>
  <c r="M405" i="94" s="1"/>
  <c r="C374" i="94"/>
  <c r="M372" i="94" s="1"/>
  <c r="C385" i="94"/>
  <c r="M383" i="94" s="1"/>
  <c r="C352" i="94"/>
  <c r="M350" i="94" s="1"/>
  <c r="C363" i="94"/>
  <c r="M361" i="94" s="1"/>
  <c r="C330" i="94"/>
  <c r="M328" i="94" s="1"/>
  <c r="C341" i="94"/>
  <c r="M339" i="94" s="1"/>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67" i="100"/>
  <c r="B2246" i="100"/>
  <c r="B2240" i="100"/>
  <c r="B2215" i="100"/>
  <c r="B2281" i="100"/>
  <c r="C2218" i="100"/>
  <c r="C2276" i="100"/>
  <c r="C2226" i="100"/>
  <c r="C2240" i="100"/>
  <c r="B2231" i="100"/>
  <c r="C2228" i="100"/>
  <c r="C2261" i="100"/>
  <c r="B2218" i="100"/>
  <c r="B2255" i="100"/>
  <c r="B2235" i="100"/>
  <c r="B2269" i="100"/>
  <c r="B2233" i="100"/>
  <c r="C2263" i="100"/>
  <c r="C2242" i="100"/>
  <c r="C2234" i="100"/>
  <c r="B2249" i="100"/>
  <c r="C2271" i="100"/>
  <c r="B2257" i="100"/>
  <c r="B2262" i="100"/>
  <c r="C2283" i="100"/>
  <c r="C2227" i="100"/>
  <c r="B2254" i="100"/>
  <c r="B2234" i="100"/>
  <c r="C2282" i="100"/>
  <c r="C2269" i="100"/>
  <c r="B2238" i="100"/>
  <c r="C2217" i="100"/>
  <c r="C2245" i="100"/>
  <c r="C2247" i="100"/>
  <c r="C2268" i="100"/>
  <c r="C2246" i="100"/>
  <c r="C2239" i="100"/>
  <c r="B2217" i="100"/>
  <c r="B2280" i="100"/>
  <c r="B2250" i="100"/>
  <c r="B2222" i="100"/>
  <c r="B2277" i="100"/>
  <c r="C2225" i="100"/>
  <c r="C2255" i="100"/>
  <c r="B2214" i="100"/>
  <c r="C2281" i="100"/>
  <c r="B2260" i="100"/>
  <c r="C2250" i="100"/>
  <c r="B2270" i="100"/>
  <c r="B2271" i="100"/>
  <c r="C2266" i="100"/>
  <c r="C2280" i="100"/>
  <c r="C2216" i="100"/>
  <c r="B2219" i="100"/>
  <c r="B2253" i="100"/>
  <c r="B2282" i="100"/>
  <c r="B2241" i="100"/>
  <c r="C2241" i="100"/>
  <c r="B2261" i="100"/>
  <c r="B2256" i="100"/>
  <c r="C2249" i="100"/>
  <c r="B2267" i="100"/>
  <c r="C2222" i="100"/>
  <c r="C2273" i="100"/>
  <c r="C2278" i="100"/>
  <c r="B2268" i="100"/>
  <c r="B2248" i="100"/>
  <c r="C2231" i="100"/>
  <c r="C2274" i="100"/>
  <c r="B2226" i="100"/>
  <c r="B2264" i="100"/>
  <c r="C2252" i="100"/>
  <c r="C2275" i="100"/>
  <c r="B2245" i="100"/>
  <c r="C2256" i="100"/>
  <c r="B2220" i="100"/>
  <c r="B2284" i="100"/>
  <c r="C2254" i="100"/>
  <c r="B2221" i="100"/>
  <c r="C2257" i="100"/>
  <c r="C2260" i="100"/>
  <c r="C2277" i="100"/>
  <c r="B2263" i="100"/>
  <c r="C2233" i="100"/>
  <c r="C2229" i="100"/>
  <c r="B2243" i="100"/>
  <c r="C2270" i="100"/>
  <c r="B2273" i="100"/>
  <c r="B2213" i="100"/>
  <c r="B2224" i="100"/>
  <c r="B2228" i="100"/>
  <c r="B2247" i="100"/>
  <c r="C2253" i="100"/>
  <c r="B2232" i="100"/>
  <c r="B2216" i="100"/>
  <c r="C2236" i="100"/>
  <c r="B2259" i="100"/>
  <c r="C2220" i="100"/>
  <c r="C2215" i="100"/>
  <c r="C2221" i="100"/>
  <c r="C2235" i="100"/>
  <c r="B2239" i="100"/>
  <c r="B2275" i="100"/>
  <c r="C2219" i="100"/>
  <c r="C2248" i="100"/>
  <c r="B2252" i="100"/>
  <c r="B2276" i="100"/>
  <c r="C2259" i="100"/>
  <c r="C2262" i="100"/>
  <c r="B2266" i="100"/>
  <c r="C2213" i="100"/>
  <c r="C2238" i="100"/>
  <c r="B2227" i="100"/>
  <c r="C2243" i="100"/>
  <c r="C2224" i="100"/>
  <c r="B2274" i="100"/>
  <c r="C2214" i="100"/>
  <c r="B2283" i="100"/>
  <c r="B2229" i="100"/>
  <c r="C2284" i="100"/>
  <c r="B2242" i="100"/>
  <c r="C2232" i="100"/>
  <c r="B2236" i="100"/>
  <c r="B2225" i="100"/>
  <c r="C2264" i="100"/>
  <c r="B2278"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6" i="100"/>
  <c r="B1239" i="100"/>
  <c r="B1235" i="100"/>
  <c r="B1238" i="100"/>
  <c r="B1234" i="100"/>
  <c r="B1233" i="100"/>
  <c r="B1232" i="100"/>
  <c r="B1231" i="100"/>
  <c r="B1237"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198" i="99" a="1"/>
  <c r="E65" i="99" a="1"/>
  <c r="E68" i="99" a="1"/>
  <c r="X122" i="99" a="1"/>
  <c r="F66" i="99" a="1"/>
  <c r="W194" i="99"/>
  <c r="W197" i="99" a="1"/>
  <c r="E194" i="99"/>
  <c r="W67" i="99" a="1"/>
  <c r="E66" i="99" a="1"/>
  <c r="F122" i="99" a="1"/>
  <c r="F197" i="99" a="1"/>
  <c r="W122" i="99" a="1"/>
  <c r="D197" i="99" a="1"/>
  <c r="X197" i="99" a="1"/>
  <c r="V69" i="99" a="1"/>
  <c r="D67" i="99" a="1"/>
  <c r="X119" i="99" a="1"/>
  <c r="E195" i="99" a="1"/>
  <c r="W121" i="99" a="1"/>
  <c r="W196" i="99" a="1"/>
  <c r="V68" i="99" a="1"/>
  <c r="E121" i="99" a="1"/>
  <c r="W199" i="99" a="1"/>
  <c r="F67" i="99" a="1"/>
  <c r="D195" i="99" a="1"/>
  <c r="E196" i="99" a="1"/>
  <c r="E69" i="99" a="1"/>
  <c r="F195" i="99" a="1"/>
  <c r="E120" i="99" a="1"/>
  <c r="W120" i="99" a="1"/>
  <c r="D40" i="99" a="1"/>
  <c r="V120" i="99" a="1"/>
  <c r="D123" i="99" a="1"/>
  <c r="D94" i="99" a="1"/>
  <c r="V170" i="99" a="1"/>
  <c r="F198" i="99" a="1"/>
  <c r="X66" i="99" a="1"/>
  <c r="W118" i="99"/>
  <c r="W94" i="99" a="1"/>
  <c r="X121" i="99" a="1"/>
  <c r="W198" i="99" a="1"/>
  <c r="W69" i="99" a="1"/>
  <c r="X67" i="99" a="1"/>
  <c r="X199" i="99" a="1"/>
  <c r="F121" i="99" a="1"/>
  <c r="V197" i="99" a="1"/>
  <c r="X120" i="99" a="1"/>
  <c r="F120" i="99" a="1"/>
  <c r="E170" i="99" a="1"/>
  <c r="E118" i="99"/>
  <c r="D119" i="99" a="1"/>
  <c r="D65" i="99" a="1"/>
  <c r="X94" i="99" a="1"/>
  <c r="D121" i="99" a="1"/>
  <c r="V196" i="99" a="1"/>
  <c r="D196" i="99" a="1"/>
  <c r="F119" i="99" a="1"/>
  <c r="W123" i="99" a="1"/>
  <c r="V65" i="99" a="1"/>
  <c r="F123" i="99" a="1"/>
  <c r="W65" i="99" a="1"/>
  <c r="V66" i="99" a="1"/>
  <c r="W119" i="99" a="1"/>
  <c r="V119" i="99" a="1"/>
  <c r="F196" i="99" a="1"/>
  <c r="D68" i="99" a="1"/>
  <c r="F94" i="99" a="1"/>
  <c r="X40" i="99" a="1"/>
  <c r="E40" i="99" a="1"/>
  <c r="W68" i="99" a="1"/>
  <c r="W64" i="99"/>
  <c r="F170" i="99" a="1"/>
  <c r="X65" i="99" a="1"/>
  <c r="V198" i="99" a="1"/>
  <c r="E198" i="99" a="1"/>
  <c r="D69" i="99" a="1"/>
  <c r="V94" i="99" a="1"/>
  <c r="V40" i="99" a="1"/>
  <c r="F69" i="99" a="1"/>
  <c r="D120" i="99" a="1"/>
  <c r="F65" i="99" a="1"/>
  <c r="X196" i="99" a="1"/>
  <c r="X198" i="99" a="1"/>
  <c r="D66" i="99" a="1"/>
  <c r="E94" i="99" a="1"/>
  <c r="W40" i="99" a="1"/>
  <c r="D170" i="99" a="1"/>
  <c r="X170" i="99" a="1"/>
  <c r="W170" i="99" a="1"/>
  <c r="D199" i="99" a="1"/>
  <c r="V121" i="99" a="1"/>
  <c r="F199" i="99" a="1"/>
  <c r="X69" i="99" a="1"/>
  <c r="V199" i="99" a="1"/>
  <c r="V122" i="99" a="1"/>
  <c r="E67" i="99" a="1"/>
  <c r="V195" i="99" a="1"/>
  <c r="V123" i="99" a="1"/>
  <c r="D122" i="99" a="1"/>
  <c r="E199" i="99" a="1"/>
  <c r="E122" i="99" a="1"/>
  <c r="V67" i="99" a="1"/>
  <c r="E119" i="99" a="1"/>
  <c r="E64" i="99"/>
  <c r="F68" i="99" a="1"/>
  <c r="X195" i="99" a="1"/>
  <c r="F40" i="99" a="1"/>
  <c r="W195" i="99" a="1"/>
  <c r="X68" i="99" a="1"/>
  <c r="W66" i="99" a="1"/>
  <c r="E123" i="99" a="1"/>
  <c r="E197" i="99" a="1"/>
  <c r="X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U14" i="70" s="1"/>
  <c r="O18" i="72"/>
  <c r="T14" i="70" s="1"/>
  <c r="N18" i="72"/>
  <c r="S14" i="70" s="1"/>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4" i="99" a="1"/>
  <c r="C402" i="99" a="1"/>
  <c r="B154" i="100"/>
  <c r="C401" i="99" a="1"/>
  <c r="U400" i="99" a="1"/>
  <c r="C404" i="99" a="1"/>
  <c r="C403" i="99" a="1"/>
  <c r="U403" i="99" a="1"/>
  <c r="C400" i="99" a="1"/>
  <c r="C154" i="100"/>
  <c r="U402" i="99" a="1"/>
  <c r="U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1996" i="100"/>
  <c r="C2005" i="100"/>
  <c r="B2016" i="100"/>
  <c r="C2026" i="100"/>
  <c r="B2045" i="100"/>
  <c r="C2016" i="100"/>
  <c r="B2034" i="100"/>
  <c r="C2017" i="100"/>
  <c r="C2049" i="100"/>
  <c r="C2002" i="100"/>
  <c r="C2007" i="100"/>
  <c r="C2041" i="100"/>
  <c r="C2048" i="100"/>
  <c r="B2004" i="100"/>
  <c r="B2015" i="100"/>
  <c r="C2079" i="100"/>
  <c r="B2002" i="100"/>
  <c r="C2033" i="100"/>
  <c r="C2037" i="100"/>
  <c r="B2082" i="100"/>
  <c r="B2066" i="100"/>
  <c r="C2039" i="100"/>
  <c r="C2014" i="100"/>
  <c r="B2051" i="100"/>
  <c r="B2030" i="100"/>
  <c r="B2046" i="100"/>
  <c r="B2050" i="100"/>
  <c r="C2045" i="100"/>
  <c r="C1995" i="100"/>
  <c r="B2003" i="100"/>
  <c r="B2085" i="100"/>
  <c r="C1991" i="100"/>
  <c r="C2068" i="100"/>
  <c r="C2028" i="100"/>
  <c r="C1993" i="100"/>
  <c r="B2000" i="100"/>
  <c r="C2036" i="100"/>
  <c r="B2033" i="100"/>
  <c r="C2069" i="100"/>
  <c r="B2079" i="100"/>
  <c r="C2047" i="100"/>
  <c r="B2088" i="100"/>
  <c r="C2081" i="100"/>
  <c r="C2040" i="100"/>
  <c r="C2066" i="100"/>
  <c r="C2088" i="100"/>
  <c r="C2012" i="100"/>
  <c r="C2051" i="100"/>
  <c r="B2048" i="100"/>
  <c r="C2061" i="100"/>
  <c r="C2030" i="100"/>
  <c r="B2080" i="100"/>
  <c r="C2082" i="100"/>
  <c r="B2068" i="100"/>
  <c r="B2056" i="100"/>
  <c r="B2059" i="100"/>
  <c r="C2072" i="100"/>
  <c r="B2028" i="100"/>
  <c r="B2063" i="100"/>
  <c r="B2073" i="100"/>
  <c r="B1992" i="100"/>
  <c r="B2077" i="100"/>
  <c r="B2072" i="100"/>
  <c r="C2056" i="100"/>
  <c r="B2084" i="100"/>
  <c r="B2049" i="100"/>
  <c r="C2078" i="100"/>
  <c r="C2011" i="100"/>
  <c r="C2059" i="100"/>
  <c r="C2070" i="100"/>
  <c r="C2023" i="100"/>
  <c r="C2018" i="100"/>
  <c r="B1991" i="100"/>
  <c r="C2029" i="100"/>
  <c r="B2008" i="100"/>
  <c r="C2001" i="100"/>
  <c r="C1990" i="100"/>
  <c r="B1997" i="100"/>
  <c r="B2070" i="100"/>
  <c r="C2063" i="100"/>
  <c r="B2018" i="100"/>
  <c r="B2006" i="100"/>
  <c r="C2019" i="100"/>
  <c r="B1990" i="100"/>
  <c r="B2024" i="100"/>
  <c r="C2008" i="100"/>
  <c r="C2004" i="100"/>
  <c r="B2055" i="100"/>
  <c r="C2000" i="100"/>
  <c r="B2069" i="100"/>
  <c r="B2047" i="100"/>
  <c r="B2027" i="100"/>
  <c r="B2037" i="100"/>
  <c r="B2001" i="100"/>
  <c r="C2024" i="100"/>
  <c r="B2040" i="100"/>
  <c r="B1996" i="100"/>
  <c r="B2061" i="100"/>
  <c r="B2062" i="100"/>
  <c r="B2039" i="100"/>
  <c r="B2071" i="100"/>
  <c r="B1995" i="100"/>
  <c r="B2022" i="100"/>
  <c r="B2011" i="100"/>
  <c r="B1994" i="100"/>
  <c r="B2057" i="100"/>
  <c r="C1992" i="100"/>
  <c r="B2060" i="100"/>
  <c r="B2044" i="100"/>
  <c r="C1997" i="100"/>
  <c r="C2067" i="100"/>
  <c r="C2003" i="100"/>
  <c r="B2036" i="100"/>
  <c r="C2077" i="100"/>
  <c r="B2058" i="100"/>
  <c r="B2067" i="100"/>
  <c r="B1993" i="100"/>
  <c r="B2012" i="100"/>
  <c r="C2025" i="100"/>
  <c r="B2025" i="100"/>
  <c r="C1994" i="100"/>
  <c r="C2085" i="100"/>
  <c r="C2035" i="100"/>
  <c r="C2022" i="100"/>
  <c r="B2052" i="100"/>
  <c r="B2041" i="100"/>
  <c r="C2013" i="100"/>
  <c r="C2060" i="100"/>
  <c r="B2081" i="100"/>
  <c r="B2005" i="100"/>
  <c r="C2046" i="100"/>
  <c r="B2026" i="100"/>
  <c r="C2084" i="100"/>
  <c r="B2078" i="100"/>
  <c r="C2083" i="100"/>
  <c r="B2035" i="100"/>
  <c r="C2062" i="100"/>
  <c r="C2015" i="100"/>
  <c r="C2057" i="100"/>
  <c r="C2058" i="100"/>
  <c r="C2074" i="100"/>
  <c r="B2038" i="100"/>
  <c r="B2023" i="100"/>
  <c r="C2071" i="100"/>
  <c r="C2044" i="100"/>
  <c r="C2034" i="100"/>
  <c r="C2038" i="100"/>
  <c r="C2050" i="100"/>
  <c r="B2014" i="100"/>
  <c r="B2074" i="100"/>
  <c r="C2080" i="100"/>
  <c r="C2027" i="100"/>
  <c r="B2083" i="100"/>
  <c r="C2052" i="100"/>
  <c r="C2006" i="100"/>
  <c r="B2019" i="100"/>
  <c r="B2007" i="100"/>
  <c r="B2013" i="100"/>
  <c r="C2055" i="100"/>
  <c r="C2073" i="100"/>
  <c r="B2029" i="100"/>
  <c r="B2017" i="100"/>
  <c r="C226" i="94" l="1"/>
  <c r="R515" i="97" s="1"/>
  <c r="E163" i="94"/>
  <c r="E178" i="94"/>
  <c r="E162" i="94"/>
  <c r="C154" i="94" a="1"/>
  <c r="C209" i="94" a="1"/>
  <c r="C114" i="94" a="1"/>
  <c r="C72" i="94" a="1"/>
  <c r="C178" i="94" a="1"/>
  <c r="C130" i="94" a="1"/>
  <c r="C138" i="94" a="1"/>
  <c r="C58" i="94" a="1"/>
  <c r="C86" i="94" a="1"/>
  <c r="C146" i="94" a="1"/>
  <c r="C197" i="94" a="1"/>
  <c r="C44" i="94" a="1"/>
  <c r="C16" i="94" a="1"/>
  <c r="C100" i="94" a="1"/>
  <c r="C122" i="94" a="1"/>
  <c r="C30"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1" i="100"/>
  <c r="C2258" i="100"/>
  <c r="C2021" i="100"/>
  <c r="C2230" i="100"/>
  <c r="C2244" i="100"/>
  <c r="B2272" i="100"/>
  <c r="C2053" i="100"/>
  <c r="B2020" i="100"/>
  <c r="B2064" i="100"/>
  <c r="B2251" i="100"/>
  <c r="C2292" i="100"/>
  <c r="B2230" i="100"/>
  <c r="C2279" i="100"/>
  <c r="C2009" i="100"/>
  <c r="C2237" i="100"/>
  <c r="B2289" i="100"/>
  <c r="B2086" i="100"/>
  <c r="B2287" i="100"/>
  <c r="B2043" i="100"/>
  <c r="B2265" i="100"/>
  <c r="B2042" i="100"/>
  <c r="C2251" i="100"/>
  <c r="C2265" i="100"/>
  <c r="B2244" i="100"/>
  <c r="B2288" i="100"/>
  <c r="B2237" i="100"/>
  <c r="B2076" i="100"/>
  <c r="B2053" i="100"/>
  <c r="B2290" i="100"/>
  <c r="C2064" i="100"/>
  <c r="C2272" i="100"/>
  <c r="B2286" i="100"/>
  <c r="C2054" i="100"/>
  <c r="C2087" i="100"/>
  <c r="C2076" i="100"/>
  <c r="B2031" i="100"/>
  <c r="B2258" i="100"/>
  <c r="B2087" i="100"/>
  <c r="C2010" i="100"/>
  <c r="C2065" i="100"/>
  <c r="B2291" i="100"/>
  <c r="B2075" i="100"/>
  <c r="C2288" i="100"/>
  <c r="C2290" i="100"/>
  <c r="C2032" i="100"/>
  <c r="C2286" i="100"/>
  <c r="B2279" i="100"/>
  <c r="C2086" i="100"/>
  <c r="C2287" i="100"/>
  <c r="C2289" i="100"/>
  <c r="C2291" i="100"/>
  <c r="C2031" i="100"/>
  <c r="C2043" i="100"/>
  <c r="C2075" i="100"/>
  <c r="B2009" i="100"/>
  <c r="B2292" i="100"/>
  <c r="B2032" i="100"/>
  <c r="B2054" i="100"/>
  <c r="B2065" i="100"/>
  <c r="B2293" i="100"/>
  <c r="C2293" i="100"/>
  <c r="C2020" i="100"/>
  <c r="C2042" i="100"/>
  <c r="B201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B1999" i="100"/>
  <c r="C1998" i="100"/>
  <c r="B1998" i="100"/>
  <c r="B2223" i="100"/>
  <c r="B2285" i="100"/>
  <c r="C2285" i="100"/>
  <c r="C1999" i="100"/>
  <c r="C1989" i="100"/>
  <c r="B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1" i="100"/>
  <c r="B2189" i="100"/>
  <c r="C2180" i="100"/>
  <c r="C2196" i="100"/>
  <c r="C2198" i="100"/>
  <c r="C2189" i="100"/>
  <c r="B2199" i="100"/>
  <c r="C2205" i="100"/>
  <c r="C2191" i="100"/>
  <c r="B2192" i="100"/>
  <c r="B2187" i="100"/>
  <c r="C2195" i="100"/>
  <c r="B2181" i="100"/>
  <c r="B2182" i="100"/>
  <c r="B2197" i="100"/>
  <c r="C2207" i="100"/>
  <c r="C2188" i="100"/>
  <c r="B2191" i="100"/>
  <c r="B2207" i="100"/>
  <c r="B2209" i="100"/>
  <c r="C2184" i="100"/>
  <c r="B2206" i="100"/>
  <c r="C2202" i="100"/>
  <c r="C2183" i="100"/>
  <c r="C2204" i="100"/>
  <c r="C2209" i="100"/>
  <c r="B2198" i="100"/>
  <c r="B2205" i="100"/>
  <c r="B2188" i="100"/>
  <c r="C2187" i="100"/>
  <c r="C2210" i="100"/>
  <c r="B2180" i="100"/>
  <c r="B2183" i="100"/>
  <c r="B2190" i="100"/>
  <c r="C2190" i="100"/>
  <c r="B2211" i="100"/>
  <c r="C2201" i="100"/>
  <c r="C2192" i="100"/>
  <c r="B2202" i="100"/>
  <c r="B2201" i="100"/>
  <c r="C2211" i="100"/>
  <c r="C2197" i="100"/>
  <c r="C2206" i="100"/>
  <c r="B2196" i="100"/>
  <c r="C2199" i="100"/>
  <c r="C2212" i="100"/>
  <c r="C2182" i="100"/>
  <c r="B2195" i="100"/>
  <c r="B2203" i="100"/>
  <c r="B2200" i="100"/>
  <c r="B2204" i="100"/>
  <c r="C2200" i="100"/>
  <c r="B2184" i="100"/>
  <c r="B2208" i="100"/>
  <c r="C2203" i="100"/>
  <c r="B2210" i="100"/>
  <c r="C2208" i="100"/>
  <c r="B2212"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308" i="100" l="1"/>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D194" i="99"/>
  <c r="V194" i="99"/>
  <c r="X194" i="99"/>
  <c r="V64" i="99"/>
  <c r="X6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B2328" i="100"/>
  <c r="B2350" i="100"/>
  <c r="C2394" i="100"/>
  <c r="B2306" i="100"/>
  <c r="B2394" i="100"/>
  <c r="C2372" i="100"/>
  <c r="C2350" i="100"/>
  <c r="B2372" i="100"/>
  <c r="C2328" i="100"/>
  <c r="C2306" i="100"/>
  <c r="D64" i="99"/>
  <c r="T72" i="97" l="1"/>
  <c r="AB7" i="97"/>
  <c r="D67" i="97" s="1"/>
  <c r="AA7" i="97"/>
  <c r="D65" i="97" s="1"/>
  <c r="T43" i="97"/>
  <c r="AB5" i="97"/>
  <c r="D39" i="97" s="1"/>
  <c r="AA5" i="97"/>
  <c r="D37" i="97" s="1"/>
  <c r="AA3" i="97"/>
  <c r="D9" i="97" s="1"/>
  <c r="T15" i="97"/>
  <c r="AD3" i="97"/>
  <c r="D83" i="97"/>
  <c r="D81" i="97"/>
  <c r="D25" i="97"/>
  <c r="D23" i="97"/>
  <c r="D53" i="97"/>
  <c r="D51" i="97"/>
  <c r="I115" i="94"/>
  <c r="B2193" i="100"/>
  <c r="C2194" i="100"/>
  <c r="C2193" i="100"/>
  <c r="B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C2383" i="100"/>
  <c r="C2339" i="100"/>
  <c r="C2361" i="100"/>
  <c r="B2383" i="100"/>
  <c r="B2295" i="100"/>
  <c r="C2317" i="100"/>
  <c r="B2339" i="100"/>
  <c r="C2295" i="100"/>
  <c r="B2361" i="100"/>
  <c r="B2317"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476" i="94"/>
  <c r="S469"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S453" i="94" l="1"/>
  <c r="S461" i="94"/>
  <c r="S437" i="94"/>
  <c r="S44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479" i="94"/>
  <c r="M477" i="94" s="1"/>
  <c r="O478"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M288" i="99" l="1" a="1"/>
  <c r="C1695" i="100"/>
  <c r="B1280" i="100"/>
  <c r="B113" i="100"/>
  <c r="B1916" i="100"/>
  <c r="H341" i="99" a="1"/>
  <c r="C1647" i="100"/>
  <c r="C297" i="100"/>
  <c r="G143" i="99" a="1"/>
  <c r="B472" i="100"/>
  <c r="P190" i="99" a="1"/>
  <c r="B1278" i="100"/>
  <c r="B1565" i="100"/>
  <c r="C1749" i="100"/>
  <c r="B1603" i="100"/>
  <c r="B1262" i="100"/>
  <c r="C1900" i="100"/>
  <c r="B1979" i="100"/>
  <c r="G114" i="99" a="1"/>
  <c r="B1189" i="100"/>
  <c r="B861" i="100"/>
  <c r="C1019" i="100"/>
  <c r="L89" i="99" a="1"/>
  <c r="B959" i="100"/>
  <c r="B559" i="100"/>
  <c r="BY221" i="99" a="1"/>
  <c r="B538" i="100"/>
  <c r="C724" i="100"/>
  <c r="B1064" i="100"/>
  <c r="C1210" i="100"/>
  <c r="B936" i="100"/>
  <c r="C220" i="100"/>
  <c r="B1249" i="100"/>
  <c r="C1003" i="100"/>
  <c r="B207" i="100"/>
  <c r="B782" i="100"/>
  <c r="Y37" i="99" a="1"/>
  <c r="C1682" i="100"/>
  <c r="B59" i="100"/>
  <c r="C1264" i="100"/>
  <c r="C1234" i="100"/>
  <c r="C1113" i="100"/>
  <c r="C359" i="100"/>
  <c r="C362" i="99" a="1"/>
  <c r="C1847" i="100"/>
  <c r="C946" i="100"/>
  <c r="C97" i="100"/>
  <c r="B680" i="100"/>
  <c r="C628" i="100"/>
  <c r="C1192" i="100"/>
  <c r="C189" i="100"/>
  <c r="C496" i="100"/>
  <c r="B772" i="100"/>
  <c r="C739" i="100"/>
  <c r="C394" i="100"/>
  <c r="C747" i="100"/>
  <c r="X39" i="99" a="1"/>
  <c r="B155" i="100"/>
  <c r="G190" i="99" a="1"/>
  <c r="BW223" i="99" a="1"/>
  <c r="B712" i="100"/>
  <c r="B408" i="100"/>
  <c r="C1768" i="100"/>
  <c r="C1201" i="100"/>
  <c r="C1852" i="100"/>
  <c r="L13" i="99" a="1"/>
  <c r="B1593" i="100"/>
  <c r="B20" i="100"/>
  <c r="C29" i="100"/>
  <c r="B813" i="100"/>
  <c r="C1722" i="100"/>
  <c r="B609" i="100"/>
  <c r="C261" i="100"/>
  <c r="B255" i="100"/>
  <c r="B98" i="100"/>
  <c r="C221" i="100"/>
  <c r="F223" i="99" a="1"/>
  <c r="C183" i="100"/>
  <c r="B412" i="100"/>
  <c r="C492" i="100"/>
  <c r="C427" i="100"/>
  <c r="B779" i="100"/>
  <c r="B1188" i="100"/>
  <c r="B1814" i="100"/>
  <c r="C700" i="100"/>
  <c r="C969" i="100"/>
  <c r="B1554" i="100"/>
  <c r="B512" i="100"/>
  <c r="C1794" i="100"/>
  <c r="B146" i="100"/>
  <c r="B357" i="100"/>
  <c r="B320" i="100"/>
  <c r="B564" i="100"/>
  <c r="H219" i="99" a="1"/>
  <c r="B1126" i="100"/>
  <c r="C505" i="100"/>
  <c r="C1961" i="100"/>
  <c r="B1568" i="100"/>
  <c r="C680" i="100"/>
  <c r="B645" i="100"/>
  <c r="F62" i="99" a="1"/>
  <c r="B1590" i="100"/>
  <c r="B1589" i="100"/>
  <c r="B1049" i="100"/>
  <c r="C91" i="99" a="1"/>
  <c r="B657" i="100"/>
  <c r="B221" i="100"/>
  <c r="B746" i="100"/>
  <c r="C210" i="100"/>
  <c r="AF13" i="99" a="1"/>
  <c r="B1598" i="100"/>
  <c r="B1962" i="100"/>
  <c r="C852" i="100"/>
  <c r="C225" i="100"/>
  <c r="B1080" i="100"/>
  <c r="B662" i="100"/>
  <c r="C1222" i="100"/>
  <c r="B729" i="100"/>
  <c r="B305" i="100"/>
  <c r="B299" i="100"/>
  <c r="C844" i="100"/>
  <c r="C273" i="100"/>
  <c r="C256" i="100"/>
  <c r="C219" i="100"/>
  <c r="C455" i="100"/>
  <c r="C1086" i="100"/>
  <c r="AF377" i="99" a="1"/>
  <c r="B457" i="100"/>
  <c r="C577" i="100"/>
  <c r="C702" i="100"/>
  <c r="B1818" i="100"/>
  <c r="V221" i="99" a="1"/>
  <c r="C499" i="100"/>
  <c r="B30" i="100"/>
  <c r="C1692" i="100"/>
  <c r="B990" i="100"/>
  <c r="C1703" i="100"/>
  <c r="B1875" i="100"/>
  <c r="C1562" i="100"/>
  <c r="C1057" i="100"/>
  <c r="B497" i="100"/>
  <c r="C1947" i="100"/>
  <c r="B1762" i="100"/>
  <c r="B235" i="100"/>
  <c r="C290" i="99" a="1"/>
  <c r="CH219" i="99" a="1"/>
  <c r="B467" i="100"/>
  <c r="C1843" i="100"/>
  <c r="B1819" i="100"/>
  <c r="C195" i="100"/>
  <c r="C48" i="100"/>
  <c r="C1816" i="100"/>
  <c r="C701" i="100"/>
  <c r="C986" i="100"/>
  <c r="B1179" i="100"/>
  <c r="B561" i="100"/>
  <c r="C1782" i="100"/>
  <c r="C1754" i="100"/>
  <c r="C1139" i="100"/>
  <c r="L244" i="99" a="1"/>
  <c r="B1643" i="100"/>
  <c r="C377" i="100"/>
  <c r="C360" i="100"/>
  <c r="B658" i="100"/>
  <c r="B1735" i="100"/>
  <c r="B655" i="100"/>
  <c r="B991" i="100"/>
  <c r="C1923" i="100"/>
  <c r="C1231" i="100"/>
  <c r="B605" i="100"/>
  <c r="C1841" i="100"/>
  <c r="B372" i="100"/>
  <c r="C1699" i="100"/>
  <c r="C1759" i="100"/>
  <c r="F249" i="99" a="1"/>
  <c r="C809" i="100"/>
  <c r="B797" i="100"/>
  <c r="C565" i="100"/>
  <c r="B842" i="100"/>
  <c r="AD271" i="99" a="1"/>
  <c r="C1877" i="100"/>
  <c r="B541" i="100"/>
  <c r="J62" i="99" a="1"/>
  <c r="B629" i="100"/>
  <c r="B88" i="100"/>
  <c r="B1141" i="100"/>
  <c r="C1559" i="100"/>
  <c r="V402" i="99" a="1"/>
  <c r="B292" i="100"/>
  <c r="C890" i="100"/>
  <c r="B71" i="100"/>
  <c r="B335" i="100"/>
  <c r="B523" i="100"/>
  <c r="B230" i="100"/>
  <c r="B1101" i="100"/>
  <c r="B1861" i="100"/>
  <c r="AA35" i="99" a="1"/>
  <c r="B1906" i="100"/>
  <c r="B725" i="100"/>
  <c r="U380" i="99" a="1"/>
  <c r="C1866" i="100"/>
  <c r="B1774" i="100"/>
  <c r="B491" i="100"/>
  <c r="X37" i="99" a="1"/>
  <c r="C188" i="100"/>
  <c r="C1028" i="100"/>
  <c r="Z271" i="99" a="1"/>
  <c r="C820" i="100"/>
  <c r="C797" i="100"/>
  <c r="O60" i="99" a="1"/>
  <c r="B382" i="100"/>
  <c r="C520" i="100"/>
  <c r="C72" i="100"/>
  <c r="C1941" i="100"/>
  <c r="BI221" i="99" a="1"/>
  <c r="C386" i="100"/>
  <c r="B1668" i="100"/>
  <c r="AH165" i="99" a="1"/>
  <c r="C1746" i="100"/>
  <c r="B449" i="100"/>
  <c r="CC219" i="99" a="1"/>
  <c r="C1209" i="100"/>
  <c r="B1919" i="100"/>
  <c r="C771" i="100"/>
  <c r="C717" i="100"/>
  <c r="B106" i="100"/>
  <c r="B734" i="100"/>
  <c r="N305" i="99" a="1"/>
  <c r="C357" i="100"/>
  <c r="F337" i="99" a="1"/>
  <c r="B666" i="100"/>
  <c r="B968" i="100"/>
  <c r="C991" i="100"/>
  <c r="B314" i="100"/>
  <c r="Q190" i="99" a="1"/>
  <c r="B838" i="100"/>
  <c r="B1268" i="100"/>
  <c r="B643" i="100"/>
  <c r="C791" i="100"/>
  <c r="B837" i="100"/>
  <c r="C149" i="100"/>
  <c r="C835" i="100"/>
  <c r="B1670" i="100"/>
  <c r="C116" i="100"/>
  <c r="C363" i="100"/>
  <c r="B974" i="100"/>
  <c r="C1226" i="100"/>
  <c r="C235" i="100"/>
  <c r="C1605" i="100"/>
  <c r="B1671" i="100"/>
  <c r="B1014" i="100"/>
  <c r="C841" i="100"/>
  <c r="BX221" i="99" a="1"/>
  <c r="C1609" i="100"/>
  <c r="C516" i="100"/>
  <c r="B1747" i="100"/>
  <c r="C1200" i="100"/>
  <c r="B597" i="100"/>
  <c r="C1141" i="100"/>
  <c r="E377" i="99" a="1"/>
  <c r="C1744" i="100"/>
  <c r="B1798" i="100"/>
  <c r="B1125" i="100"/>
  <c r="B1204" i="100"/>
  <c r="C1795" i="100"/>
  <c r="B131" i="100"/>
  <c r="C1082" i="100"/>
  <c r="B770" i="100"/>
  <c r="C840" i="100"/>
  <c r="B634" i="100"/>
  <c r="B524" i="100"/>
  <c r="C1739" i="100"/>
  <c r="C262" i="100"/>
  <c r="C654" i="100"/>
  <c r="C808" i="100"/>
  <c r="B1062" i="100"/>
  <c r="B613" i="100"/>
  <c r="B994" i="100"/>
  <c r="B1860" i="100"/>
  <c r="C921" i="100"/>
  <c r="N322" i="99" a="1"/>
  <c r="I341" i="99" a="1"/>
  <c r="B916" i="100"/>
  <c r="B334" i="100"/>
  <c r="C292" i="100"/>
  <c r="C929" i="100"/>
  <c r="C413" i="100"/>
  <c r="B172" i="100"/>
  <c r="C375" i="100"/>
  <c r="B1068" i="100"/>
  <c r="B1800" i="100"/>
  <c r="C1262" i="100"/>
  <c r="AD190" i="99" a="1"/>
  <c r="C424" i="100"/>
  <c r="B998" i="100"/>
  <c r="C1964" i="100"/>
  <c r="B149" i="100"/>
  <c r="B1743" i="100"/>
  <c r="C1733" i="100"/>
  <c r="C1243" i="100"/>
  <c r="C76" i="100"/>
  <c r="B6" i="100"/>
  <c r="B1244" i="100"/>
  <c r="B1719" i="100"/>
  <c r="B328" i="100"/>
  <c r="B1587" i="100"/>
  <c r="C749" i="100"/>
  <c r="D380" i="99" a="1"/>
  <c r="W91" i="99" a="1"/>
  <c r="B1783" i="100"/>
  <c r="C482" i="100"/>
  <c r="V273" i="99" a="1"/>
  <c r="B1191" i="100"/>
  <c r="C1686" i="100"/>
  <c r="B286" i="100"/>
  <c r="B1115" i="100"/>
  <c r="B264" i="100"/>
  <c r="C234" i="100"/>
  <c r="C1177" i="100"/>
  <c r="C151" i="100"/>
  <c r="C744" i="100"/>
  <c r="C783" i="100"/>
  <c r="B1977" i="100"/>
  <c r="C651" i="100"/>
  <c r="C1184" i="100"/>
  <c r="C329" i="100"/>
  <c r="C1202" i="100"/>
  <c r="B550" i="100"/>
  <c r="AS219" i="99" a="1"/>
  <c r="C666" i="100"/>
  <c r="C1007" i="100"/>
  <c r="B77" i="100"/>
  <c r="C652" i="100"/>
  <c r="AO221" i="99" a="1"/>
  <c r="C1863" i="100"/>
  <c r="E362" i="99" a="1"/>
  <c r="B750" i="100"/>
  <c r="B831" i="100"/>
  <c r="B79" i="100"/>
  <c r="B1134" i="100"/>
  <c r="B721" i="100"/>
  <c r="B469" i="100"/>
  <c r="B1892" i="100"/>
  <c r="C605" i="100"/>
  <c r="C836" i="100"/>
  <c r="AW219" i="99" a="1"/>
  <c r="C103" i="100"/>
  <c r="C1215" i="100"/>
  <c r="C762" i="100"/>
  <c r="B425" i="100"/>
  <c r="AZ219" i="99" a="1"/>
  <c r="B127" i="100"/>
  <c r="C200" i="100"/>
  <c r="B339" i="100"/>
  <c r="B698" i="100"/>
  <c r="C1878" i="100"/>
  <c r="Y91" i="99" a="1"/>
  <c r="C332" i="100"/>
  <c r="C1853" i="100"/>
  <c r="B890" i="100"/>
  <c r="AF89" i="99" a="1"/>
  <c r="C1000" i="100"/>
  <c r="B1716" i="100"/>
  <c r="B768" i="100"/>
  <c r="C1981" i="100"/>
  <c r="B197" i="100"/>
  <c r="B1836" i="100"/>
  <c r="C3" i="100"/>
  <c r="B608" i="100"/>
  <c r="B1812" i="100"/>
  <c r="C1096" i="100"/>
  <c r="J37" i="99" a="1"/>
  <c r="B260" i="100"/>
  <c r="C1776" i="100"/>
  <c r="B800" i="100"/>
  <c r="B715" i="100"/>
  <c r="B897" i="100"/>
  <c r="C1920" i="100"/>
  <c r="B500" i="100"/>
  <c r="C885" i="100"/>
  <c r="B1954" i="100"/>
  <c r="B611" i="100"/>
  <c r="C203" i="100"/>
  <c r="C907" i="100"/>
  <c r="C1023" i="100"/>
  <c r="B1128" i="100"/>
  <c r="C246" i="100"/>
  <c r="B1947" i="100"/>
  <c r="C244" i="100"/>
  <c r="B649" i="100"/>
  <c r="B1184" i="100"/>
  <c r="C559" i="100"/>
  <c r="B894" i="100"/>
  <c r="B56" i="100"/>
  <c r="B1728" i="100"/>
  <c r="B1103" i="100"/>
  <c r="E39" i="99" a="1"/>
  <c r="Y221" i="99" a="1"/>
  <c r="B1824" i="100"/>
  <c r="C961" i="100"/>
  <c r="B1815" i="100"/>
  <c r="C1239" i="100"/>
  <c r="B1130" i="100"/>
  <c r="B1711" i="100"/>
  <c r="C206" i="100"/>
  <c r="C1181" i="100"/>
  <c r="K4" i="99" a="1"/>
  <c r="C785" i="100"/>
  <c r="B1750" i="100"/>
  <c r="B380" i="100"/>
  <c r="B515" i="100"/>
  <c r="B148" i="100"/>
  <c r="B701" i="100"/>
  <c r="C1147" i="100"/>
  <c r="B526" i="100"/>
  <c r="C1708" i="100"/>
  <c r="C229" i="100"/>
  <c r="C213" i="100"/>
  <c r="B446" i="100"/>
  <c r="C217" i="100"/>
  <c r="B452" i="100"/>
  <c r="C90" i="100"/>
  <c r="B1708" i="100"/>
  <c r="B410" i="100"/>
  <c r="C406" i="100"/>
  <c r="C684" i="100"/>
  <c r="B14" i="100"/>
  <c r="C1091" i="100"/>
  <c r="C1883" i="100"/>
  <c r="C592" i="100"/>
  <c r="C790" i="100"/>
  <c r="C1595" i="100"/>
  <c r="B1114" i="100"/>
  <c r="C1855" i="100"/>
  <c r="C1669" i="100"/>
  <c r="B331" i="100"/>
  <c r="B1591" i="100"/>
  <c r="B1851" i="100"/>
  <c r="C43" i="100"/>
  <c r="B878" i="100"/>
  <c r="B16" i="100"/>
  <c r="B669" i="100"/>
  <c r="C1771" i="100"/>
  <c r="E223" i="99" a="1"/>
  <c r="AE35" i="99" a="1"/>
  <c r="BR219" i="99" a="1"/>
  <c r="B4" i="100"/>
  <c r="C148" i="100"/>
  <c r="C1761" i="100"/>
  <c r="C706" i="100"/>
  <c r="B9" i="100"/>
  <c r="C204" i="100"/>
  <c r="B205" i="100"/>
  <c r="C1140" i="100"/>
  <c r="C1077" i="100"/>
  <c r="B436" i="100"/>
  <c r="C431" i="100"/>
  <c r="C300" i="100"/>
  <c r="B733" i="100"/>
  <c r="C1833" i="100"/>
  <c r="E249" i="99" a="1"/>
  <c r="C1188" i="100"/>
  <c r="C444" i="100"/>
  <c r="B794" i="100"/>
  <c r="C1868" i="100"/>
  <c r="C1089" i="100"/>
  <c r="C1062" i="100"/>
  <c r="L190" i="99" a="1"/>
  <c r="C1740" i="100"/>
  <c r="AA13" i="99" a="1"/>
  <c r="C372" i="100"/>
  <c r="B247" i="100"/>
  <c r="B170" i="100"/>
  <c r="B906" i="100"/>
  <c r="C1743" i="100"/>
  <c r="B413" i="100"/>
  <c r="C674" i="100"/>
  <c r="AD165" i="99" a="1"/>
  <c r="B1024" i="100"/>
  <c r="C1248" i="100"/>
  <c r="B345" i="100"/>
  <c r="B187" i="100"/>
  <c r="C1825" i="100"/>
  <c r="B1707" i="100"/>
  <c r="C1259" i="100"/>
  <c r="C743" i="100"/>
  <c r="AC89" i="99" a="1"/>
  <c r="B121" i="100"/>
  <c r="G360" i="99" a="1"/>
  <c r="C970" i="100"/>
  <c r="BO219" i="99" a="1"/>
  <c r="C1933" i="100"/>
  <c r="B269" i="100"/>
  <c r="C1901" i="100"/>
  <c r="B1943" i="100"/>
  <c r="B600" i="100"/>
  <c r="C1731" i="100"/>
  <c r="C1272" i="100"/>
  <c r="C871" i="100"/>
  <c r="B1835" i="100"/>
  <c r="F377" i="99" a="1"/>
  <c r="AD35" i="99" a="1"/>
  <c r="Y190" i="99" a="1"/>
  <c r="C222" i="100"/>
  <c r="C399" i="100"/>
  <c r="B1096" i="100"/>
  <c r="B1093" i="100"/>
  <c r="B962" i="100"/>
  <c r="B422" i="100"/>
  <c r="C1009" i="100"/>
  <c r="B111" i="100"/>
  <c r="C125" i="100"/>
  <c r="C22" i="100"/>
  <c r="B993" i="100"/>
  <c r="C964" i="100"/>
  <c r="B73" i="100"/>
  <c r="C1107" i="100"/>
  <c r="B1123" i="100"/>
  <c r="Z398" i="99" a="1"/>
  <c r="C994" i="100"/>
  <c r="B1100" i="100"/>
  <c r="B1682" i="100"/>
  <c r="C118" i="100"/>
  <c r="C146" i="100"/>
  <c r="B532" i="100"/>
  <c r="B801" i="100"/>
  <c r="D167" i="99" a="1"/>
  <c r="C914" i="100"/>
  <c r="C1707" i="100"/>
  <c r="B1756" i="100"/>
  <c r="B783" i="100"/>
  <c r="C671" i="100"/>
  <c r="B1143" i="100"/>
  <c r="B1211" i="100"/>
  <c r="C1804" i="100"/>
  <c r="K244" i="99" a="1"/>
  <c r="C1261" i="100"/>
  <c r="C1797" i="100"/>
  <c r="B273" i="100"/>
  <c r="C831" i="100"/>
  <c r="B22" i="100"/>
  <c r="B637" i="100"/>
  <c r="B661" i="100"/>
  <c r="B1015" i="100"/>
  <c r="C1034" i="100"/>
  <c r="W192" i="99" a="1"/>
  <c r="B756" i="100"/>
  <c r="B903" i="100"/>
  <c r="C857" i="100"/>
  <c r="C79" i="100"/>
  <c r="AG165" i="99" a="1"/>
  <c r="B26" i="100"/>
  <c r="B1749" i="100"/>
  <c r="C186" i="100"/>
  <c r="C826" i="100"/>
  <c r="C1223" i="100"/>
  <c r="B272" i="100"/>
  <c r="C685" i="100"/>
  <c r="C1879" i="100"/>
  <c r="C1812" i="100"/>
  <c r="BH221" i="99" a="1"/>
  <c r="B177" i="100"/>
  <c r="B181" i="100"/>
  <c r="E419" i="99" a="1"/>
  <c r="C12" i="100"/>
  <c r="C1769" i="100"/>
  <c r="B1918" i="100"/>
  <c r="B1733" i="100"/>
  <c r="C978" i="100"/>
  <c r="B387" i="100"/>
  <c r="B1871" i="100"/>
  <c r="C348" i="100"/>
  <c r="G35" i="99" a="1"/>
  <c r="B1840" i="100"/>
  <c r="C1865" i="100"/>
  <c r="B353" i="100"/>
  <c r="BM219" i="99" a="1"/>
  <c r="AA114" i="99" a="1"/>
  <c r="B1763" i="100"/>
  <c r="B1642" i="100"/>
  <c r="C514" i="100"/>
  <c r="V382" i="99" a="1"/>
  <c r="B1900" i="100"/>
  <c r="C1872" i="100"/>
  <c r="C1688" i="100"/>
  <c r="AF35" i="99" a="1"/>
  <c r="B690" i="100"/>
  <c r="B107" i="100"/>
  <c r="N288" i="99" a="1"/>
  <c r="G337" i="99" a="1"/>
  <c r="B267" i="100"/>
  <c r="U273" i="99" a="1"/>
  <c r="C561" i="100"/>
  <c r="B652" i="100"/>
  <c r="C185" i="100"/>
  <c r="C833" i="100"/>
  <c r="AV219" i="99" a="1"/>
  <c r="B1676" i="100"/>
  <c r="B1866" i="100"/>
  <c r="B57" i="100"/>
  <c r="B1790" i="100"/>
  <c r="C941" i="100"/>
  <c r="X62" i="99" a="1"/>
  <c r="C1910" i="100"/>
  <c r="B1845" i="100"/>
  <c r="B1070" i="100"/>
  <c r="B1713" i="100"/>
  <c r="C672" i="100"/>
  <c r="C176" i="100"/>
  <c r="C130" i="100"/>
  <c r="V223" i="99" a="1"/>
  <c r="C1593" i="100"/>
  <c r="B917" i="100"/>
  <c r="C1080" i="100"/>
  <c r="C142" i="100"/>
  <c r="B464" i="100"/>
  <c r="C136" i="100"/>
  <c r="B324" i="100"/>
  <c r="B1785" i="100"/>
  <c r="C1148" i="100"/>
  <c r="C998" i="100"/>
  <c r="C843" i="100"/>
  <c r="BF221" i="99" a="1"/>
  <c r="BQ219" i="99" a="1"/>
  <c r="B928" i="100"/>
  <c r="AF165" i="99" a="1"/>
  <c r="Y167" i="99" a="1"/>
  <c r="B157" i="100"/>
  <c r="C361" i="100"/>
  <c r="B351" i="100"/>
  <c r="B24" i="100"/>
  <c r="B1942" i="100"/>
  <c r="B741" i="100"/>
  <c r="C713" i="100"/>
  <c r="M89" i="99" a="1"/>
  <c r="B719" i="100"/>
  <c r="B432" i="100"/>
  <c r="B1726" i="100"/>
  <c r="B966" i="100"/>
  <c r="C1884" i="100"/>
  <c r="C982" i="100"/>
  <c r="C1780" i="100"/>
  <c r="C16" i="100"/>
  <c r="C722" i="100"/>
  <c r="B1035" i="100"/>
  <c r="C1265" i="100"/>
  <c r="B802" i="100"/>
  <c r="C913" i="100"/>
  <c r="B189" i="100"/>
  <c r="C1566" i="100"/>
  <c r="B301" i="100"/>
  <c r="C1022" i="100"/>
  <c r="B1899" i="100"/>
  <c r="B586" i="100"/>
  <c r="B632" i="100"/>
  <c r="B1187" i="100"/>
  <c r="C1955" i="100"/>
  <c r="B1282" i="100"/>
  <c r="C1118" i="100"/>
  <c r="C1928" i="100"/>
  <c r="C1918" i="100"/>
  <c r="B1043" i="100"/>
  <c r="B614" i="100"/>
  <c r="C433" i="100"/>
  <c r="C1846" i="100"/>
  <c r="BF223" i="99" a="1"/>
  <c r="O114" i="99" a="1"/>
  <c r="B1276" i="100"/>
  <c r="Z219" i="99" a="1"/>
  <c r="B912" i="100"/>
  <c r="C1944" i="100"/>
  <c r="E93" i="99" a="1"/>
  <c r="C1203" i="100"/>
  <c r="C20" i="100"/>
  <c r="B440" i="100"/>
  <c r="C321" i="100"/>
  <c r="B139" i="100"/>
  <c r="C331" i="100"/>
  <c r="E381" i="99" a="1"/>
  <c r="C223" i="100"/>
  <c r="C736" i="100"/>
  <c r="B761" i="100"/>
  <c r="B598" i="100"/>
  <c r="C1666" i="100"/>
  <c r="C353" i="100"/>
  <c r="CB219" i="99" a="1"/>
  <c r="C73" i="100"/>
  <c r="C1745" i="100"/>
  <c r="B1976" i="100"/>
  <c r="C1927" i="100"/>
  <c r="G246" i="99" a="1"/>
  <c r="N271" i="99" a="1"/>
  <c r="C1787" i="100"/>
  <c r="C123" i="100"/>
  <c r="W377" i="99" a="1"/>
  <c r="C1254" i="100"/>
  <c r="B1099" i="100"/>
  <c r="B188" i="100"/>
  <c r="C572" i="100"/>
  <c r="B370" i="100"/>
  <c r="C51" i="100"/>
  <c r="C393" i="100"/>
  <c r="D362" i="99" a="1"/>
  <c r="C1757" i="100"/>
  <c r="C1591" i="100"/>
  <c r="B1275" i="100"/>
  <c r="B1791" i="100"/>
  <c r="B1920" i="100"/>
  <c r="P114" i="99" a="1"/>
  <c r="C1711" i="100"/>
  <c r="B1761" i="100"/>
  <c r="AI89" i="99" a="1"/>
  <c r="D248" i="99" a="1"/>
  <c r="N89" i="99" a="1"/>
  <c r="C1892" i="100"/>
  <c r="B1961" i="100"/>
  <c r="B1569" i="100"/>
  <c r="C1191" i="100"/>
  <c r="C286" i="100"/>
  <c r="B488" i="100"/>
  <c r="B1135" i="100"/>
  <c r="B1844" i="100"/>
  <c r="C324" i="100"/>
  <c r="B256" i="100"/>
  <c r="C1225" i="100"/>
  <c r="C792" i="100"/>
  <c r="Z35" i="99" a="1"/>
  <c r="C15" i="100"/>
  <c r="C1012" i="100"/>
  <c r="B417" i="100"/>
  <c r="B717" i="100"/>
  <c r="C171" i="100"/>
  <c r="B104" i="100"/>
  <c r="D145" i="99" a="1"/>
  <c r="C339" i="100"/>
  <c r="B1945" i="100"/>
  <c r="B1012" i="100"/>
  <c r="B784" i="100"/>
  <c r="C772" i="100"/>
  <c r="C1781" i="100"/>
  <c r="B952" i="100"/>
  <c r="B74" i="100"/>
  <c r="B1799" i="100"/>
  <c r="C719" i="100"/>
  <c r="C1138" i="100"/>
  <c r="C129" i="100"/>
  <c r="B135" i="100"/>
  <c r="C1073" i="100"/>
  <c r="C532" i="100"/>
  <c r="B1829" i="100"/>
  <c r="AB37" i="99" a="1"/>
  <c r="C111" i="100"/>
  <c r="B1084" i="100"/>
  <c r="B208" i="100"/>
  <c r="B659" i="100"/>
  <c r="C410" i="100"/>
  <c r="C290" i="100"/>
  <c r="AG114" i="99" a="1"/>
  <c r="B1085" i="100"/>
  <c r="C1932" i="100"/>
  <c r="C194" i="100"/>
  <c r="C637" i="100"/>
  <c r="E167" i="99" a="1"/>
  <c r="O165" i="99" a="1"/>
  <c r="B1803" i="100"/>
  <c r="B1061" i="100"/>
  <c r="C33" i="100"/>
  <c r="B665" i="100"/>
  <c r="B1808" i="100"/>
  <c r="B826" i="100"/>
  <c r="C796" i="100"/>
  <c r="B1937" i="100"/>
  <c r="C620" i="100"/>
  <c r="C760" i="100"/>
  <c r="C1735" i="100"/>
  <c r="C208" i="100"/>
  <c r="B213" i="100"/>
  <c r="C1567" i="100"/>
  <c r="B1217" i="100"/>
  <c r="B790" i="100"/>
  <c r="C1061" i="100"/>
  <c r="B329" i="100"/>
  <c r="B689" i="100"/>
  <c r="B1609" i="100"/>
  <c r="C322" i="100"/>
  <c r="B622" i="100"/>
  <c r="C681" i="100"/>
  <c r="C593" i="100"/>
  <c r="B817" i="100"/>
  <c r="H114" i="99" a="1"/>
  <c r="AE13" i="99" a="1"/>
  <c r="C1196" i="100"/>
  <c r="C70" i="100"/>
  <c r="C1856" i="100"/>
  <c r="B1872" i="100"/>
  <c r="C1037" i="100"/>
  <c r="W273" i="99" a="1"/>
  <c r="B460" i="100"/>
  <c r="AO224" i="99" a="1"/>
  <c r="B1142" i="100"/>
  <c r="B686" i="100"/>
  <c r="B32" i="100"/>
  <c r="C65" i="100"/>
  <c r="B1896" i="100"/>
  <c r="B901" i="100"/>
  <c r="C1984" i="100"/>
  <c r="C1598" i="100"/>
  <c r="B1797" i="100"/>
  <c r="C893" i="100"/>
  <c r="C751" i="100"/>
  <c r="B855" i="100"/>
  <c r="I377" i="99" a="1"/>
  <c r="C1930" i="100"/>
  <c r="C1280" i="100"/>
  <c r="B1787" i="100"/>
  <c r="G165" i="99" a="1"/>
  <c r="C1850" i="100"/>
  <c r="C1160" i="100"/>
  <c r="C1687" i="100"/>
  <c r="B1894" i="100"/>
  <c r="B925" i="100"/>
  <c r="B453" i="100"/>
  <c r="B468" i="100"/>
  <c r="B251" i="100"/>
  <c r="C575" i="100"/>
  <c r="B388" i="100"/>
  <c r="C1273" i="100"/>
  <c r="C106" i="100"/>
  <c r="B628" i="100"/>
  <c r="B1793" i="100"/>
  <c r="C1704" i="100"/>
  <c r="C1898" i="100"/>
  <c r="C435" i="100"/>
  <c r="C1968" i="100"/>
  <c r="AG35" i="99" a="1"/>
  <c r="C876" i="100"/>
  <c r="AB271" i="99" a="1"/>
  <c r="B759" i="100"/>
  <c r="B209" i="100"/>
  <c r="C1985" i="100"/>
  <c r="B672" i="100"/>
  <c r="C789" i="100"/>
  <c r="U383" i="99" a="1"/>
  <c r="B1176" i="100"/>
  <c r="B19" i="100"/>
  <c r="AB62" i="99" a="1"/>
  <c r="B1757" i="100"/>
  <c r="B312" i="100"/>
  <c r="B202" i="100"/>
  <c r="C1762" i="100"/>
  <c r="B1127" i="100"/>
  <c r="K341" i="99" a="1"/>
  <c r="B569" i="100"/>
  <c r="C732" i="100"/>
  <c r="B1745" i="100"/>
  <c r="B153" i="100"/>
  <c r="C1714" i="100"/>
  <c r="B133" i="100"/>
  <c r="B676" i="100"/>
  <c r="B1938" i="100"/>
  <c r="B786" i="100"/>
  <c r="B915" i="100"/>
  <c r="B633" i="100"/>
  <c r="B303" i="100"/>
  <c r="AG271" i="99" a="1"/>
  <c r="C599" i="100"/>
  <c r="B1981" i="100"/>
  <c r="C940" i="100"/>
  <c r="B68" i="100"/>
  <c r="B996" i="100"/>
  <c r="C1269" i="100"/>
  <c r="C356" i="100"/>
  <c r="B732" i="100"/>
  <c r="B1242" i="100"/>
  <c r="C1218" i="100"/>
  <c r="B1870" i="100"/>
  <c r="B333" i="100"/>
  <c r="B640" i="100"/>
  <c r="C804" i="100"/>
  <c r="J305" i="99" a="1"/>
  <c r="C1255" i="100"/>
  <c r="C1760" i="100"/>
  <c r="C517" i="100"/>
  <c r="B400" i="100"/>
  <c r="C774" i="100"/>
  <c r="C891" i="100"/>
  <c r="B982" i="100"/>
  <c r="C1171" i="100"/>
  <c r="AI60" i="99" a="1"/>
  <c r="B1932" i="100"/>
  <c r="B617" i="100"/>
  <c r="C1207" i="100"/>
  <c r="V192" i="99" a="1"/>
  <c r="B554" i="100"/>
  <c r="AB165" i="99" a="1"/>
  <c r="C1059" i="100"/>
  <c r="B1104" i="100"/>
  <c r="C1097" i="100"/>
  <c r="BK219" i="99" a="1"/>
  <c r="B1089" i="100"/>
  <c r="C425" i="100"/>
  <c r="B1695" i="100"/>
  <c r="BW224" i="99" a="1"/>
  <c r="C1236" i="100"/>
  <c r="B398" i="100"/>
  <c r="V169" i="99" a="1"/>
  <c r="C1185" i="100"/>
  <c r="C1144" i="100"/>
  <c r="B650" i="100"/>
  <c r="W116" i="99"/>
  <c r="B102" i="100"/>
  <c r="H221" i="99" a="1"/>
  <c r="W39" i="99" a="1"/>
  <c r="C1281" i="100"/>
  <c r="B1848" i="100"/>
  <c r="B281" i="100"/>
  <c r="P89" i="99" a="1"/>
  <c r="C382" i="100"/>
  <c r="B93" i="100"/>
  <c r="C746" i="100"/>
  <c r="C296" i="100"/>
  <c r="B606" i="100"/>
  <c r="C26" i="100"/>
  <c r="C1102" i="100"/>
  <c r="C230" i="100"/>
  <c r="V91" i="99" a="1"/>
  <c r="C518" i="100"/>
  <c r="P35" i="99" a="1"/>
  <c r="B156" i="100"/>
  <c r="C908" i="100"/>
  <c r="C470" i="100"/>
  <c r="B496" i="100"/>
  <c r="B684" i="100"/>
  <c r="B257" i="100"/>
  <c r="B922" i="100"/>
  <c r="B1250" i="100"/>
  <c r="B1675" i="100"/>
  <c r="B1600" i="100"/>
  <c r="C697" i="100"/>
  <c r="B354" i="100"/>
  <c r="C1054" i="100"/>
  <c r="C1870" i="100"/>
  <c r="C901" i="100"/>
  <c r="C25" i="100"/>
  <c r="B1173" i="100"/>
  <c r="C1027" i="100"/>
  <c r="Z377" i="99" a="1"/>
  <c r="B970" i="100"/>
  <c r="B753" i="100"/>
  <c r="B44" i="100"/>
  <c r="H35" i="99" a="1"/>
  <c r="C1775" i="100"/>
  <c r="B228" i="100"/>
  <c r="C24" i="100"/>
  <c r="B703" i="100"/>
  <c r="B1214" i="100"/>
  <c r="B1843" i="100"/>
  <c r="C1969" i="100"/>
  <c r="U362" i="99" a="1"/>
  <c r="C519" i="100"/>
  <c r="E91" i="99" a="1"/>
  <c r="C1180" i="100"/>
  <c r="C810" i="100"/>
  <c r="C383" i="99" a="1"/>
  <c r="C928" i="100"/>
  <c r="B811" i="100"/>
  <c r="C1719" i="100"/>
  <c r="B1111" i="100"/>
  <c r="B885" i="100"/>
  <c r="B424" i="100"/>
  <c r="B948" i="100"/>
  <c r="B82" i="100"/>
  <c r="C1678" i="100"/>
  <c r="B872" i="100"/>
  <c r="B441" i="100"/>
  <c r="B1034" i="100"/>
  <c r="B1029" i="100"/>
  <c r="B253" i="100"/>
  <c r="M305" i="99" a="1"/>
  <c r="B1261" i="100"/>
  <c r="E382" i="99" a="1"/>
  <c r="C927" i="100"/>
  <c r="C827" i="100"/>
  <c r="B594" i="100"/>
  <c r="B280" i="100"/>
  <c r="B576" i="100"/>
  <c r="C350" i="100"/>
  <c r="AY219" i="99" a="1"/>
  <c r="W169" i="99" a="1"/>
  <c r="B1950" i="100"/>
  <c r="B1566" i="100"/>
  <c r="B1263" i="100"/>
  <c r="C364" i="100"/>
  <c r="C689" i="100"/>
  <c r="M219" i="99" a="1"/>
  <c r="C1208" i="100"/>
  <c r="D382" i="99" a="1"/>
  <c r="B1210" i="100"/>
  <c r="C733" i="100"/>
  <c r="E116" i="99"/>
  <c r="F356" i="99" a="1"/>
  <c r="B571" i="100"/>
  <c r="B190" i="100"/>
  <c r="Z360" i="99" a="1"/>
  <c r="C990" i="100"/>
  <c r="B1206" i="100"/>
  <c r="C502" i="100"/>
  <c r="C1935" i="100"/>
  <c r="J341" i="99" a="1"/>
  <c r="B215" i="100"/>
  <c r="B827" i="100"/>
  <c r="B1583" i="100"/>
  <c r="B1019" i="100"/>
  <c r="C445" i="100"/>
  <c r="B737" i="100"/>
  <c r="Z60" i="99" a="1"/>
  <c r="B352" i="100"/>
  <c r="C1783" i="100"/>
  <c r="O271" i="99" a="1"/>
  <c r="AG190" i="99" a="1"/>
  <c r="B183" i="100"/>
  <c r="C28" i="100"/>
  <c r="N341" i="99" a="1"/>
  <c r="B1825" i="100"/>
  <c r="B7" i="100"/>
  <c r="C574" i="100"/>
  <c r="C1960" i="100"/>
  <c r="Z143" i="99" a="1"/>
  <c r="C381" i="99" a="1"/>
  <c r="B225" i="100"/>
  <c r="C1050" i="100"/>
  <c r="C621" i="100"/>
  <c r="B1828" i="100"/>
  <c r="B804" i="100"/>
  <c r="B574" i="100"/>
  <c r="B1885" i="100"/>
  <c r="AG143" i="99" a="1"/>
  <c r="C1076" i="100"/>
  <c r="C1889" i="100"/>
  <c r="C365" i="100"/>
  <c r="P5" i="99" a="1"/>
  <c r="C949" i="100"/>
  <c r="C404" i="100"/>
  <c r="C150" i="100"/>
  <c r="B1692" i="100"/>
  <c r="C1274" i="100"/>
  <c r="B178" i="100"/>
  <c r="C1919" i="100"/>
  <c r="N377" i="99" a="1"/>
  <c r="M341" i="99" a="1"/>
  <c r="C484" i="100"/>
  <c r="B362" i="100"/>
  <c r="B1595" i="100"/>
  <c r="B823" i="100"/>
  <c r="B1893" i="100"/>
  <c r="C117" i="100"/>
  <c r="C87" i="100"/>
  <c r="B1139" i="100"/>
  <c r="C900" i="100"/>
  <c r="C255" i="100"/>
  <c r="C1252" i="100"/>
  <c r="B1807" i="100"/>
  <c r="AR219" i="99" a="1"/>
  <c r="C770" i="100"/>
  <c r="C328" i="100"/>
  <c r="Q114" i="99" a="1"/>
  <c r="C1702" i="100"/>
  <c r="B50" i="100"/>
  <c r="C894" i="100"/>
  <c r="AB13" i="99" a="1"/>
  <c r="B1926" i="100"/>
  <c r="C630" i="100"/>
  <c r="C1813" i="100"/>
  <c r="C811" i="100"/>
  <c r="B730" i="100"/>
  <c r="C1035" i="100"/>
  <c r="B1868" i="100"/>
  <c r="B934" i="100"/>
  <c r="C1904" i="100"/>
  <c r="B931" i="100"/>
  <c r="B956" i="100"/>
  <c r="C94" i="100"/>
  <c r="C1074" i="100"/>
  <c r="D404" i="99" a="1"/>
  <c r="B1693" i="100"/>
  <c r="B291" i="100"/>
  <c r="B119" i="100"/>
  <c r="AE165" i="99" a="1"/>
  <c r="B1585" i="100"/>
  <c r="C761" i="100"/>
  <c r="C995" i="100"/>
  <c r="B595" i="100"/>
  <c r="C1212" i="100"/>
  <c r="B238" i="100"/>
  <c r="C180" i="100"/>
  <c r="F192" i="99"/>
  <c r="AC13" i="99" a="1"/>
  <c r="B585" i="100"/>
  <c r="B843" i="100"/>
  <c r="C673" i="100"/>
  <c r="C1818" i="100"/>
  <c r="B248" i="100"/>
  <c r="H288" i="99" a="1"/>
  <c r="G116" i="99" a="1"/>
  <c r="B514" i="100"/>
  <c r="C405" i="100"/>
  <c r="B1714" i="100"/>
  <c r="B726" i="100"/>
  <c r="B1741" i="100"/>
  <c r="C10" i="100"/>
  <c r="B648" i="100"/>
  <c r="B33" i="100"/>
  <c r="B289" i="100"/>
  <c r="B186" i="100"/>
  <c r="H322" i="99" a="1"/>
  <c r="C1807" i="100"/>
  <c r="B337" i="100"/>
  <c r="B1076" i="100"/>
  <c r="B581" i="100"/>
  <c r="B678" i="100"/>
  <c r="C1219" i="100"/>
  <c r="C938" i="100"/>
  <c r="F93" i="99" a="1"/>
  <c r="B308" i="100"/>
  <c r="B175" i="100"/>
  <c r="B130" i="100"/>
  <c r="C88" i="100"/>
  <c r="C715" i="100"/>
  <c r="C930" i="100"/>
  <c r="B722" i="100"/>
  <c r="C1558" i="100"/>
  <c r="C1827" i="100"/>
  <c r="C147" i="100"/>
  <c r="B534" i="100"/>
  <c r="B1044" i="100"/>
  <c r="B762" i="100"/>
  <c r="C526" i="100"/>
  <c r="B946" i="100"/>
  <c r="B695" i="100"/>
  <c r="C178" i="100"/>
  <c r="B29" i="100"/>
  <c r="C968" i="100"/>
  <c r="C397" i="100"/>
  <c r="AB190" i="99" a="1"/>
  <c r="B810" i="100"/>
  <c r="B364" i="100"/>
  <c r="C173" i="100"/>
  <c r="C1849" i="100"/>
  <c r="C167" i="100"/>
  <c r="B1226" i="100"/>
  <c r="B1081" i="100"/>
  <c r="C385" i="100"/>
  <c r="C925" i="100"/>
  <c r="F39" i="99" a="1"/>
  <c r="C1667" i="100"/>
  <c r="C981" i="100"/>
  <c r="G221" i="99" a="1"/>
  <c r="B1594" i="100"/>
  <c r="B349" i="100"/>
  <c r="Y360" i="99" a="1"/>
  <c r="C860" i="100"/>
  <c r="B185" i="100"/>
  <c r="C779" i="100"/>
  <c r="C824" i="100"/>
  <c r="C9" i="100"/>
  <c r="C309" i="100"/>
  <c r="C997" i="100"/>
  <c r="AB377" i="99" a="1"/>
  <c r="B11" i="100"/>
  <c r="AN224" i="99" a="1"/>
  <c r="C590" i="100"/>
  <c r="B558" i="100"/>
  <c r="B1699" i="100"/>
  <c r="B871" i="100"/>
  <c r="B1154" i="100"/>
  <c r="B322" i="100"/>
  <c r="C552" i="100"/>
  <c r="B145" i="100"/>
  <c r="N244" i="99" a="1"/>
  <c r="C1979" i="100"/>
  <c r="W93" i="99" a="1"/>
  <c r="B1801" i="100"/>
  <c r="C438" i="100"/>
  <c r="G288" i="99" a="1"/>
  <c r="B1207" i="100"/>
  <c r="AC271" i="99" a="1"/>
  <c r="B1867" i="100"/>
  <c r="C539" i="100"/>
  <c r="C1039" i="100"/>
  <c r="B309" i="100"/>
  <c r="C55" i="100"/>
  <c r="C114" i="100"/>
  <c r="B478" i="100"/>
  <c r="C113" i="100"/>
  <c r="B482" i="100"/>
  <c r="B263" i="100"/>
  <c r="C1753" i="100"/>
  <c r="C802" i="100"/>
  <c r="C882" i="100"/>
  <c r="B1245" i="100"/>
  <c r="B295" i="100"/>
  <c r="E343" i="99" a="1"/>
  <c r="C1187" i="100"/>
  <c r="C829" i="100"/>
  <c r="C1676" i="100"/>
  <c r="C92" i="100"/>
  <c r="C631" i="100"/>
  <c r="B846" i="100"/>
  <c r="L288" i="99" a="1"/>
  <c r="B1842" i="100"/>
  <c r="C865" i="100"/>
  <c r="C1665" i="100"/>
  <c r="B317" i="100"/>
  <c r="C1176" i="100"/>
  <c r="C383" i="100"/>
  <c r="C326" i="100"/>
  <c r="C807" i="100"/>
  <c r="C421" i="100"/>
  <c r="C1907" i="100"/>
  <c r="B851" i="100"/>
  <c r="C1066" i="100"/>
  <c r="L60" i="99" a="1"/>
  <c r="E169" i="99" a="1"/>
  <c r="B556" i="100"/>
  <c r="I271" i="99" a="1"/>
  <c r="H190" i="99" a="1"/>
  <c r="B1830" i="100"/>
  <c r="V39" i="99" a="1"/>
  <c r="AC143" i="99" a="1"/>
  <c r="L271" i="99" a="1"/>
  <c r="B929" i="100"/>
  <c r="B1254" i="100"/>
  <c r="C59" i="100"/>
  <c r="C806" i="100"/>
  <c r="C823" i="100"/>
  <c r="B1744" i="100"/>
  <c r="C1959" i="100"/>
  <c r="B642" i="100"/>
  <c r="C718" i="100"/>
  <c r="C1724" i="100"/>
  <c r="C1899" i="100"/>
  <c r="C104" i="100"/>
  <c r="B1879" i="100"/>
  <c r="C687" i="100"/>
  <c r="B502" i="100"/>
  <c r="B1559" i="100"/>
  <c r="B845" i="100"/>
  <c r="C93" i="100"/>
  <c r="B203" i="100"/>
  <c r="B1884" i="100"/>
  <c r="C1230" i="100"/>
  <c r="C379" i="99" a="1"/>
  <c r="C1161" i="100"/>
  <c r="C1186" i="100"/>
  <c r="C138" i="100"/>
  <c r="C1916" i="100"/>
  <c r="C1752" i="100"/>
  <c r="B290" i="100"/>
  <c r="C1064" i="100"/>
  <c r="B627" i="100"/>
  <c r="AH35" i="99" a="1"/>
  <c r="B60" i="100"/>
  <c r="B987" i="100"/>
  <c r="B1752" i="100"/>
  <c r="C1157" i="100"/>
  <c r="C603" i="100"/>
  <c r="AC377" i="99" a="1"/>
  <c r="B1691" i="100"/>
  <c r="B1221" i="100"/>
  <c r="C931" i="100"/>
  <c r="B1557" i="100"/>
  <c r="C273" i="99" a="1"/>
  <c r="B421" i="100"/>
  <c r="B420" i="100"/>
  <c r="C1613" i="100"/>
  <c r="B1165" i="100"/>
  <c r="C144" i="100"/>
  <c r="C358" i="100"/>
  <c r="B1058" i="100"/>
  <c r="B101" i="100"/>
  <c r="F224" i="99" a="1"/>
  <c r="B363" i="100"/>
  <c r="C1117" i="100"/>
  <c r="C1914" i="100"/>
  <c r="C1055" i="100"/>
  <c r="B28" i="100"/>
  <c r="C1588" i="100"/>
  <c r="C828" i="100"/>
  <c r="C495" i="100"/>
  <c r="B437" i="100"/>
  <c r="I305" i="99" a="1"/>
  <c r="B630" i="100"/>
  <c r="D91" i="99" a="1"/>
  <c r="C371" i="100"/>
  <c r="D223" i="99" a="1"/>
  <c r="C1279" i="100"/>
  <c r="C682" i="100"/>
  <c r="B1227" i="100"/>
  <c r="B535" i="100"/>
  <c r="B241" i="100"/>
  <c r="B49" i="100"/>
  <c r="C851" i="100"/>
  <c r="C780" i="100"/>
  <c r="U379" i="99" a="1"/>
  <c r="F246" i="99" a="1"/>
  <c r="C313" i="100"/>
  <c r="I288" i="99" a="1"/>
  <c r="B90" i="100"/>
  <c r="C955" i="100"/>
  <c r="B397" i="100"/>
  <c r="W381" i="99" a="1"/>
  <c r="B1270" i="100"/>
  <c r="C47" i="100"/>
  <c r="E192" i="99" a="1"/>
  <c r="C1603" i="100"/>
  <c r="V145" i="99" a="1"/>
  <c r="C1909" i="100"/>
  <c r="C957" i="100"/>
  <c r="B869" i="100"/>
  <c r="B1133" i="100"/>
  <c r="B1971" i="100"/>
  <c r="O190" i="99" a="1"/>
  <c r="B1105" i="100"/>
  <c r="C573" i="100"/>
  <c r="C623" i="100"/>
  <c r="C742" i="100"/>
  <c r="C1802" i="100"/>
  <c r="B283" i="100"/>
  <c r="B567" i="100"/>
  <c r="B1224" i="100"/>
  <c r="B887" i="100"/>
  <c r="C324" i="99" a="1"/>
  <c r="C139" i="100"/>
  <c r="C1238" i="100"/>
  <c r="C839" i="100"/>
  <c r="B584" i="100"/>
  <c r="C1568" i="100"/>
  <c r="C1848" i="100"/>
  <c r="B745" i="100"/>
  <c r="C68" i="100"/>
  <c r="CD219" i="99" a="1"/>
  <c r="C469" i="100"/>
  <c r="B531" i="100"/>
  <c r="C868" i="100"/>
  <c r="B814" i="100"/>
  <c r="C538" i="100"/>
  <c r="C127" i="100"/>
  <c r="D307" i="99" a="1"/>
  <c r="C1173" i="100"/>
  <c r="AI165" i="99" a="1"/>
  <c r="B1607" i="100"/>
  <c r="C205" i="100"/>
  <c r="H356" i="99" a="1"/>
  <c r="C587" i="100"/>
  <c r="J35" i="99" a="1"/>
  <c r="C617" i="100"/>
  <c r="B237" i="100"/>
  <c r="B785" i="100"/>
  <c r="C320" i="100"/>
  <c r="B456" i="100"/>
  <c r="B1098" i="100"/>
  <c r="O143" i="99" a="1"/>
  <c r="C1691" i="100"/>
  <c r="B1199" i="100"/>
  <c r="C323" i="100"/>
  <c r="C918" i="100"/>
  <c r="C390" i="100"/>
  <c r="C119" i="100"/>
  <c r="C646" i="100"/>
  <c r="B774" i="100"/>
  <c r="C935" i="100"/>
  <c r="B568" i="100"/>
  <c r="AX219" i="99" a="1"/>
  <c r="C81" i="100"/>
  <c r="C601" i="100"/>
  <c r="D15" i="99" a="1"/>
  <c r="C1247" i="100"/>
  <c r="B932" i="100"/>
  <c r="B450" i="100"/>
  <c r="C1607" i="100"/>
  <c r="B81" i="100"/>
  <c r="C1142" i="100"/>
  <c r="C1614" i="100"/>
  <c r="B908" i="100"/>
  <c r="C1987" i="100"/>
  <c r="K13" i="99" a="1"/>
  <c r="C243" i="100"/>
  <c r="B1088" i="100"/>
  <c r="C932" i="100"/>
  <c r="C1278" i="100"/>
  <c r="C696" i="100"/>
  <c r="C527" i="100"/>
  <c r="B199" i="100"/>
  <c r="B1163" i="100"/>
  <c r="C231" i="100"/>
  <c r="D343" i="99" a="1"/>
  <c r="B279" i="100"/>
  <c r="C266" i="100"/>
  <c r="C758" i="100"/>
  <c r="C299" i="100"/>
  <c r="B1969" i="100"/>
  <c r="B945" i="100"/>
  <c r="B937" i="100"/>
  <c r="C566" i="100"/>
  <c r="G192" i="99" a="1"/>
  <c r="C1556" i="100"/>
  <c r="C274" i="100"/>
  <c r="C258" i="100"/>
  <c r="C1130" i="100"/>
  <c r="C953" i="100"/>
  <c r="C1773" i="100"/>
  <c r="C403" i="100"/>
  <c r="C349" i="100"/>
  <c r="C999" i="100"/>
  <c r="B891" i="100"/>
  <c r="P60" i="99" a="1"/>
  <c r="B1121" i="100"/>
  <c r="B244" i="100"/>
  <c r="E290" i="99" a="1"/>
  <c r="B262" i="100"/>
  <c r="B537" i="100"/>
  <c r="B184" i="100"/>
  <c r="C124" i="100"/>
  <c r="Z13" i="99" a="1"/>
  <c r="C782" i="100"/>
  <c r="C102" i="100"/>
  <c r="C1105" i="100"/>
  <c r="B52" i="100"/>
  <c r="C388" i="100"/>
  <c r="C874" i="100"/>
  <c r="C1986" i="100"/>
  <c r="B1862" i="100"/>
  <c r="C677" i="100"/>
  <c r="B1878" i="100"/>
  <c r="B414" i="100"/>
  <c r="B439" i="100"/>
  <c r="C1881" i="100"/>
  <c r="B834" i="100"/>
  <c r="H377" i="99" a="1"/>
  <c r="C1950" i="100"/>
  <c r="B977" i="100"/>
  <c r="B268" i="100"/>
  <c r="C497" i="100"/>
  <c r="C886" i="100"/>
  <c r="C939" i="100"/>
  <c r="C618" i="100"/>
  <c r="C1798" i="100"/>
  <c r="F221" i="99" a="1"/>
  <c r="B1881" i="100"/>
  <c r="C1010" i="100"/>
  <c r="B844" i="100"/>
  <c r="C896" i="100"/>
  <c r="B1960" i="100"/>
  <c r="C555" i="100"/>
  <c r="M360" i="99" a="1"/>
  <c r="C845" i="100"/>
  <c r="C1241" i="100"/>
  <c r="B234" i="100"/>
  <c r="C1874" i="100"/>
  <c r="B1869" i="100"/>
  <c r="C1896" i="100"/>
  <c r="V380" i="99" a="1"/>
  <c r="B881" i="100"/>
  <c r="C493" i="100"/>
  <c r="B995" i="100"/>
  <c r="B938" i="100"/>
  <c r="C344" i="100"/>
  <c r="B830" i="100"/>
  <c r="C950" i="100"/>
  <c r="B384" i="100"/>
  <c r="B904" i="100"/>
  <c r="N60" i="99" a="1"/>
  <c r="B356" i="100"/>
  <c r="V15" i="99" a="1"/>
  <c r="C503" i="100"/>
  <c r="BE223" i="99" a="1"/>
  <c r="B1936" i="100"/>
  <c r="C635" i="100"/>
  <c r="B626" i="100"/>
  <c r="B489" i="100"/>
  <c r="C439" i="100"/>
  <c r="C1115" i="100"/>
  <c r="Y165" i="99" a="1"/>
  <c r="C537" i="100"/>
  <c r="B75" i="100"/>
  <c r="C1081" i="100"/>
  <c r="N219" i="99" a="1"/>
  <c r="C1887" i="100"/>
  <c r="C712" i="100"/>
  <c r="B1780" i="100"/>
  <c r="C1778" i="100"/>
  <c r="B278" i="100"/>
  <c r="B1949" i="100"/>
  <c r="C1940" i="100"/>
  <c r="C695" i="100"/>
  <c r="Q219" i="99" a="1"/>
  <c r="B924" i="100"/>
  <c r="AE271" i="99" a="1"/>
  <c r="C1151" i="100"/>
  <c r="B1229" i="100"/>
  <c r="B1911" i="100"/>
  <c r="C60" i="100"/>
  <c r="C501" i="100"/>
  <c r="C460" i="100"/>
  <c r="C1103" i="100"/>
  <c r="C259" i="100"/>
  <c r="B1610" i="100"/>
  <c r="C1970" i="100"/>
  <c r="G356" i="99" a="1"/>
  <c r="H244" i="99" a="1"/>
  <c r="B518" i="100"/>
  <c r="B1170" i="100"/>
  <c r="C1680" i="100"/>
  <c r="B714" i="100"/>
  <c r="B1222" i="100"/>
  <c r="B1974" i="100"/>
  <c r="B1850" i="100"/>
  <c r="C665" i="100"/>
  <c r="C468" i="100"/>
  <c r="C951" i="100"/>
  <c r="C170" i="100"/>
  <c r="B1026" i="100"/>
  <c r="C606" i="100"/>
  <c r="C1008" i="100"/>
  <c r="B749" i="100"/>
  <c r="B378" i="100"/>
  <c r="C46" i="100"/>
  <c r="M114" i="99" a="1"/>
  <c r="C1170" i="100"/>
  <c r="C636" i="100"/>
  <c r="B1908" i="100"/>
  <c r="B341" i="100"/>
  <c r="B191" i="100"/>
  <c r="C1199" i="100"/>
  <c r="B533" i="100"/>
  <c r="C591" i="100"/>
  <c r="D93" i="99" a="1"/>
  <c r="B955" i="100"/>
  <c r="C686" i="100"/>
  <c r="C452" i="100"/>
  <c r="B760" i="100"/>
  <c r="B1804" i="100"/>
  <c r="C1922" i="100"/>
  <c r="C1033" i="100"/>
  <c r="C786" i="100"/>
  <c r="C494" i="100"/>
  <c r="B525" i="100"/>
  <c r="C214" i="100"/>
  <c r="C737" i="100"/>
  <c r="O288" i="99" a="1"/>
  <c r="B1941" i="100"/>
  <c r="C624" i="100"/>
  <c r="C729" i="100"/>
  <c r="B824" i="100"/>
  <c r="C980" i="100"/>
  <c r="P6" i="99" a="1"/>
  <c r="B1767" i="100"/>
  <c r="B542" i="100"/>
  <c r="L114" i="99" a="1"/>
  <c r="C1951" i="100"/>
  <c r="B200" i="100"/>
  <c r="C1934" i="100"/>
  <c r="B798" i="100"/>
  <c r="B909" i="100"/>
  <c r="B390" i="100"/>
  <c r="C903" i="100"/>
  <c r="C1742" i="100"/>
  <c r="B781" i="100"/>
  <c r="C1044" i="100"/>
  <c r="B1909" i="100"/>
  <c r="AO223" i="99" a="1"/>
  <c r="C863" i="100"/>
  <c r="C1831" i="100"/>
  <c r="B43" i="100"/>
  <c r="C909" i="100"/>
  <c r="AC114" i="99" a="1"/>
  <c r="C49" i="100"/>
  <c r="AB89" i="99" a="1"/>
  <c r="AU219" i="99" a="1"/>
  <c r="B368" i="100"/>
  <c r="B1264" i="100"/>
  <c r="B1731" i="100"/>
  <c r="Y192" i="99" a="1"/>
  <c r="C571" i="100"/>
  <c r="C98" i="100"/>
  <c r="C613" i="100"/>
  <c r="C1270" i="100"/>
  <c r="O244" i="99" a="1"/>
  <c r="AQ221" i="99" a="1"/>
  <c r="B1985" i="100"/>
  <c r="C959" i="100"/>
  <c r="C330" i="100"/>
  <c r="B385" i="100"/>
  <c r="C1751" i="100"/>
  <c r="C1972" i="100"/>
  <c r="C177" i="100"/>
  <c r="B1107" i="100"/>
  <c r="C1720" i="100"/>
  <c r="C122" i="100"/>
  <c r="C450" i="100"/>
  <c r="B1020" i="100"/>
  <c r="C181" i="100"/>
  <c r="C513" i="100"/>
  <c r="C1915" i="100"/>
  <c r="C280" i="100"/>
  <c r="B989" i="100"/>
  <c r="C105" i="100"/>
  <c r="B459" i="100"/>
  <c r="B565" i="100"/>
  <c r="B47" i="100"/>
  <c r="B1087" i="100"/>
  <c r="G322" i="99" a="1"/>
  <c r="B1697" i="100"/>
  <c r="B85" i="100"/>
  <c r="G219" i="99" a="1"/>
  <c r="B96" i="100"/>
  <c r="C688" i="100"/>
  <c r="N4" i="99" a="1"/>
  <c r="C562" i="100"/>
  <c r="AE398" i="99" a="1"/>
  <c r="I89" i="99" a="1"/>
  <c r="B419" i="100"/>
  <c r="B242" i="100"/>
  <c r="B935" i="100"/>
  <c r="B896" i="100"/>
  <c r="C775" i="100"/>
  <c r="B137" i="100"/>
  <c r="C71" i="100"/>
  <c r="C883" i="100"/>
  <c r="B1647" i="100"/>
  <c r="B463" i="100"/>
  <c r="J398" i="99" a="1"/>
  <c r="C1963" i="100"/>
  <c r="B580" i="100"/>
  <c r="C943" i="100"/>
  <c r="B219" i="100"/>
  <c r="B780" i="100"/>
  <c r="C379" i="100"/>
  <c r="C412" i="100"/>
  <c r="C464" i="100"/>
  <c r="C1268" i="100"/>
  <c r="B670" i="100"/>
  <c r="B765" i="100"/>
  <c r="C1912" i="100"/>
  <c r="B544" i="100"/>
  <c r="C1674" i="100"/>
  <c r="C816" i="100"/>
  <c r="G377" i="99" a="1"/>
  <c r="B18" i="100"/>
  <c r="I190" i="99" a="1"/>
  <c r="B905" i="100"/>
  <c r="CC221" i="99" a="1"/>
  <c r="C1263" i="100"/>
  <c r="B1965" i="100"/>
  <c r="D379" i="99" a="1"/>
  <c r="C1819" i="100"/>
  <c r="B1847" i="100"/>
  <c r="B1834" i="100"/>
  <c r="B501" i="100"/>
  <c r="C1946" i="100"/>
  <c r="C707" i="100"/>
  <c r="B1778" i="100"/>
  <c r="B350" i="100"/>
  <c r="B1258" i="100"/>
  <c r="C794" i="100"/>
  <c r="C437" i="100"/>
  <c r="C801" i="100"/>
  <c r="B593" i="100"/>
  <c r="B983" i="100"/>
  <c r="B1203" i="100"/>
  <c r="C1736" i="100"/>
  <c r="P165" i="99" a="1"/>
  <c r="C916" i="100"/>
  <c r="I360" i="99" a="1"/>
  <c r="C414" i="100"/>
  <c r="B431" i="100"/>
  <c r="B1097" i="100"/>
  <c r="C1213" i="100"/>
  <c r="AB35" i="99" a="1"/>
  <c r="C1002" i="100"/>
  <c r="B1197" i="100"/>
  <c r="C567" i="100"/>
  <c r="C1948" i="100"/>
  <c r="C711" i="100"/>
  <c r="AH13" i="99" a="1"/>
  <c r="B711" i="100"/>
  <c r="C720" i="100"/>
  <c r="AD398" i="99" a="1"/>
  <c r="B389" i="100"/>
  <c r="C730" i="100"/>
  <c r="B744" i="100"/>
  <c r="BW221" i="99" a="1"/>
  <c r="B490" i="100"/>
  <c r="B179" i="100"/>
  <c r="B151" i="100"/>
  <c r="C422" i="100"/>
  <c r="B473" i="100"/>
  <c r="C311" i="100"/>
  <c r="B644" i="100"/>
  <c r="B651" i="100"/>
  <c r="C849" i="100"/>
  <c r="B129" i="100"/>
  <c r="C1616" i="100"/>
  <c r="G37" i="99" a="1"/>
  <c r="B1802" i="100"/>
  <c r="B999" i="100"/>
  <c r="B123" i="100"/>
  <c r="B83" i="100"/>
  <c r="B743" i="100"/>
  <c r="C763" i="100"/>
  <c r="B1948" i="100"/>
  <c r="C1228" i="100"/>
  <c r="Q89" i="99" a="1"/>
  <c r="C984" i="100"/>
  <c r="B1715" i="100"/>
  <c r="N8" i="99" a="1"/>
  <c r="C446" i="100"/>
  <c r="C1583" i="100"/>
  <c r="C1857" i="100"/>
  <c r="B288" i="100"/>
  <c r="C625" i="100"/>
  <c r="B99" i="100"/>
  <c r="B1171" i="100"/>
  <c r="C648" i="100"/>
  <c r="B1921" i="100"/>
  <c r="B1138" i="100"/>
  <c r="B573" i="100"/>
  <c r="C912" i="100"/>
  <c r="B347" i="100"/>
  <c r="C1257" i="100"/>
  <c r="B492" i="100"/>
  <c r="C784" i="100"/>
  <c r="C1589" i="100"/>
  <c r="C962" i="100"/>
  <c r="B1826" i="100"/>
  <c r="M377" i="99" a="1"/>
  <c r="C1908" i="100"/>
  <c r="B486" i="100"/>
  <c r="C847" i="100"/>
  <c r="C1015" i="100"/>
  <c r="B1161" i="100"/>
  <c r="B367" i="100"/>
  <c r="C1973" i="100"/>
  <c r="B738" i="100"/>
  <c r="I114" i="99" a="1"/>
  <c r="B954" i="100"/>
  <c r="BJ219" i="99" a="1"/>
  <c r="B233" i="100"/>
  <c r="B724" i="100"/>
  <c r="C490" i="100"/>
  <c r="C355" i="100"/>
  <c r="B474" i="100"/>
  <c r="B298" i="100"/>
  <c r="C66" i="100"/>
  <c r="B1687" i="100"/>
  <c r="J271" i="99" a="1"/>
  <c r="C622" i="100"/>
  <c r="B1007" i="100"/>
  <c r="C440" i="100"/>
  <c r="C152" i="100"/>
  <c r="B1212" i="100"/>
  <c r="C1885" i="100"/>
  <c r="B126" i="100"/>
  <c r="C922" i="100"/>
  <c r="AC35" i="99" a="1"/>
  <c r="C95" i="100"/>
  <c r="B325" i="100"/>
  <c r="B1724" i="100"/>
  <c r="B1000" i="100"/>
  <c r="C967" i="100"/>
  <c r="K305" i="99" a="1"/>
  <c r="C611" i="100"/>
  <c r="C1235" i="100"/>
  <c r="V224" i="99" a="1"/>
  <c r="C1045" i="100"/>
  <c r="C1596" i="100"/>
  <c r="B1272" i="100"/>
  <c r="AN221" i="99" a="1"/>
  <c r="J288" i="99" a="1"/>
  <c r="B394" i="100"/>
  <c r="C408" i="100"/>
  <c r="B265" i="100"/>
  <c r="C1158" i="100"/>
  <c r="B1116" i="100"/>
  <c r="B940" i="100"/>
  <c r="B1067" i="100"/>
  <c r="C1893" i="100"/>
  <c r="B1597" i="100"/>
  <c r="B1131" i="100"/>
  <c r="B1922" i="100"/>
  <c r="C709" i="100"/>
  <c r="C232" i="100"/>
  <c r="H360" i="99" a="1"/>
  <c r="C766" i="100"/>
  <c r="AE190" i="99" a="1"/>
  <c r="C429" i="100"/>
  <c r="B1690" i="100"/>
  <c r="C778" i="100"/>
  <c r="P244" i="99" a="1"/>
  <c r="B300" i="100"/>
  <c r="C294" i="100"/>
  <c r="C436" i="100"/>
  <c r="B1169" i="100"/>
  <c r="B1882" i="100"/>
  <c r="B63" i="100"/>
  <c r="B404" i="100"/>
  <c r="E224" i="99" a="1"/>
  <c r="C1840" i="100"/>
  <c r="C1779" i="100"/>
  <c r="C670" i="100"/>
  <c r="BZ219" i="99" a="1"/>
  <c r="C769" i="100"/>
  <c r="AI35" i="99" a="1"/>
  <c r="C1982" i="100"/>
  <c r="C1977" i="100"/>
  <c r="C192" i="100"/>
  <c r="B805" i="100"/>
  <c r="B1902" i="100"/>
  <c r="C549" i="100"/>
  <c r="AG219" i="99" a="1"/>
  <c r="C1673" i="100"/>
  <c r="C915" i="100"/>
  <c r="C267" i="100"/>
  <c r="C1178" i="100"/>
  <c r="B147" i="100"/>
  <c r="C821" i="100"/>
  <c r="B601" i="100"/>
  <c r="C5" i="100"/>
  <c r="B1202" i="100"/>
  <c r="C1952" i="100"/>
  <c r="C473" i="100"/>
  <c r="C866" i="100"/>
  <c r="C661" i="100"/>
  <c r="J244" i="99" a="1"/>
  <c r="C1242" i="100"/>
  <c r="B62" i="100"/>
  <c r="C952" i="100"/>
  <c r="B261" i="100"/>
  <c r="C101" i="100"/>
  <c r="B1832" i="100"/>
  <c r="K190" i="99" a="1"/>
  <c r="C642" i="100"/>
  <c r="B1183" i="100"/>
  <c r="X377" i="99" a="1"/>
  <c r="B1117" i="100"/>
  <c r="B336" i="100"/>
  <c r="C281" i="100"/>
  <c r="C249" i="100"/>
  <c r="H89" i="99" a="1"/>
  <c r="C1710" i="100"/>
  <c r="C511" i="100"/>
  <c r="B1042" i="100"/>
  <c r="B1274" i="100"/>
  <c r="F248" i="99" a="1"/>
  <c r="B1025" i="100"/>
  <c r="B1734" i="100"/>
  <c r="I13" i="99" a="1"/>
  <c r="L322" i="99" a="1"/>
  <c r="B423" i="100"/>
  <c r="V116" i="99" a="1"/>
  <c r="AF271" i="99" a="1"/>
  <c r="C34" i="100"/>
  <c r="M271" i="99" a="1"/>
  <c r="C1821" i="100"/>
  <c r="C252" i="100"/>
  <c r="AA219" i="99" a="1"/>
  <c r="C1049" i="100"/>
  <c r="B520" i="100"/>
  <c r="B866" i="100"/>
  <c r="C1069" i="100"/>
  <c r="C373" i="100"/>
  <c r="B1953" i="100"/>
  <c r="G167" i="99" a="1"/>
  <c r="D381" i="99" a="1"/>
  <c r="C1108" i="100"/>
  <c r="C1913" i="100"/>
  <c r="C515" i="100"/>
  <c r="C1004" i="100"/>
  <c r="C1565" i="100"/>
  <c r="B310" i="100"/>
  <c r="C1084" i="100"/>
  <c r="B475" i="100"/>
  <c r="B1616" i="100"/>
  <c r="B1066" i="100"/>
  <c r="Y13" i="99" a="1"/>
  <c r="C892" i="100"/>
  <c r="C133" i="100"/>
  <c r="C190" i="100"/>
  <c r="C1698" i="100"/>
  <c r="B1940" i="100"/>
  <c r="C534" i="100"/>
  <c r="C1026" i="100"/>
  <c r="C619" i="100"/>
  <c r="C284" i="100"/>
  <c r="C614" i="100"/>
  <c r="C352" i="100"/>
  <c r="C640" i="100"/>
  <c r="B943" i="100"/>
  <c r="C1025" i="100"/>
  <c r="B589" i="100"/>
  <c r="B92" i="100"/>
  <c r="B812" i="100"/>
  <c r="C80" i="100"/>
  <c r="C472" i="100"/>
  <c r="C875" i="100"/>
  <c r="C596" i="100"/>
  <c r="C1611" i="100"/>
  <c r="B1196" i="100"/>
  <c r="B454" i="100"/>
  <c r="C669" i="100"/>
  <c r="B832" i="100"/>
  <c r="C558" i="100"/>
  <c r="C483" i="100"/>
  <c r="B776" i="100"/>
  <c r="C781" i="100"/>
  <c r="C389" i="100"/>
  <c r="C1894" i="100"/>
  <c r="C260" i="100"/>
  <c r="Q35" i="99" a="1"/>
  <c r="D192" i="99" a="1"/>
  <c r="B1186" i="100"/>
  <c r="B1929" i="100"/>
  <c r="B383" i="100"/>
  <c r="B778" i="100"/>
  <c r="C910" i="100"/>
  <c r="B539" i="100"/>
  <c r="C512" i="100"/>
  <c r="C96" i="100"/>
  <c r="C1670" i="100"/>
  <c r="B168" i="100"/>
  <c r="X167" i="99" a="1"/>
  <c r="B192" i="100"/>
  <c r="B610" i="100"/>
  <c r="B660" i="100"/>
  <c r="B1760" i="100"/>
  <c r="C1122" i="100"/>
  <c r="C993" i="100"/>
  <c r="C1586" i="100"/>
  <c r="B366" i="100"/>
  <c r="C545" i="100"/>
  <c r="B36" i="100"/>
  <c r="C1232" i="100"/>
  <c r="C1845" i="100"/>
  <c r="C971" i="100"/>
  <c r="C347" i="100"/>
  <c r="B15" i="100"/>
  <c r="B444" i="100"/>
  <c r="C965" i="100"/>
  <c r="C1276" i="100"/>
  <c r="C1106" i="100"/>
  <c r="C485" i="100"/>
  <c r="C1929" i="100"/>
  <c r="C1854" i="100"/>
  <c r="B1858" i="100"/>
  <c r="B748" i="100"/>
  <c r="D324" i="99" a="1"/>
  <c r="C196" i="100"/>
  <c r="C1978" i="100"/>
  <c r="BX223" i="99" a="1"/>
  <c r="C741" i="100"/>
  <c r="B254" i="100"/>
  <c r="C1174" i="100"/>
  <c r="B1915" i="100"/>
  <c r="C477" i="100"/>
  <c r="C64" i="100"/>
  <c r="I398" i="99" a="1"/>
  <c r="B89" i="100"/>
  <c r="B981" i="100"/>
  <c r="V401" i="99" a="1"/>
  <c r="B1157" i="100"/>
  <c r="C966" i="100"/>
  <c r="C848" i="100"/>
  <c r="C216" i="100"/>
  <c r="C972" i="100"/>
  <c r="C184" i="100"/>
  <c r="B374" i="100"/>
  <c r="L219" i="99" a="1"/>
  <c r="BV221" i="99" a="1"/>
  <c r="B435" i="100"/>
  <c r="B540" i="100"/>
  <c r="B1753" i="100"/>
  <c r="C1165" i="100"/>
  <c r="AE89" i="99" a="1"/>
  <c r="B1712" i="100"/>
  <c r="B548" i="100"/>
  <c r="B1072" i="100"/>
  <c r="J360" i="99" a="1"/>
  <c r="C1554" i="100"/>
  <c r="C99" i="100"/>
  <c r="C975" i="100"/>
  <c r="B1677" i="100"/>
  <c r="C1770" i="100"/>
  <c r="B1219" i="100"/>
  <c r="B1558" i="100"/>
  <c r="C979" i="100"/>
  <c r="C607" i="100"/>
  <c r="B902" i="100"/>
  <c r="C523" i="100"/>
  <c r="C271" i="100"/>
  <c r="B624" i="100"/>
  <c r="B1172" i="100"/>
  <c r="C1249" i="100"/>
  <c r="C343" i="100"/>
  <c r="B470" i="100"/>
  <c r="B1784" i="100"/>
  <c r="B777" i="100"/>
  <c r="B1132" i="100"/>
  <c r="B429" i="100"/>
  <c r="C334" i="100"/>
  <c r="B971" i="100"/>
  <c r="B1852" i="100"/>
  <c r="C1182" i="100"/>
  <c r="B736" i="100"/>
  <c r="BL221" i="99" a="1"/>
  <c r="C1560" i="100"/>
  <c r="C1966" i="100"/>
  <c r="C54" i="100"/>
  <c r="B920" i="100"/>
  <c r="C480" i="100"/>
  <c r="B1215" i="100"/>
  <c r="B1986" i="100"/>
  <c r="B771" i="100"/>
  <c r="C155" i="100"/>
  <c r="B1720" i="100"/>
  <c r="B507" i="100"/>
  <c r="CG219" i="99" a="1"/>
  <c r="B1092" i="100"/>
  <c r="C1587" i="100"/>
  <c r="C1071" i="100"/>
  <c r="B55" i="100"/>
  <c r="B867" i="100"/>
  <c r="B1710" i="100"/>
  <c r="C872" i="100"/>
  <c r="C563" i="100"/>
  <c r="C1016" i="100"/>
  <c r="B809" i="100"/>
  <c r="B1983" i="100"/>
  <c r="C1867" i="100"/>
  <c r="B1722" i="100"/>
  <c r="C1038" i="100"/>
  <c r="L377" i="99" a="1"/>
  <c r="C1975" i="100"/>
  <c r="C354" i="100"/>
  <c r="B1108" i="100"/>
  <c r="Y116" i="99" a="1"/>
  <c r="C904" i="100"/>
  <c r="C1700" i="100"/>
  <c r="C557" i="100"/>
  <c r="C109" i="100"/>
  <c r="C683" i="100"/>
  <c r="Q60" i="99" a="1"/>
  <c r="B287" i="100"/>
  <c r="B195" i="100"/>
  <c r="C727" i="100"/>
  <c r="C1715" i="100"/>
  <c r="C317" i="100"/>
  <c r="C1123" i="100"/>
  <c r="B249" i="100"/>
  <c r="C128" i="100"/>
  <c r="B641" i="100"/>
  <c r="C126" i="100"/>
  <c r="C293" i="100"/>
  <c r="B709" i="100"/>
  <c r="AD377" i="99" a="1"/>
  <c r="C1777" i="100"/>
  <c r="B343" i="100"/>
  <c r="B1970" i="100"/>
  <c r="B1094" i="100"/>
  <c r="C120" i="100"/>
  <c r="C1839" i="100"/>
  <c r="C694" i="100"/>
  <c r="B1050" i="100"/>
  <c r="B1702" i="100"/>
  <c r="AP221" i="99" a="1"/>
  <c r="B879" i="100"/>
  <c r="B1827" i="100"/>
  <c r="B180" i="100"/>
  <c r="C1844" i="100"/>
  <c r="D290" i="99" a="1"/>
  <c r="AE143" i="99" a="1"/>
  <c r="U91" i="99" a="1"/>
  <c r="B37" i="100"/>
  <c r="B313" i="100"/>
  <c r="X192" i="99"/>
  <c r="C1842" i="100"/>
  <c r="C14" i="100"/>
  <c r="C1600" i="100"/>
  <c r="B1200" i="100"/>
  <c r="B870" i="100"/>
  <c r="C1803" i="100"/>
  <c r="B975" i="100"/>
  <c r="C1253" i="100"/>
  <c r="B109" i="100"/>
  <c r="B403" i="100"/>
  <c r="C227" i="100"/>
  <c r="B1246" i="100"/>
  <c r="B847" i="100"/>
  <c r="I35" i="99" a="1"/>
  <c r="C942" i="100"/>
  <c r="B789" i="100"/>
  <c r="B361" i="100"/>
  <c r="B465" i="100"/>
  <c r="C179" i="100"/>
  <c r="B484" i="100"/>
  <c r="B1966" i="100"/>
  <c r="C1189" i="100"/>
  <c r="B226" i="100"/>
  <c r="C870" i="100"/>
  <c r="C528" i="100"/>
  <c r="B210" i="100"/>
  <c r="B806" i="100"/>
  <c r="C356" i="99" a="1"/>
  <c r="C443" i="100"/>
  <c r="B604" i="100"/>
  <c r="C1748" i="100"/>
  <c r="B1709" i="100"/>
  <c r="C107" i="100"/>
  <c r="C1006" i="100"/>
  <c r="C738" i="100"/>
  <c r="C1643" i="100"/>
  <c r="B503" i="100"/>
  <c r="C1836" i="100"/>
  <c r="C898" i="100"/>
  <c r="B476" i="100"/>
  <c r="C1041" i="100"/>
  <c r="C653" i="100"/>
  <c r="B1863" i="100"/>
  <c r="B926" i="100"/>
  <c r="C288" i="100"/>
  <c r="B1038" i="100"/>
  <c r="C658" i="100"/>
  <c r="B1822" i="100"/>
  <c r="C1065" i="100"/>
  <c r="B682" i="100"/>
  <c r="B1010" i="100"/>
  <c r="C1051" i="100"/>
  <c r="C663" i="100"/>
  <c r="C471" i="100"/>
  <c r="C650" i="100"/>
  <c r="C487" i="100"/>
  <c r="N190" i="99" a="1"/>
  <c r="B986" i="100"/>
  <c r="B683" i="100"/>
  <c r="C1146" i="100"/>
  <c r="C137" i="100"/>
  <c r="B1951" i="100"/>
  <c r="C1791" i="100"/>
  <c r="B58" i="100"/>
  <c r="H60" i="99" a="1"/>
  <c r="BP219" i="99" a="1"/>
  <c r="B193" i="100"/>
  <c r="C398" i="100"/>
  <c r="C510" i="100"/>
  <c r="N6" i="99" a="1"/>
  <c r="B327" i="100"/>
  <c r="C392" i="100"/>
  <c r="C960" i="100"/>
  <c r="B612" i="100"/>
  <c r="B110" i="100"/>
  <c r="C1237" i="100"/>
  <c r="C84" i="100"/>
  <c r="B448" i="100"/>
  <c r="B477" i="100"/>
  <c r="B835" i="100"/>
  <c r="C340" i="100"/>
  <c r="B330" i="100"/>
  <c r="C856" i="100"/>
  <c r="C655" i="100"/>
  <c r="B979" i="100"/>
  <c r="B707" i="100"/>
  <c r="C1569" i="100"/>
  <c r="C1738" i="100"/>
  <c r="C1013" i="100"/>
  <c r="C1197" i="100"/>
  <c r="B639" i="100"/>
  <c r="C536" i="100"/>
  <c r="C1599" i="100"/>
  <c r="B1155" i="100"/>
  <c r="B875" i="100"/>
  <c r="AE377" i="99" a="1"/>
  <c r="C306" i="100"/>
  <c r="B1857" i="100"/>
  <c r="C1837" i="100"/>
  <c r="B791" i="100"/>
  <c r="C576" i="100"/>
  <c r="B136" i="100"/>
  <c r="C1988" i="100"/>
  <c r="B458" i="100"/>
  <c r="B566" i="100"/>
  <c r="M35" i="99" a="1"/>
  <c r="B1698" i="100"/>
  <c r="B1746" i="100"/>
  <c r="C1601" i="100"/>
  <c r="B143" i="100"/>
  <c r="B54" i="100"/>
  <c r="B742" i="100"/>
  <c r="C318" i="100"/>
  <c r="CI219" i="99" a="1"/>
  <c r="B1931" i="100"/>
  <c r="B1178" i="100"/>
  <c r="C337" i="100"/>
  <c r="AP223" i="99" a="1"/>
  <c r="C272" i="100"/>
  <c r="C1211" i="100"/>
  <c r="B276" i="100"/>
  <c r="B793" i="100"/>
  <c r="BE224" i="99" a="1"/>
  <c r="B1854" i="100"/>
  <c r="B1704" i="100"/>
  <c r="C239" i="100"/>
  <c r="C53" i="100"/>
  <c r="C264" i="100"/>
  <c r="B103" i="100"/>
  <c r="C629" i="100"/>
  <c r="B1267" i="100"/>
  <c r="B1037" i="100"/>
  <c r="BI219" i="99" a="1"/>
  <c r="B620" i="100"/>
  <c r="U381" i="99" a="1"/>
  <c r="B907" i="100"/>
  <c r="C143" i="100"/>
  <c r="B1615" i="100"/>
  <c r="G341" i="99" a="1"/>
  <c r="B1017" i="100"/>
  <c r="BG221" i="99" a="1"/>
  <c r="C1594" i="100"/>
  <c r="C634" i="100"/>
  <c r="C1806" i="100"/>
  <c r="C366" i="100"/>
  <c r="B1122" i="100"/>
  <c r="J419" i="99" a="1"/>
  <c r="B764" i="100"/>
  <c r="B1612" i="100"/>
  <c r="C247" i="100"/>
  <c r="C1088" i="100"/>
  <c r="AI114" i="99" a="1"/>
  <c r="C880" i="100"/>
  <c r="AF60" i="99" a="1"/>
  <c r="B1055" i="100"/>
  <c r="BH219" i="99" a="1"/>
  <c r="J143" i="99" a="1"/>
  <c r="B616" i="100"/>
  <c r="B134" i="100"/>
  <c r="C560" i="100"/>
  <c r="B1935" i="100"/>
  <c r="B112" i="100"/>
  <c r="C61" i="100"/>
  <c r="D39" i="99" a="1"/>
  <c r="B1730" i="100"/>
  <c r="Y35" i="99" a="1"/>
  <c r="B677" i="100"/>
  <c r="E273" i="99" a="1"/>
  <c r="C954" i="100"/>
  <c r="B418" i="100"/>
  <c r="C1135" i="100"/>
  <c r="B1253" i="100"/>
  <c r="C1706" i="100"/>
  <c r="N165" i="99" a="1"/>
  <c r="B1773" i="100"/>
  <c r="C75" i="100"/>
  <c r="C52" i="100"/>
  <c r="C1945" i="100"/>
  <c r="B964" i="100"/>
  <c r="B245" i="100"/>
  <c r="B258" i="100"/>
  <c r="B1665" i="100"/>
  <c r="J89" i="99" a="1"/>
  <c r="C1675" i="100"/>
  <c r="C602" i="100"/>
  <c r="C1790" i="100"/>
  <c r="B1011" i="100"/>
  <c r="B174" i="100"/>
  <c r="B694" i="100"/>
  <c r="C218" i="100"/>
  <c r="B702" i="100"/>
  <c r="C529" i="100"/>
  <c r="B1816" i="100"/>
  <c r="C1851" i="100"/>
  <c r="C1047" i="100"/>
  <c r="B1136" i="100"/>
  <c r="B519" i="100"/>
  <c r="C466" i="100"/>
  <c r="B766" i="100"/>
  <c r="B1174" i="100"/>
  <c r="C1668" i="100"/>
  <c r="C411" i="100"/>
  <c r="C564" i="100"/>
  <c r="B316" i="100"/>
  <c r="C1958" i="100"/>
  <c r="B1982" i="100"/>
  <c r="C241" i="100"/>
  <c r="C1800" i="100"/>
  <c r="C4" i="100"/>
  <c r="B141" i="100"/>
  <c r="C279" i="100"/>
  <c r="C1145" i="100"/>
  <c r="B1158" i="100"/>
  <c r="C554" i="100"/>
  <c r="B638" i="100"/>
  <c r="N13" i="99" a="1"/>
  <c r="B1053" i="100"/>
  <c r="B1853" i="100"/>
  <c r="B852" i="100"/>
  <c r="C316" i="100"/>
  <c r="C531" i="100"/>
  <c r="B1030" i="100"/>
  <c r="B69" i="100"/>
  <c r="B1005" i="100"/>
  <c r="B94" i="100"/>
  <c r="C1891" i="100"/>
  <c r="B87" i="100"/>
  <c r="C1693" i="100"/>
  <c r="B911" i="100"/>
  <c r="C996" i="100"/>
  <c r="B1601" i="100"/>
  <c r="C1233" i="100"/>
  <c r="AD143" i="99" a="1"/>
  <c r="C869" i="100"/>
  <c r="C44" i="100"/>
  <c r="C374" i="100"/>
  <c r="C1772" i="100"/>
  <c r="B1175" i="100"/>
  <c r="C343" i="99" a="1"/>
  <c r="B1777" i="100"/>
  <c r="B728" i="100"/>
  <c r="C615" i="100"/>
  <c r="B332" i="100"/>
  <c r="C1808" i="100"/>
  <c r="B1223" i="100"/>
  <c r="AH60" i="99" a="1"/>
  <c r="B919" i="100"/>
  <c r="C705" i="100"/>
  <c r="BY219" i="99" a="1"/>
  <c r="L341" i="99" a="1"/>
  <c r="C1861" i="100"/>
  <c r="C616" i="100"/>
  <c r="C500" i="100"/>
  <c r="B169" i="100"/>
  <c r="C1155" i="100"/>
  <c r="B944" i="100"/>
  <c r="C675" i="100"/>
  <c r="B442" i="100"/>
  <c r="C1163" i="100"/>
  <c r="B294" i="100"/>
  <c r="D337" i="99" a="1"/>
  <c r="B819" i="100"/>
  <c r="B176" i="100"/>
  <c r="B1040" i="100"/>
  <c r="C1085" i="100"/>
  <c r="B1051" i="100"/>
  <c r="C30" i="100"/>
  <c r="C1737" i="100"/>
  <c r="O305" i="99" a="1"/>
  <c r="C787" i="100"/>
  <c r="B1218" i="100"/>
  <c r="C1717" i="100"/>
  <c r="B306" i="100"/>
  <c r="C1555" i="100"/>
  <c r="C1974" i="100"/>
  <c r="C301" i="100"/>
  <c r="C1763" i="100"/>
  <c r="B80" i="100"/>
  <c r="B379" i="100"/>
  <c r="C1137" i="100"/>
  <c r="B1771" i="100"/>
  <c r="C428" i="100"/>
  <c r="B895" i="100"/>
  <c r="C1694" i="100"/>
  <c r="C542" i="100"/>
  <c r="B543" i="100"/>
  <c r="C846" i="100"/>
  <c r="B297" i="100"/>
  <c r="C944" i="100"/>
  <c r="B1077" i="100"/>
  <c r="C1938" i="100"/>
  <c r="C325" i="100"/>
  <c r="B1701" i="100"/>
  <c r="C958" i="100"/>
  <c r="C298" i="100"/>
  <c r="B836" i="100"/>
  <c r="B217" i="100"/>
  <c r="C465" i="100"/>
  <c r="B1605" i="100"/>
  <c r="Y377" i="99" a="1"/>
  <c r="B679" i="100"/>
  <c r="V403" i="99" a="1"/>
  <c r="C337" i="99" a="1"/>
  <c r="AH143" i="99" a="1"/>
  <c r="C710" i="100"/>
  <c r="AC190" i="99" a="1"/>
  <c r="B1934" i="100"/>
  <c r="B78" i="100"/>
  <c r="B555" i="100"/>
  <c r="C475" i="100"/>
  <c r="B222" i="100"/>
  <c r="V37" i="99" a="1"/>
  <c r="C897" i="100"/>
  <c r="B862" i="100"/>
  <c r="C947" i="100"/>
  <c r="B860" i="100"/>
  <c r="B876" i="100"/>
  <c r="C985" i="100"/>
  <c r="B839" i="100"/>
  <c r="C1046" i="100"/>
  <c r="C1862" i="100"/>
  <c r="C888" i="100"/>
  <c r="B530" i="100"/>
  <c r="B70" i="100"/>
  <c r="B461" i="100"/>
  <c r="B376" i="100"/>
  <c r="B706" i="100"/>
  <c r="C568" i="100"/>
  <c r="C612" i="100"/>
  <c r="C1090" i="100"/>
  <c r="K165" i="99" a="1"/>
  <c r="B426" i="100"/>
  <c r="C1109" i="100"/>
  <c r="C153" i="100"/>
  <c r="B829" i="100"/>
  <c r="C524" i="100"/>
  <c r="B27" i="100"/>
  <c r="C818" i="100"/>
  <c r="B1057" i="100"/>
  <c r="C409" i="100"/>
  <c r="C245" i="100"/>
  <c r="C895" i="100"/>
  <c r="C803" i="100"/>
  <c r="C145" i="100"/>
  <c r="B391" i="100"/>
  <c r="AH89" i="99" a="1"/>
  <c r="B105" i="100"/>
  <c r="B311" i="100"/>
  <c r="AE114" i="99" a="1"/>
  <c r="Y398" i="99" a="1"/>
  <c r="B1959" i="100"/>
  <c r="C945" i="100"/>
  <c r="B1946" i="100"/>
  <c r="C1895" i="100"/>
  <c r="B1794" i="100"/>
  <c r="C1244" i="100"/>
  <c r="B939" i="100"/>
  <c r="C1750" i="100"/>
  <c r="B223" i="100"/>
  <c r="B775" i="100"/>
  <c r="B1209" i="100"/>
  <c r="C1277" i="100"/>
  <c r="B1160" i="100"/>
  <c r="B1052" i="100"/>
  <c r="C1672" i="100"/>
  <c r="C1774" i="100"/>
  <c r="B1604" i="100"/>
  <c r="C1685" i="100"/>
  <c r="B1193" i="100"/>
  <c r="B1732" i="100"/>
  <c r="B480" i="100"/>
  <c r="Q165" i="99" a="1"/>
  <c r="C1011" i="100"/>
  <c r="B1228" i="100"/>
  <c r="B239" i="100"/>
  <c r="L305" i="99" a="1"/>
  <c r="C240" i="100"/>
  <c r="B516" i="100"/>
  <c r="C1126" i="100"/>
  <c r="B1166" i="100"/>
  <c r="AU221" i="99" a="1"/>
  <c r="C551" i="100"/>
  <c r="E37" i="99" a="1"/>
  <c r="B1255" i="100"/>
  <c r="C315" i="100"/>
  <c r="B557" i="100"/>
  <c r="C1642" i="100"/>
  <c r="C541" i="100"/>
  <c r="C708" i="100"/>
  <c r="B949" i="100"/>
  <c r="C692" i="100"/>
  <c r="C647" i="100"/>
  <c r="C1260" i="100"/>
  <c r="C1788" i="100"/>
  <c r="B395" i="100"/>
  <c r="C579" i="100"/>
  <c r="C1205" i="100"/>
  <c r="B471" i="100"/>
  <c r="C370" i="100"/>
  <c r="B1056" i="100"/>
  <c r="P143" i="99" a="1"/>
  <c r="B1831" i="100"/>
  <c r="C1150" i="100"/>
  <c r="C419" i="100"/>
  <c r="B858" i="100"/>
  <c r="C1830" i="100"/>
  <c r="B758" i="100"/>
  <c r="B346" i="100"/>
  <c r="B1073" i="100"/>
  <c r="C135" i="100"/>
  <c r="B873" i="100"/>
  <c r="C556" i="100"/>
  <c r="B1586" i="100"/>
  <c r="B1876" i="100"/>
  <c r="B1769" i="100"/>
  <c r="B953" i="100"/>
  <c r="D273" i="99" a="1"/>
  <c r="B84" i="100"/>
  <c r="B615" i="100"/>
  <c r="B1266" i="100"/>
  <c r="B173" i="100"/>
  <c r="B100" i="100"/>
  <c r="B220" i="100"/>
  <c r="C82" i="100"/>
  <c r="B799" i="100"/>
  <c r="BX224" i="99" a="1"/>
  <c r="C1251" i="100"/>
  <c r="C108" i="100"/>
  <c r="B1958" i="100"/>
  <c r="C1817" i="100"/>
  <c r="B747" i="100"/>
  <c r="H143" i="99" a="1"/>
  <c r="B1789" i="100"/>
  <c r="C481" i="100"/>
  <c r="B152" i="100"/>
  <c r="C1882" i="100"/>
  <c r="B1180" i="100"/>
  <c r="B236" i="100"/>
  <c r="C716" i="100"/>
  <c r="B204" i="100"/>
  <c r="C604" i="100"/>
  <c r="C378" i="100"/>
  <c r="C837" i="100"/>
  <c r="K89" i="99" a="1"/>
  <c r="B1980" i="100"/>
  <c r="C467" i="100"/>
  <c r="B296" i="100"/>
  <c r="B1817" i="100"/>
  <c r="AD114" i="99" a="1"/>
  <c r="C926" i="100"/>
  <c r="C1728" i="100"/>
  <c r="B1786" i="100"/>
  <c r="C1217" i="100"/>
  <c r="C420" i="100"/>
  <c r="C1245" i="100"/>
  <c r="B1009" i="100"/>
  <c r="B434" i="100"/>
  <c r="B8" i="100"/>
  <c r="C873" i="100"/>
  <c r="AD13" i="99" a="1"/>
  <c r="C1677" i="100"/>
  <c r="B1140" i="100"/>
  <c r="B687" i="100"/>
  <c r="AD219" i="99" a="1"/>
  <c r="B396" i="100"/>
  <c r="B1987" i="100"/>
  <c r="B1823" i="100"/>
  <c r="B1956" i="100"/>
  <c r="C509" i="100"/>
  <c r="C474" i="100"/>
  <c r="M322" i="99" a="1"/>
  <c r="C861" i="100"/>
  <c r="C594" i="100"/>
  <c r="B841" i="100"/>
  <c r="C521" i="100"/>
  <c r="B118" i="100"/>
  <c r="C1563" i="100"/>
  <c r="C878" i="100"/>
  <c r="B963" i="100"/>
  <c r="C1713" i="100"/>
  <c r="C1716" i="100"/>
  <c r="B1271" i="100"/>
  <c r="B1673" i="100"/>
  <c r="C508" i="100"/>
  <c r="AG13" i="99" a="1"/>
  <c r="B636" i="100"/>
  <c r="C1193" i="100"/>
  <c r="C664" i="100"/>
  <c r="B1001" i="100"/>
  <c r="B710" i="100"/>
  <c r="M398" i="99" a="1"/>
  <c r="B1770" i="100"/>
  <c r="B1159" i="100"/>
  <c r="B603" i="100"/>
  <c r="C23" i="100"/>
  <c r="E337" i="99" a="1"/>
  <c r="B1754" i="100"/>
  <c r="B727" i="100"/>
  <c r="C35" i="100"/>
  <c r="B1269" i="100"/>
  <c r="C32" i="100"/>
  <c r="C589" i="100"/>
  <c r="M165" i="99" a="1"/>
  <c r="B371" i="100"/>
  <c r="C850" i="100"/>
  <c r="BV224" i="99" a="1"/>
  <c r="C905" i="100"/>
  <c r="AB60" i="99" a="1"/>
  <c r="C884" i="100"/>
  <c r="C676" i="100"/>
  <c r="B950" i="100"/>
  <c r="B1973" i="100"/>
  <c r="C768" i="100"/>
  <c r="G89" i="99" a="1"/>
  <c r="B1679" i="100"/>
  <c r="B857" i="100"/>
  <c r="C21" i="100"/>
  <c r="X224" i="99" a="1"/>
  <c r="B1737" i="100"/>
  <c r="B1759" i="100"/>
  <c r="H271" i="99" a="1"/>
  <c r="W167" i="99" a="1"/>
  <c r="B479" i="100"/>
  <c r="C902" i="100"/>
  <c r="B293" i="100"/>
  <c r="B1162" i="100"/>
  <c r="C1125" i="100"/>
  <c r="C346" i="100"/>
  <c r="V383" i="99" a="1"/>
  <c r="B1198" i="100"/>
  <c r="C1092" i="100"/>
  <c r="C825" i="100"/>
  <c r="B510" i="100"/>
  <c r="B697" i="100"/>
  <c r="C1786" i="100"/>
  <c r="AB360" i="99" a="1"/>
  <c r="B592" i="100"/>
  <c r="B1095" i="100"/>
  <c r="B969" i="100"/>
  <c r="C1815" i="100"/>
  <c r="AT219" i="99" a="1"/>
  <c r="C580" i="100"/>
  <c r="C1275" i="100"/>
  <c r="B868" i="100"/>
  <c r="C1585" i="100"/>
  <c r="B1717" i="100"/>
  <c r="B206" i="100"/>
  <c r="B546" i="100"/>
  <c r="B1886" i="100"/>
  <c r="B194" i="100"/>
  <c r="B992" i="100"/>
  <c r="C1756" i="100"/>
  <c r="C265" i="100"/>
  <c r="AG89" i="99" a="1"/>
  <c r="C867" i="100"/>
  <c r="B224" i="100"/>
  <c r="B933" i="100"/>
  <c r="B1016" i="100"/>
  <c r="B1672" i="100"/>
  <c r="B769" i="100"/>
  <c r="L398" i="99" a="1"/>
  <c r="B495" i="100"/>
  <c r="B623" i="100"/>
  <c r="O219" i="99" a="1"/>
  <c r="C457" i="100"/>
  <c r="C1175" i="100"/>
  <c r="C486" i="100"/>
  <c r="B1685" i="100"/>
  <c r="W398" i="99" a="1"/>
  <c r="C992" i="100"/>
  <c r="B321" i="100"/>
  <c r="B1751" i="100"/>
  <c r="C728" i="100"/>
  <c r="C295" i="100"/>
  <c r="B1048" i="100"/>
  <c r="C735" i="100"/>
  <c r="AA398" i="99" a="1"/>
  <c r="C1684" i="100"/>
  <c r="M13" i="99" a="1"/>
  <c r="B120" i="100"/>
  <c r="B647" i="100"/>
  <c r="B1901" i="100"/>
  <c r="B122" i="100"/>
  <c r="C745" i="100"/>
  <c r="C1697" i="100"/>
  <c r="B562" i="100"/>
  <c r="C395" i="100"/>
  <c r="AA360" i="99" a="1"/>
  <c r="B196" i="100"/>
  <c r="C1810" i="100"/>
  <c r="B455" i="100"/>
  <c r="C1925" i="100"/>
  <c r="F398" i="99" a="1"/>
  <c r="B820" i="100"/>
  <c r="B1194" i="100"/>
  <c r="B751" i="100"/>
  <c r="B767" i="100"/>
  <c r="C645" i="100"/>
  <c r="B1251" i="100"/>
  <c r="B1208" i="100"/>
  <c r="B1599" i="100"/>
  <c r="B1561" i="100"/>
  <c r="B250" i="100"/>
  <c r="B1688" i="100"/>
  <c r="B1841" i="100"/>
  <c r="B1768" i="100"/>
  <c r="C11" i="100"/>
  <c r="C209" i="100"/>
  <c r="E324" i="99" a="1"/>
  <c r="C983" i="100"/>
  <c r="C976" i="100"/>
  <c r="B1614" i="100"/>
  <c r="C923" i="100"/>
  <c r="C319" i="100"/>
  <c r="O13" i="99" a="1"/>
  <c r="C1119" i="100"/>
  <c r="C1024" i="100"/>
  <c r="C478" i="100"/>
  <c r="C1143" i="100"/>
  <c r="V167" i="99" a="1"/>
  <c r="BL219" i="99" a="1"/>
  <c r="B900" i="100"/>
  <c r="C714" i="100"/>
  <c r="B1063" i="100"/>
  <c r="C1838" i="100"/>
  <c r="B1795" i="100"/>
  <c r="G62" i="99"/>
  <c r="B5" i="100"/>
  <c r="B359" i="100"/>
  <c r="C754" i="100"/>
  <c r="B1008" i="100"/>
  <c r="G244" i="99" a="1"/>
  <c r="C1169" i="100"/>
  <c r="B124" i="100"/>
  <c r="C1906" i="100"/>
  <c r="C1747" i="100"/>
  <c r="B547" i="100"/>
  <c r="H337" i="99" a="1"/>
  <c r="B773" i="100"/>
  <c r="B344" i="100"/>
  <c r="B1256" i="100"/>
  <c r="C1701" i="100"/>
  <c r="B705" i="100"/>
  <c r="B275" i="100"/>
  <c r="AB219" i="99" a="1"/>
  <c r="C115" i="100"/>
  <c r="C401" i="100"/>
  <c r="C327" i="100"/>
  <c r="B21" i="100"/>
  <c r="B1022" i="100"/>
  <c r="C1926" i="100"/>
  <c r="C451" i="100"/>
  <c r="B1984" i="100"/>
  <c r="B560" i="100"/>
  <c r="B1912" i="100"/>
  <c r="H398" i="99" a="1"/>
  <c r="X223" i="99" a="1"/>
  <c r="C1875" i="100"/>
  <c r="C1903" i="100"/>
  <c r="B713" i="100"/>
  <c r="B1185" i="100"/>
  <c r="C1721" i="100"/>
  <c r="B980" i="100"/>
  <c r="B1148" i="100"/>
  <c r="B61" i="100"/>
  <c r="C805" i="100"/>
  <c r="C287" i="100"/>
  <c r="D37" i="99" a="1"/>
  <c r="C1835" i="100"/>
  <c r="C1696" i="100"/>
  <c r="B411" i="100"/>
  <c r="B1181" i="100"/>
  <c r="J219" i="99" a="1"/>
  <c r="B1846" i="100"/>
  <c r="C1266" i="100"/>
  <c r="B1839" i="100"/>
  <c r="X93" i="99" a="1"/>
  <c r="B522" i="100"/>
  <c r="Y271" i="99" a="1"/>
  <c r="C1564" i="100"/>
  <c r="C199" i="100"/>
  <c r="B427" i="100"/>
  <c r="B1205" i="100"/>
  <c r="B825" i="100"/>
  <c r="B521" i="100"/>
  <c r="B716" i="100"/>
  <c r="N114" i="99" a="1"/>
  <c r="C157" i="100"/>
  <c r="B1727" i="100"/>
  <c r="C1965" i="100"/>
  <c r="C86" i="100"/>
  <c r="C832" i="100"/>
  <c r="C8" i="100"/>
  <c r="C36" i="100"/>
  <c r="B1667" i="100"/>
  <c r="C441" i="100"/>
  <c r="Y89" i="99" a="1"/>
  <c r="C788" i="100"/>
  <c r="B1955" i="100"/>
  <c r="C1784" i="100"/>
  <c r="C588" i="100"/>
  <c r="C1864" i="100"/>
  <c r="C1828" i="100"/>
  <c r="W62" i="99" a="1"/>
  <c r="B1723" i="100"/>
  <c r="B304" i="100"/>
  <c r="V379" i="99" a="1"/>
  <c r="B1149" i="100"/>
  <c r="B691" i="100"/>
  <c r="B405" i="100"/>
  <c r="C1789" i="100"/>
  <c r="B1065" i="100"/>
  <c r="C382" i="99" a="1"/>
  <c r="O89" i="99" a="1"/>
  <c r="B575" i="100"/>
  <c r="B218" i="100"/>
  <c r="B1032" i="100"/>
  <c r="C338" i="100"/>
  <c r="B671" i="100"/>
  <c r="Y62" i="99"/>
  <c r="C530" i="100"/>
  <c r="B243" i="100"/>
  <c r="C7" i="100"/>
  <c r="AF190" i="99" a="1"/>
  <c r="B1904" i="100"/>
  <c r="B700" i="100"/>
  <c r="B481" i="100"/>
  <c r="B951" i="100"/>
  <c r="B1153" i="100"/>
  <c r="B552" i="100"/>
  <c r="C248" i="100"/>
  <c r="C1967" i="100"/>
  <c r="B965" i="100"/>
  <c r="C723" i="100"/>
  <c r="C168" i="100"/>
  <c r="D383" i="99" a="1"/>
  <c r="C1043" i="100"/>
  <c r="N5" i="99" a="1"/>
  <c r="B1031" i="100"/>
  <c r="C644" i="100"/>
  <c r="B1880" i="100"/>
  <c r="B201" i="100"/>
  <c r="B1874" i="100"/>
  <c r="B865" i="100"/>
  <c r="C1048" i="100"/>
  <c r="B1039" i="100"/>
  <c r="C27" i="100"/>
  <c r="C1183" i="100"/>
  <c r="C498" i="100"/>
  <c r="B1705" i="100"/>
  <c r="B284" i="100"/>
  <c r="B1151" i="100"/>
  <c r="E248" i="99" a="1"/>
  <c r="BZ221" i="99" a="1"/>
  <c r="AA377" i="99" a="1"/>
  <c r="C426" i="100"/>
  <c r="B406" i="100"/>
  <c r="B12" i="100"/>
  <c r="C78" i="100"/>
  <c r="B1145" i="100"/>
  <c r="B913" i="100"/>
  <c r="C1079" i="100"/>
  <c r="D116" i="99" a="1"/>
  <c r="C584" i="100"/>
  <c r="B34" i="100"/>
  <c r="C302" i="100"/>
  <c r="B591" i="100"/>
  <c r="C91" i="100"/>
  <c r="AN223" i="99" a="1"/>
  <c r="C610" i="100"/>
  <c r="C1888" i="100"/>
  <c r="Y143" i="99" a="1"/>
  <c r="C1040" i="100"/>
  <c r="B967" i="100"/>
  <c r="B1856" i="100"/>
  <c r="C987" i="100"/>
  <c r="B125" i="100"/>
  <c r="B577" i="100"/>
  <c r="B506" i="100"/>
  <c r="C1198" i="100"/>
  <c r="C889" i="100"/>
  <c r="C1886" i="100"/>
  <c r="B319" i="100"/>
  <c r="AH190" i="99" a="1"/>
  <c r="B1118" i="100"/>
  <c r="C224" i="100"/>
  <c r="B692" i="100"/>
  <c r="B355" i="100"/>
  <c r="BG223" i="99" a="1"/>
  <c r="C417" i="100"/>
  <c r="D62" i="99" a="1"/>
  <c r="B1110" i="100"/>
  <c r="B252" i="100"/>
  <c r="O35" i="99" a="1"/>
  <c r="C974" i="100"/>
  <c r="B618" i="100"/>
  <c r="B1060" i="100"/>
  <c r="C226" i="100"/>
  <c r="C253" i="100"/>
  <c r="B1562" i="100"/>
  <c r="C989" i="100"/>
  <c r="B667" i="100"/>
  <c r="C131" i="100"/>
  <c r="B763" i="100"/>
  <c r="B128" i="100"/>
  <c r="W380" i="99" a="1"/>
  <c r="B735" i="100"/>
  <c r="B1225" i="100"/>
  <c r="AH219" i="99" a="1"/>
  <c r="C193" i="100"/>
  <c r="C1005" i="100"/>
  <c r="C1136" i="100"/>
  <c r="Y60" i="99" a="1"/>
  <c r="P305" i="99" a="1"/>
  <c r="B941" i="100"/>
  <c r="C948" i="100"/>
  <c r="B927" i="100"/>
  <c r="B1964" i="100"/>
  <c r="C45" i="100"/>
  <c r="C449" i="100"/>
  <c r="B1192" i="100"/>
  <c r="C1943" i="100"/>
  <c r="B494" i="100"/>
  <c r="B64" i="100"/>
  <c r="B1792" i="100"/>
  <c r="AG60" i="99" a="1"/>
  <c r="C1755" i="100"/>
  <c r="C282" i="100"/>
  <c r="I60" i="99" a="1"/>
  <c r="B1164" i="100"/>
  <c r="C1020" i="100"/>
  <c r="C278" i="100"/>
  <c r="B1895" i="100"/>
  <c r="C800" i="100"/>
  <c r="I419" i="99" a="1"/>
  <c r="B957" i="100"/>
  <c r="B1821" i="100"/>
  <c r="B373" i="100"/>
  <c r="B821" i="100"/>
  <c r="C187" i="100"/>
  <c r="B815" i="100"/>
  <c r="C459" i="100"/>
  <c r="K360" i="99" a="1"/>
  <c r="C1195" i="100"/>
  <c r="C1954" i="100"/>
  <c r="B848" i="100"/>
  <c r="B35" i="100"/>
  <c r="B1279" i="100"/>
  <c r="C50" i="100"/>
  <c r="B602" i="100"/>
  <c r="C633" i="100"/>
  <c r="C1809" i="100"/>
  <c r="B144" i="100"/>
  <c r="B142" i="100"/>
  <c r="B1806" i="100"/>
  <c r="C175" i="100"/>
  <c r="B72" i="100"/>
  <c r="B399" i="100"/>
  <c r="C1725" i="100"/>
  <c r="C174" i="100"/>
  <c r="B1683" i="100"/>
  <c r="B485" i="100"/>
  <c r="B1729" i="100"/>
  <c r="C1095" i="100"/>
  <c r="C548" i="100"/>
  <c r="C415" i="100"/>
  <c r="AC219" i="99" a="1"/>
  <c r="B673" i="100"/>
  <c r="C1905" i="100"/>
  <c r="C543" i="100"/>
  <c r="B1240" i="100"/>
  <c r="C83" i="100"/>
  <c r="B1930" i="100"/>
  <c r="K219" i="99" a="1"/>
  <c r="H305" i="99" a="1"/>
  <c r="B1873" i="100"/>
  <c r="B1069" i="100"/>
  <c r="D221" i="99" a="1"/>
  <c r="B498" i="100"/>
  <c r="B1666" i="100"/>
  <c r="C698" i="100"/>
  <c r="B117" i="100"/>
  <c r="B240" i="100"/>
  <c r="C369" i="100"/>
  <c r="B1776" i="100"/>
  <c r="G419" i="99" a="1"/>
  <c r="B1680" i="100"/>
  <c r="C639" i="100"/>
  <c r="C169" i="100"/>
  <c r="C1834" i="100"/>
  <c r="B259" i="100"/>
  <c r="C1792" i="100"/>
  <c r="B25" i="100"/>
  <c r="Z190" i="99" a="1"/>
  <c r="E221" i="99" a="1"/>
  <c r="C699" i="100"/>
  <c r="B795" i="100"/>
  <c r="C668" i="100"/>
  <c r="C1101" i="100"/>
  <c r="B1567" i="100"/>
  <c r="C1931" i="100"/>
  <c r="B960" i="100"/>
  <c r="AD60" i="99" a="1"/>
  <c r="C877" i="100"/>
  <c r="C1766" i="100"/>
  <c r="B740" i="100"/>
  <c r="C1194" i="100"/>
  <c r="B1755" i="100"/>
  <c r="C1104" i="100"/>
  <c r="C89" i="100"/>
  <c r="C254" i="100"/>
  <c r="B884" i="100"/>
  <c r="C335" i="100"/>
  <c r="C1805" i="100"/>
  <c r="B1889" i="100"/>
  <c r="B1796" i="100"/>
  <c r="B1809" i="100"/>
  <c r="B1833" i="100"/>
  <c r="C578" i="100"/>
  <c r="G13" i="99" a="1"/>
  <c r="Y114" i="99" a="1"/>
  <c r="B755" i="100"/>
  <c r="F169" i="99" a="1"/>
  <c r="C1172" i="100"/>
  <c r="B1678" i="100"/>
  <c r="B1706" i="100"/>
  <c r="J322" i="99" a="1"/>
  <c r="C765" i="100"/>
  <c r="B972" i="100"/>
  <c r="C376" i="100"/>
  <c r="B1689" i="100"/>
  <c r="C19" i="100"/>
  <c r="B1939" i="100"/>
  <c r="B360" i="100"/>
  <c r="C834" i="100"/>
  <c r="C345" i="100"/>
  <c r="B1112" i="100"/>
  <c r="P13" i="99" a="1"/>
  <c r="BG224" i="99" a="1"/>
  <c r="AC221" i="99" a="1"/>
  <c r="C936" i="100"/>
  <c r="B1241" i="100"/>
  <c r="C182" i="100"/>
  <c r="B1772" i="100"/>
  <c r="V362" i="99" a="1"/>
  <c r="C1953" i="100"/>
  <c r="B487" i="100"/>
  <c r="B1027" i="100"/>
  <c r="B754" i="100"/>
  <c r="C491" i="100"/>
  <c r="B1563" i="100"/>
  <c r="C18" i="100"/>
  <c r="C1131" i="100"/>
  <c r="B1560" i="100"/>
  <c r="C1068" i="100"/>
  <c r="B816" i="100"/>
  <c r="B499" i="100"/>
  <c r="B656" i="100"/>
  <c r="B1156" i="100"/>
  <c r="C156" i="100"/>
  <c r="B45" i="100"/>
  <c r="B961" i="100"/>
  <c r="C776" i="100"/>
  <c r="C110" i="100"/>
  <c r="B1588" i="100"/>
  <c r="J377" i="99" a="1"/>
  <c r="C367" i="100"/>
  <c r="L143" i="99" a="1"/>
  <c r="B415" i="100"/>
  <c r="B115" i="100"/>
  <c r="B807" i="100"/>
  <c r="B1748" i="100"/>
  <c r="C201" i="100"/>
  <c r="K322" i="99" a="1"/>
  <c r="C197" i="100"/>
  <c r="B1810" i="100"/>
  <c r="B430" i="100"/>
  <c r="C569" i="100"/>
  <c r="B447" i="100"/>
  <c r="B1023" i="100"/>
  <c r="B51" i="100"/>
  <c r="C1078" i="100"/>
  <c r="C1190" i="100"/>
  <c r="C56" i="100"/>
  <c r="B212" i="100"/>
  <c r="B888" i="100"/>
  <c r="B1036" i="100"/>
  <c r="K377" i="99" a="1"/>
  <c r="B1248" i="100"/>
  <c r="B402" i="100"/>
  <c r="B1721" i="100"/>
  <c r="C303" i="100"/>
  <c r="B1584" i="100"/>
  <c r="B1124" i="100"/>
  <c r="C1732" i="100"/>
  <c r="C77" i="100"/>
  <c r="C434" i="100"/>
  <c r="B86" i="100"/>
  <c r="B1877" i="100"/>
  <c r="B53" i="100"/>
  <c r="B511" i="100"/>
  <c r="C740" i="100"/>
  <c r="C1723" i="100"/>
  <c r="C547" i="100"/>
  <c r="C525" i="100"/>
  <c r="C1734" i="100"/>
  <c r="B1213" i="100"/>
  <c r="C1679" i="100"/>
  <c r="B246" i="100"/>
  <c r="C544" i="100"/>
  <c r="B859" i="100"/>
  <c r="C586" i="100"/>
  <c r="K288" i="99" a="1"/>
  <c r="B1013" i="100"/>
  <c r="C1597" i="100"/>
  <c r="B654" i="100"/>
  <c r="AA190" i="99" a="1"/>
  <c r="B880" i="100"/>
  <c r="C351" i="100"/>
  <c r="B10" i="100"/>
  <c r="B545" i="100"/>
  <c r="C1216" i="100"/>
  <c r="C1060" i="100"/>
  <c r="B696" i="100"/>
  <c r="K271" i="99" a="1"/>
  <c r="B947" i="100"/>
  <c r="B757" i="100"/>
  <c r="B1811" i="100"/>
  <c r="C1939" i="100"/>
  <c r="C37" i="100"/>
  <c r="B720" i="100"/>
  <c r="B850" i="100"/>
  <c r="B386" i="100"/>
  <c r="C1017" i="100"/>
  <c r="B46" i="100"/>
  <c r="C58" i="100"/>
  <c r="C830" i="100"/>
  <c r="V381" i="99" a="1"/>
  <c r="C140" i="100"/>
  <c r="B930" i="100"/>
  <c r="C430" i="100"/>
  <c r="B528" i="100"/>
  <c r="C813" i="100"/>
  <c r="B889" i="100"/>
  <c r="B1924" i="100"/>
  <c r="B1119" i="100"/>
  <c r="C919" i="100"/>
  <c r="B266" i="100"/>
  <c r="C463" i="100"/>
  <c r="C456" i="100"/>
  <c r="C1602" i="100"/>
  <c r="B1820" i="100"/>
  <c r="B1782" i="100"/>
  <c r="D402" i="99" a="1"/>
  <c r="B505" i="100"/>
  <c r="B596" i="100"/>
  <c r="BV223" i="99" a="1"/>
  <c r="C85" i="100"/>
  <c r="B1669" i="100"/>
  <c r="C1767" i="100"/>
  <c r="B882" i="100"/>
  <c r="C1152" i="100"/>
  <c r="C1093" i="100"/>
  <c r="W383" i="99" a="1"/>
  <c r="B375" i="100"/>
  <c r="B631" i="100"/>
  <c r="B1859" i="100"/>
  <c r="B1855" i="100"/>
  <c r="M143" i="99" a="1"/>
  <c r="Z165" i="99" a="1"/>
  <c r="E383" i="99" a="1"/>
  <c r="C1111" i="100"/>
  <c r="C1822" i="100"/>
  <c r="C1179" i="100"/>
  <c r="B3" i="100"/>
  <c r="C1956" i="100"/>
  <c r="C1052" i="100"/>
  <c r="C934" i="100"/>
  <c r="L360" i="99" a="1"/>
  <c r="B822" i="100"/>
  <c r="B976" i="100"/>
  <c r="C67" i="100"/>
  <c r="B570" i="100"/>
  <c r="B182" i="100"/>
  <c r="B1106" i="100"/>
  <c r="E246" i="99" a="1"/>
  <c r="C1227" i="100"/>
  <c r="C1056" i="100"/>
  <c r="C276" i="100"/>
  <c r="B1890" i="100"/>
  <c r="B227" i="100"/>
  <c r="C198" i="100"/>
  <c r="C1829" i="100"/>
  <c r="B318" i="100"/>
  <c r="L35" i="99" a="1"/>
  <c r="C1087" i="100"/>
  <c r="C1860" i="100"/>
  <c r="F167" i="99" a="1"/>
  <c r="C1167" i="100"/>
  <c r="B138" i="100"/>
  <c r="C132" i="100"/>
  <c r="C1001" i="100"/>
  <c r="C1610" i="100"/>
  <c r="C1162" i="100"/>
  <c r="C121" i="100"/>
  <c r="C257" i="100"/>
  <c r="AE360" i="99" a="1"/>
  <c r="C63" i="100"/>
  <c r="C667" i="100"/>
  <c r="B1079" i="100"/>
  <c r="B1758" i="100"/>
  <c r="C1712" i="100"/>
  <c r="AR221" i="99" a="1"/>
  <c r="C956" i="100"/>
  <c r="B984" i="100"/>
  <c r="C1206" i="100"/>
  <c r="B1129" i="100"/>
  <c r="C608" i="100"/>
  <c r="B1002" i="100"/>
  <c r="J60" i="99" a="1"/>
  <c r="L165" i="99" a="1"/>
  <c r="C1099" i="100"/>
  <c r="B1259" i="100"/>
  <c r="C859" i="100"/>
  <c r="C817" i="100"/>
  <c r="C1705" i="100"/>
  <c r="C1083" i="100"/>
  <c r="B808" i="100"/>
  <c r="B1933" i="100"/>
  <c r="C432" i="100"/>
  <c r="P7" i="99" a="1"/>
  <c r="C1018" i="100"/>
  <c r="C1124" i="100"/>
  <c r="C1127" i="100"/>
  <c r="B108" i="100"/>
  <c r="B150" i="100"/>
  <c r="M190" i="99" a="1"/>
  <c r="B1230" i="100"/>
  <c r="B1047" i="100"/>
  <c r="B1838" i="100"/>
  <c r="B579" i="100"/>
  <c r="F419" i="99" a="1"/>
  <c r="W221" i="99" a="1"/>
  <c r="C1229" i="100"/>
  <c r="E380" i="99" a="1"/>
  <c r="U382" i="99" a="1"/>
  <c r="B1182" i="100"/>
  <c r="C917" i="100"/>
  <c r="C887" i="100"/>
  <c r="B653" i="100"/>
  <c r="B114" i="100"/>
  <c r="Z221" i="99" a="1"/>
  <c r="C1971" i="100"/>
  <c r="B1738" i="100"/>
  <c r="C1267" i="100"/>
  <c r="C1557" i="100"/>
  <c r="Z114" i="99" a="1"/>
  <c r="B1555" i="100"/>
  <c r="B1113" i="100"/>
  <c r="C228" i="100"/>
  <c r="B140" i="100"/>
  <c r="B1003" i="100"/>
  <c r="BF224" i="99" a="1"/>
  <c r="C1014" i="100"/>
  <c r="C237" i="100"/>
  <c r="B1137" i="100"/>
  <c r="B792" i="100"/>
  <c r="C638" i="100"/>
  <c r="B1144" i="100"/>
  <c r="B1075" i="100"/>
  <c r="C748" i="100"/>
  <c r="C291" i="100"/>
  <c r="J114" i="99" a="1"/>
  <c r="C755" i="100"/>
  <c r="C1820" i="100"/>
  <c r="C822" i="100"/>
  <c r="B664" i="100"/>
  <c r="B1766" i="100"/>
  <c r="B445" i="100"/>
  <c r="W362" i="99" a="1"/>
  <c r="C1690" i="100"/>
  <c r="B1788" i="100"/>
  <c r="C462" i="100"/>
  <c r="B216" i="100"/>
  <c r="B693" i="100"/>
  <c r="C1282" i="100"/>
  <c r="B1606" i="100"/>
  <c r="B270" i="100"/>
  <c r="C304" i="100"/>
  <c r="X169" i="99" a="1"/>
  <c r="C1730" i="100"/>
  <c r="B1910" i="100"/>
  <c r="C312" i="100"/>
  <c r="C937" i="100"/>
  <c r="B863" i="100"/>
  <c r="C1030" i="100"/>
  <c r="C1764" i="100"/>
  <c r="B326" i="100"/>
  <c r="B551" i="100"/>
  <c r="B723" i="100"/>
  <c r="C233" i="100"/>
  <c r="B731" i="100"/>
  <c r="C362" i="100"/>
  <c r="B1740" i="100"/>
  <c r="B572" i="100"/>
  <c r="B433" i="100"/>
  <c r="C62" i="100"/>
  <c r="B1779" i="100"/>
  <c r="B1765" i="100"/>
  <c r="C1067" i="100"/>
  <c r="C1153" i="100"/>
  <c r="B893" i="100"/>
  <c r="B1045" i="100"/>
  <c r="C6" i="100"/>
  <c r="B508" i="100"/>
  <c r="P219" i="99" a="1"/>
  <c r="B1781" i="100"/>
  <c r="C973" i="100"/>
  <c r="C1796" i="100"/>
  <c r="C795" i="100"/>
  <c r="B348" i="100"/>
  <c r="C1258" i="100"/>
  <c r="B1596" i="100"/>
  <c r="I143" i="99" a="1"/>
  <c r="Z89" i="99" a="1"/>
  <c r="B973" i="100"/>
  <c r="C585" i="100"/>
  <c r="AA60" i="99" a="1"/>
  <c r="C380" i="99" a="1"/>
  <c r="V93" i="99" a="1"/>
  <c r="C1765" i="100"/>
  <c r="C854" i="100"/>
  <c r="B466" i="100"/>
  <c r="B1243" i="100"/>
  <c r="W224" i="99" a="1"/>
  <c r="B97" i="100"/>
  <c r="E379" i="99" a="1"/>
  <c r="B1046" i="100"/>
  <c r="AE219" i="99" a="1"/>
  <c r="B849" i="100"/>
  <c r="B619" i="100"/>
  <c r="C1814" i="100"/>
  <c r="B1257" i="100"/>
  <c r="B416" i="100"/>
  <c r="C1729" i="100"/>
  <c r="B1913" i="100"/>
  <c r="C1726" i="100"/>
  <c r="N9" i="99" a="1"/>
  <c r="B282" i="100"/>
  <c r="AC60" i="99" a="1"/>
  <c r="B1281" i="100"/>
  <c r="C690" i="100"/>
  <c r="C546" i="100"/>
  <c r="B708" i="100"/>
  <c r="AH114" i="99" a="1"/>
  <c r="B788" i="100"/>
  <c r="C1110" i="100"/>
  <c r="B65" i="100"/>
  <c r="B1703" i="100"/>
  <c r="W37" i="99" a="1"/>
  <c r="AA143" i="99" a="1"/>
  <c r="C691" i="100"/>
  <c r="B621" i="100"/>
  <c r="B1927" i="100"/>
  <c r="C236" i="100"/>
  <c r="C307" i="100"/>
  <c r="C447" i="100"/>
  <c r="C1823" i="100"/>
  <c r="B874" i="100"/>
  <c r="B1739" i="100"/>
  <c r="B1674" i="100"/>
  <c r="B307" i="100"/>
  <c r="B1078" i="100"/>
  <c r="B76" i="100"/>
  <c r="V62" i="99" a="1"/>
  <c r="B1742" i="100"/>
  <c r="C595" i="100"/>
  <c r="C1156" i="100"/>
  <c r="C1604" i="100"/>
  <c r="B443" i="100"/>
  <c r="C141" i="100"/>
  <c r="B1957" i="100"/>
  <c r="C1683" i="100"/>
  <c r="C74" i="100"/>
  <c r="B271" i="100"/>
  <c r="C1758" i="100"/>
  <c r="B1195" i="100"/>
  <c r="E62" i="99" a="1"/>
  <c r="I219" i="99" a="1"/>
  <c r="B1041" i="100"/>
  <c r="C881" i="100"/>
  <c r="C1129" i="100"/>
  <c r="C1793" i="100"/>
  <c r="B1700" i="100"/>
  <c r="B1725" i="100"/>
  <c r="C1042" i="100"/>
  <c r="C1681" i="100"/>
  <c r="C1799" i="100"/>
  <c r="AQ219" i="99" a="1"/>
  <c r="B1967" i="100"/>
  <c r="B578" i="100"/>
  <c r="B599" i="100"/>
  <c r="G305" i="99" a="1"/>
  <c r="B1082" i="100"/>
  <c r="B1018" i="100"/>
  <c r="C1134" i="100"/>
  <c r="B409" i="100"/>
  <c r="C1063" i="100"/>
  <c r="B1813" i="100"/>
  <c r="B167" i="100"/>
  <c r="K398" i="99" a="1"/>
  <c r="K221" i="99" a="1"/>
  <c r="C734" i="100"/>
  <c r="C1204" i="100"/>
  <c r="C1890" i="100"/>
  <c r="H165" i="99" a="1"/>
  <c r="C1128" i="100"/>
  <c r="C597" i="100"/>
  <c r="C540" i="100"/>
  <c r="B358" i="100"/>
  <c r="B1602" i="100"/>
  <c r="C598" i="100"/>
  <c r="C402" i="100"/>
  <c r="B517" i="100"/>
  <c r="B787" i="100"/>
  <c r="C879" i="100"/>
  <c r="W379" i="99" a="1"/>
  <c r="C1246" i="100"/>
  <c r="C1606" i="100"/>
  <c r="C242" i="100"/>
  <c r="B688" i="100"/>
  <c r="C920" i="100"/>
  <c r="C506" i="100"/>
  <c r="C862" i="100"/>
  <c r="B1611" i="100"/>
  <c r="K35" i="99" a="1"/>
  <c r="B681" i="100"/>
  <c r="C1832" i="100"/>
  <c r="C1949" i="100"/>
  <c r="B752" i="100"/>
  <c r="B856" i="100"/>
  <c r="C632" i="100"/>
  <c r="B1216" i="100"/>
  <c r="B1963" i="100"/>
  <c r="B663" i="100"/>
  <c r="B942" i="100"/>
  <c r="C656" i="100"/>
  <c r="B1696" i="100"/>
  <c r="C799" i="100"/>
  <c r="C752" i="100"/>
  <c r="B607" i="100"/>
  <c r="I244" i="99" a="1"/>
  <c r="B393" i="100"/>
  <c r="C1921" i="100"/>
  <c r="AA165" i="99" a="1"/>
  <c r="AB143" i="99" a="1"/>
  <c r="B1944" i="100"/>
  <c r="C721" i="100"/>
  <c r="C911" i="100"/>
  <c r="C855" i="100"/>
  <c r="C112" i="100"/>
  <c r="AD89" i="99" a="1"/>
  <c r="AE60" i="99" a="1"/>
  <c r="C1871" i="100"/>
  <c r="B401" i="100"/>
  <c r="B381" i="100"/>
  <c r="C1976" i="100"/>
  <c r="C1112" i="100"/>
  <c r="C1120" i="100"/>
  <c r="C657" i="100"/>
  <c r="C69" i="100"/>
  <c r="B1684" i="100"/>
  <c r="C342" i="100"/>
  <c r="C756" i="100"/>
  <c r="B1952" i="100"/>
  <c r="B1167" i="100"/>
  <c r="B553" i="100"/>
  <c r="X398" i="99" a="1"/>
  <c r="B1928" i="100"/>
  <c r="B1090" i="100"/>
  <c r="C263" i="100"/>
  <c r="C250" i="100"/>
  <c r="C488" i="100"/>
  <c r="C725" i="100"/>
  <c r="C1709" i="100"/>
  <c r="C407" i="100"/>
  <c r="B232" i="100"/>
  <c r="G91" i="99" a="1"/>
  <c r="B1718" i="100"/>
  <c r="C100" i="100"/>
  <c r="AI219" i="99" a="1"/>
  <c r="B1849" i="100"/>
  <c r="B365" i="100"/>
  <c r="B985" i="100"/>
  <c r="C906" i="100"/>
  <c r="B214" i="100"/>
  <c r="B91" i="100"/>
  <c r="B590" i="100"/>
  <c r="B1837" i="100"/>
  <c r="C977" i="100"/>
  <c r="B1775" i="100"/>
  <c r="C1924" i="100"/>
  <c r="C1094" i="100"/>
  <c r="B1109" i="100"/>
  <c r="K60" i="99" a="1"/>
  <c r="C812" i="100"/>
  <c r="C336" i="100"/>
  <c r="B1917" i="100"/>
  <c r="C988" i="100"/>
  <c r="B451" i="100"/>
  <c r="C659" i="100"/>
  <c r="C341" i="100"/>
  <c r="V404" i="99" a="1"/>
  <c r="C202" i="100"/>
  <c r="C1116" i="100"/>
  <c r="C1154" i="100"/>
  <c r="C507" i="100"/>
  <c r="C764" i="100"/>
  <c r="C704" i="100"/>
  <c r="C1121" i="100"/>
  <c r="B886" i="100"/>
  <c r="B1883" i="100"/>
  <c r="C275" i="100"/>
  <c r="C251" i="100"/>
  <c r="C172" i="100"/>
  <c r="B1891" i="100"/>
  <c r="C1021" i="100"/>
  <c r="B958" i="100"/>
  <c r="C924" i="100"/>
  <c r="C933" i="100"/>
  <c r="C731" i="100"/>
  <c r="B1864" i="100"/>
  <c r="B1988" i="100"/>
  <c r="C489" i="100"/>
  <c r="B529" i="100"/>
  <c r="C391" i="100"/>
  <c r="N35" i="99" a="1"/>
  <c r="B1925" i="100"/>
  <c r="C1098" i="100"/>
  <c r="B1091" i="100"/>
  <c r="C270" i="100"/>
  <c r="B923" i="100"/>
  <c r="B1152" i="100"/>
  <c r="B1146" i="100"/>
  <c r="AF143" i="99" a="1"/>
  <c r="B1083" i="100"/>
  <c r="B796" i="100"/>
  <c r="C1149" i="100"/>
  <c r="B302" i="100"/>
  <c r="C842" i="100"/>
  <c r="J165" i="99" a="1"/>
  <c r="C1962" i="100"/>
  <c r="C533" i="100"/>
  <c r="B340" i="100"/>
  <c r="J13" i="99" a="1"/>
  <c r="B1273" i="100"/>
  <c r="C1936" i="100"/>
  <c r="C1029" i="100"/>
  <c r="AI190" i="99" a="1"/>
  <c r="C777" i="100"/>
  <c r="B231" i="100"/>
  <c r="B587" i="100"/>
  <c r="C819" i="100"/>
  <c r="C314" i="100"/>
  <c r="BE221" i="99" a="1"/>
  <c r="B910" i="100"/>
  <c r="B1147" i="100"/>
  <c r="C773" i="100"/>
  <c r="C207" i="100"/>
  <c r="C461" i="100"/>
  <c r="B1004" i="100"/>
  <c r="C1166" i="100"/>
  <c r="C269" i="100"/>
  <c r="C864" i="100"/>
  <c r="C1612" i="100"/>
  <c r="B1923" i="100"/>
  <c r="C1250" i="100"/>
  <c r="B1277" i="100"/>
  <c r="C1937" i="100"/>
  <c r="G271" i="99" a="1"/>
  <c r="B323" i="100"/>
  <c r="G398" i="99" a="1"/>
  <c r="K143" i="99" a="1"/>
  <c r="B818" i="100"/>
  <c r="C757" i="100"/>
  <c r="C814" i="100"/>
  <c r="B1978" i="100"/>
  <c r="B685" i="100"/>
  <c r="C400" i="100"/>
  <c r="I165" i="99" a="1"/>
  <c r="B1613" i="100"/>
  <c r="AC360" i="99" a="1"/>
  <c r="C1159" i="100"/>
  <c r="B1764" i="100"/>
  <c r="BA219" i="99" a="1"/>
  <c r="B1736" i="100"/>
  <c r="H13" i="99" a="1"/>
  <c r="C643" i="100"/>
  <c r="B1265" i="100"/>
  <c r="B342" i="100"/>
  <c r="B699" i="100"/>
  <c r="C1824" i="100"/>
  <c r="B674" i="100"/>
  <c r="C384" i="100"/>
  <c r="C1727" i="100"/>
  <c r="C215" i="100"/>
  <c r="B171" i="100"/>
  <c r="B1888" i="100"/>
  <c r="D249" i="99" a="1"/>
  <c r="C1873" i="100"/>
  <c r="B1694" i="100"/>
  <c r="B898" i="100"/>
  <c r="B1021" i="100"/>
  <c r="C550" i="100"/>
  <c r="C134" i="100"/>
  <c r="B1887" i="100"/>
  <c r="C679" i="100"/>
  <c r="C57" i="100"/>
  <c r="B739" i="100"/>
  <c r="B513" i="100"/>
  <c r="B1028" i="100"/>
  <c r="C1917" i="100"/>
  <c r="AA271" i="99" a="1"/>
  <c r="C1590" i="100"/>
  <c r="C1058" i="100"/>
  <c r="K114" i="99" a="1"/>
  <c r="B67" i="100"/>
  <c r="C1671" i="100"/>
  <c r="C1100" i="100"/>
  <c r="B536" i="100"/>
  <c r="AF114" i="99" a="1"/>
  <c r="C726" i="100"/>
  <c r="E398" i="99" a="1"/>
  <c r="C1132" i="100"/>
  <c r="B1564" i="100"/>
  <c r="C458" i="100"/>
  <c r="C853" i="100"/>
  <c r="C504" i="100"/>
  <c r="C581" i="100"/>
  <c r="B1865" i="100"/>
  <c r="B377" i="100"/>
  <c r="C1942" i="100"/>
  <c r="B1059" i="100"/>
  <c r="C553" i="100"/>
  <c r="H419" i="99" a="1"/>
  <c r="C1957" i="100"/>
  <c r="B407" i="100"/>
  <c r="B914" i="100"/>
  <c r="C1224" i="100"/>
  <c r="B675" i="100"/>
  <c r="C627" i="100"/>
  <c r="C1214" i="100"/>
  <c r="C305" i="100"/>
  <c r="F37" i="99" a="1"/>
  <c r="M244" i="99" a="1"/>
  <c r="C678" i="100"/>
  <c r="BN219" i="99" a="1"/>
  <c r="M60" i="99" a="1"/>
  <c r="D401" i="99" a="1"/>
  <c r="C767" i="100"/>
  <c r="C285" i="100"/>
  <c r="B1190" i="100"/>
  <c r="B438" i="100"/>
  <c r="W382" i="99" a="1"/>
  <c r="AP224" i="99" a="1"/>
  <c r="B840" i="100"/>
  <c r="AD360" i="99" a="1"/>
  <c r="B883" i="100"/>
  <c r="B338" i="100"/>
  <c r="C750" i="100"/>
  <c r="B527" i="100"/>
  <c r="B285" i="100"/>
  <c r="C838" i="100"/>
  <c r="X221" i="99" a="1"/>
  <c r="C453" i="100"/>
  <c r="C693" i="100"/>
  <c r="B23" i="100"/>
  <c r="C479" i="100"/>
  <c r="C1070" i="100"/>
  <c r="B1903" i="100"/>
  <c r="B549" i="100"/>
  <c r="C858" i="100"/>
  <c r="B833" i="100"/>
  <c r="B1805" i="100"/>
  <c r="B66" i="100"/>
  <c r="C1240" i="100"/>
  <c r="C283" i="100"/>
  <c r="C380" i="100"/>
  <c r="B704" i="100"/>
  <c r="B1074" i="100"/>
  <c r="G60" i="99" a="1"/>
  <c r="C418" i="100"/>
  <c r="AC398" i="99" a="1"/>
  <c r="C1615" i="100"/>
  <c r="CA219" i="99" a="1"/>
  <c r="C1826" i="100"/>
  <c r="C1031" i="100"/>
  <c r="C310" i="100"/>
  <c r="D356" i="99" a="1"/>
  <c r="B198" i="100"/>
  <c r="C759" i="100"/>
  <c r="C416" i="100"/>
  <c r="C1032" i="100"/>
  <c r="C1718" i="100"/>
  <c r="B504" i="100"/>
  <c r="C381" i="100"/>
  <c r="C1897" i="100"/>
  <c r="C1811" i="100"/>
  <c r="B1686" i="100"/>
  <c r="C660" i="100"/>
  <c r="C1801" i="100"/>
  <c r="C1114" i="100"/>
  <c r="B392" i="100"/>
  <c r="B1201" i="100"/>
  <c r="C211" i="100"/>
  <c r="B369" i="100"/>
  <c r="B462" i="100"/>
  <c r="W223" i="99" a="1"/>
  <c r="B1252" i="100"/>
  <c r="D246" i="99" a="1"/>
  <c r="C454" i="100"/>
  <c r="B854" i="100"/>
  <c r="C815" i="100"/>
  <c r="C1164" i="100"/>
  <c r="C191" i="100"/>
  <c r="C442" i="100"/>
  <c r="C1168" i="100"/>
  <c r="D169" i="99" a="1"/>
  <c r="C899" i="100"/>
  <c r="I322" i="99" a="1"/>
  <c r="B1033" i="100"/>
  <c r="C535" i="100"/>
  <c r="B1150" i="100"/>
  <c r="CE219" i="99" a="1"/>
  <c r="AB114" i="99" a="1"/>
  <c r="C1858" i="100"/>
  <c r="C703" i="100"/>
  <c r="B211" i="100"/>
  <c r="C423" i="100"/>
  <c r="B1071" i="100"/>
  <c r="C476" i="100"/>
  <c r="B1608" i="100"/>
  <c r="B978" i="100"/>
  <c r="C289" i="100"/>
  <c r="B1120" i="100"/>
  <c r="B1681" i="100"/>
  <c r="C1584" i="100"/>
  <c r="E356" i="99" a="1"/>
  <c r="C1256" i="100"/>
  <c r="AC165" i="99" a="1"/>
  <c r="D403" i="99" a="1"/>
  <c r="Y219" i="99" a="1"/>
  <c r="B864" i="100"/>
  <c r="C609" i="100"/>
  <c r="CF219" i="99" a="1"/>
  <c r="C1053" i="100"/>
  <c r="B1556" i="100"/>
  <c r="C753" i="100"/>
  <c r="C1561" i="100"/>
  <c r="C570" i="100"/>
  <c r="C1880" i="100"/>
  <c r="C963" i="100"/>
  <c r="B95" i="100"/>
  <c r="C448" i="100"/>
  <c r="C1876" i="100"/>
  <c r="B1054" i="100"/>
  <c r="B1006" i="100"/>
  <c r="B1086" i="100"/>
  <c r="C1911" i="100"/>
  <c r="B48" i="100"/>
  <c r="B1260" i="100"/>
  <c r="B803" i="100"/>
  <c r="C238" i="100"/>
  <c r="B853" i="100"/>
  <c r="B132" i="100"/>
  <c r="B918" i="100"/>
  <c r="C641" i="100"/>
  <c r="B646" i="100"/>
  <c r="C662" i="100"/>
  <c r="C1036" i="100"/>
  <c r="B828" i="100"/>
  <c r="Q244" i="99" a="1"/>
  <c r="B1914" i="100"/>
  <c r="B899" i="100"/>
  <c r="C368" i="100"/>
  <c r="B988" i="100"/>
  <c r="C1221" i="100"/>
  <c r="B1972" i="100"/>
  <c r="C1859" i="100"/>
  <c r="C212" i="100"/>
  <c r="C1980" i="100"/>
  <c r="B877" i="100"/>
  <c r="B635" i="100"/>
  <c r="B892" i="100"/>
  <c r="B625" i="100"/>
  <c r="C1271" i="100"/>
  <c r="C1075" i="100"/>
  <c r="AF219" i="99" a="1"/>
  <c r="B1905" i="100"/>
  <c r="C308" i="100"/>
  <c r="B274" i="100"/>
  <c r="B1247" i="100"/>
  <c r="C522" i="100"/>
  <c r="B315" i="100"/>
  <c r="B1968" i="100"/>
  <c r="C798" i="100"/>
  <c r="C626" i="100"/>
  <c r="B1177" i="100"/>
  <c r="B1897" i="100"/>
  <c r="B718" i="100"/>
  <c r="B428" i="100"/>
  <c r="P4" i="99" a="1"/>
  <c r="C1608" i="100"/>
  <c r="C1902" i="100"/>
  <c r="C1983" i="100"/>
  <c r="B1168" i="100"/>
  <c r="C1133" i="100"/>
  <c r="B1907" i="100"/>
  <c r="D224" i="99" a="1"/>
  <c r="AA89" i="99" a="1"/>
  <c r="B483" i="100"/>
  <c r="C1689" i="100"/>
  <c r="C600" i="100"/>
  <c r="J190" i="99" a="1"/>
  <c r="B116" i="100"/>
  <c r="B1102" i="100"/>
  <c r="C1785" i="100"/>
  <c r="C1741" i="100"/>
  <c r="C387" i="100"/>
  <c r="C1869" i="100"/>
  <c r="C333" i="100"/>
  <c r="B921" i="100"/>
  <c r="B563" i="100"/>
  <c r="B1975" i="100"/>
  <c r="B1898" i="100"/>
  <c r="B997" i="100"/>
  <c r="C793" i="100"/>
  <c r="N143" i="99" a="1"/>
  <c r="C396" i="100"/>
  <c r="C649" i="100"/>
  <c r="C268" i="100"/>
  <c r="B493" i="100"/>
  <c r="B668" i="100"/>
  <c r="B509" i="100"/>
  <c r="AB398" i="99" a="1"/>
  <c r="C1072" i="100"/>
  <c r="N7" i="99" a="1"/>
  <c r="B229" i="100"/>
  <c r="B588" i="100"/>
  <c r="N7" i="99" l="1"/>
  <c r="AB398" i="99"/>
  <c r="N143" i="99"/>
  <c r="J190" i="99"/>
  <c r="AA89" i="99"/>
  <c r="D224" i="99"/>
  <c r="P4" i="99"/>
  <c r="AF219" i="99"/>
  <c r="Q244" i="99"/>
  <c r="CF219" i="99"/>
  <c r="Y219" i="99"/>
  <c r="D403" i="99"/>
  <c r="E403" i="99" s="1"/>
  <c r="AC165" i="99"/>
  <c r="E356" i="99"/>
  <c r="AB114" i="99"/>
  <c r="CE219" i="99"/>
  <c r="I322" i="99"/>
  <c r="D169" i="99"/>
  <c r="D246" i="99"/>
  <c r="W223" i="99"/>
  <c r="D356" i="99"/>
  <c r="CA219" i="99"/>
  <c r="AC398" i="99"/>
  <c r="G60" i="99"/>
  <c r="X221" i="99"/>
  <c r="AD360" i="99"/>
  <c r="AP224" i="99"/>
  <c r="W382" i="99"/>
  <c r="D401" i="99"/>
  <c r="E401" i="99" s="1"/>
  <c r="M60" i="99"/>
  <c r="BN219" i="99"/>
  <c r="M244" i="99"/>
  <c r="F37" i="99"/>
  <c r="H419" i="99"/>
  <c r="E398" i="99"/>
  <c r="AF114" i="99"/>
  <c r="K114" i="99"/>
  <c r="AA271" i="99"/>
  <c r="D249" i="99"/>
  <c r="H13" i="99"/>
  <c r="BA219" i="99"/>
  <c r="AC360" i="99"/>
  <c r="I165" i="99"/>
  <c r="K143" i="99"/>
  <c r="G398" i="99"/>
  <c r="G271" i="99"/>
  <c r="BE221" i="99"/>
  <c r="AI190" i="99"/>
  <c r="J13" i="99"/>
  <c r="J165" i="99"/>
  <c r="AF143" i="99"/>
  <c r="N35" i="99"/>
  <c r="V404" i="99"/>
  <c r="W404" i="99" s="1"/>
  <c r="K60" i="99"/>
  <c r="AI219" i="99"/>
  <c r="G91" i="99"/>
  <c r="X398" i="99"/>
  <c r="AE60" i="99"/>
  <c r="AD89" i="99"/>
  <c r="AB143" i="99"/>
  <c r="AA165" i="99"/>
  <c r="I244" i="99"/>
  <c r="K35" i="99"/>
  <c r="W379" i="99"/>
  <c r="H165" i="99"/>
  <c r="K221" i="99"/>
  <c r="K398" i="99"/>
  <c r="G305" i="99"/>
  <c r="AQ219" i="99"/>
  <c r="I219" i="99"/>
  <c r="E62" i="99"/>
  <c r="V62" i="99"/>
  <c r="AA143" i="99"/>
  <c r="W37" i="99"/>
  <c r="AH114" i="99"/>
  <c r="AC60" i="99"/>
  <c r="N9" i="99"/>
  <c r="AE219" i="99"/>
  <c r="E379" i="99"/>
  <c r="W224" i="99"/>
  <c r="V93" i="99"/>
  <c r="C380" i="99"/>
  <c r="AA60" i="99"/>
  <c r="Z89" i="99"/>
  <c r="I143" i="99"/>
  <c r="P219" i="99"/>
  <c r="X169" i="99"/>
  <c r="W362" i="99"/>
  <c r="J114" i="99"/>
  <c r="BF224" i="99"/>
  <c r="Z114" i="99"/>
  <c r="Z221" i="99"/>
  <c r="U382" i="99"/>
  <c r="E380" i="99"/>
  <c r="W221" i="99"/>
  <c r="F419" i="99"/>
  <c r="M190" i="99"/>
  <c r="P7" i="99"/>
  <c r="L165" i="99"/>
  <c r="J60" i="99"/>
  <c r="AR221" i="99"/>
  <c r="AE360" i="99"/>
  <c r="F167" i="99"/>
  <c r="L35" i="99"/>
  <c r="E246" i="99"/>
  <c r="L360" i="99"/>
  <c r="E383" i="99"/>
  <c r="Z165" i="99"/>
  <c r="M143" i="99"/>
  <c r="W383" i="99"/>
  <c r="BV223" i="99"/>
  <c r="D402" i="99"/>
  <c r="E402" i="99" s="1"/>
  <c r="V381" i="99"/>
  <c r="K271" i="99"/>
  <c r="AA190" i="99"/>
  <c r="K288" i="99"/>
  <c r="K377" i="99"/>
  <c r="K322" i="99"/>
  <c r="L143" i="99"/>
  <c r="J377" i="99"/>
  <c r="V362" i="99"/>
  <c r="AC221" i="99"/>
  <c r="BG224" i="99"/>
  <c r="P13" i="99"/>
  <c r="J322" i="99"/>
  <c r="F169" i="99"/>
  <c r="Y114" i="99"/>
  <c r="G13" i="99"/>
  <c r="AD60" i="99"/>
  <c r="E221" i="99"/>
  <c r="Z190" i="99"/>
  <c r="G419" i="99"/>
  <c r="D221" i="99"/>
  <c r="H305" i="99"/>
  <c r="K219" i="99"/>
  <c r="AC219" i="99"/>
  <c r="K360" i="99"/>
  <c r="I419" i="99"/>
  <c r="I60" i="99"/>
  <c r="AG60" i="99"/>
  <c r="P305" i="99"/>
  <c r="Y60" i="99"/>
  <c r="AH219" i="99"/>
  <c r="W380" i="99"/>
  <c r="O35" i="99"/>
  <c r="D62" i="99"/>
  <c r="BG223" i="99"/>
  <c r="AH190" i="99"/>
  <c r="Y143" i="99"/>
  <c r="AN223" i="99"/>
  <c r="D116" i="99"/>
  <c r="AA377" i="99"/>
  <c r="BZ221" i="99"/>
  <c r="E248" i="99"/>
  <c r="N5" i="99"/>
  <c r="D383" i="99"/>
  <c r="AF190" i="99"/>
  <c r="O89" i="99"/>
  <c r="C382" i="99"/>
  <c r="V379" i="99"/>
  <c r="W62" i="99"/>
  <c r="Y89" i="99"/>
  <c r="N114" i="99"/>
  <c r="Y271" i="99"/>
  <c r="X93" i="99"/>
  <c r="J219" i="99"/>
  <c r="D37" i="99"/>
  <c r="X223" i="99"/>
  <c r="H398" i="99"/>
  <c r="AB219" i="99"/>
  <c r="H337" i="99"/>
  <c r="G244" i="99"/>
  <c r="BL219" i="99"/>
  <c r="V167" i="99"/>
  <c r="O13" i="99"/>
  <c r="E324" i="99"/>
  <c r="F398" i="99"/>
  <c r="AA360" i="99"/>
  <c r="M13" i="99"/>
  <c r="AA398" i="99"/>
  <c r="W398" i="99"/>
  <c r="O219" i="99"/>
  <c r="L398" i="99"/>
  <c r="AG89" i="99"/>
  <c r="AT219" i="99"/>
  <c r="AB360" i="99"/>
  <c r="V383" i="99"/>
  <c r="W167" i="99"/>
  <c r="H271" i="99"/>
  <c r="X224" i="99"/>
  <c r="G89" i="99"/>
  <c r="AB60" i="99"/>
  <c r="BV224" i="99"/>
  <c r="M165" i="99"/>
  <c r="E337" i="99"/>
  <c r="M398" i="99"/>
  <c r="AG13" i="99"/>
  <c r="M322" i="99"/>
  <c r="AD219" i="99"/>
  <c r="AD13" i="99"/>
  <c r="AD114" i="99"/>
  <c r="K89" i="99"/>
  <c r="H143" i="99"/>
  <c r="BX224" i="99"/>
  <c r="D273" i="99"/>
  <c r="P143" i="99"/>
  <c r="E37" i="99"/>
  <c r="AU221" i="99"/>
  <c r="L305" i="99"/>
  <c r="Q165" i="99"/>
  <c r="Y398" i="99"/>
  <c r="AE114" i="99"/>
  <c r="AH89" i="99"/>
  <c r="K165" i="99"/>
  <c r="V37" i="99"/>
  <c r="AC190" i="99"/>
  <c r="AH143" i="99"/>
  <c r="C337" i="99"/>
  <c r="V403" i="99"/>
  <c r="W403" i="99" s="1"/>
  <c r="Y377" i="99"/>
  <c r="O305" i="99"/>
  <c r="D337" i="99"/>
  <c r="L341" i="99"/>
  <c r="BY219" i="99"/>
  <c r="AH60" i="99"/>
  <c r="C343" i="99"/>
  <c r="AD143" i="99"/>
  <c r="N13" i="99"/>
  <c r="J89" i="99"/>
  <c r="N165" i="99"/>
  <c r="E273" i="99"/>
  <c r="Y35" i="99"/>
  <c r="D39" i="99"/>
  <c r="J143" i="99"/>
  <c r="BH219" i="99"/>
  <c r="AF60" i="99"/>
  <c r="AI114" i="99"/>
  <c r="J419" i="99"/>
  <c r="BG221" i="99"/>
  <c r="G341" i="99"/>
  <c r="U381" i="99"/>
  <c r="BI219" i="99"/>
  <c r="BE224" i="99"/>
  <c r="AP223" i="99"/>
  <c r="CI219" i="99"/>
  <c r="M35" i="99"/>
  <c r="AE377" i="99"/>
  <c r="N6" i="99"/>
  <c r="BP219" i="99"/>
  <c r="H60" i="99"/>
  <c r="N190" i="99"/>
  <c r="C356" i="99"/>
  <c r="I35" i="99"/>
  <c r="U91" i="99"/>
  <c r="AE143" i="99"/>
  <c r="D290" i="99"/>
  <c r="AP221" i="99"/>
  <c r="AD377" i="99"/>
  <c r="Q60" i="99"/>
  <c r="Y116" i="99"/>
  <c r="L377" i="99"/>
  <c r="CG219" i="99"/>
  <c r="BL221" i="99"/>
  <c r="J360" i="99"/>
  <c r="AE89" i="99"/>
  <c r="BV221" i="99"/>
  <c r="L219" i="99"/>
  <c r="V401" i="99"/>
  <c r="W401" i="99" s="1"/>
  <c r="I398" i="99"/>
  <c r="BX223" i="99"/>
  <c r="D324" i="99"/>
  <c r="X167" i="99"/>
  <c r="D192" i="99"/>
  <c r="Q35" i="99"/>
  <c r="Y13" i="99"/>
  <c r="D381" i="99"/>
  <c r="G167" i="99"/>
  <c r="AA219" i="99"/>
  <c r="M271" i="99"/>
  <c r="AF271" i="99"/>
  <c r="V116" i="99"/>
  <c r="L322" i="99"/>
  <c r="I13" i="99"/>
  <c r="F248" i="99"/>
  <c r="H89" i="99"/>
  <c r="X377" i="99"/>
  <c r="K190" i="99"/>
  <c r="J244" i="99"/>
  <c r="AG219" i="99"/>
  <c r="AI35" i="99"/>
  <c r="BZ219" i="99"/>
  <c r="E224" i="99"/>
  <c r="P244" i="99"/>
  <c r="AE190" i="99"/>
  <c r="H360" i="99"/>
  <c r="J288" i="99"/>
  <c r="AN221" i="99"/>
  <c r="V224" i="99"/>
  <c r="K305" i="99"/>
  <c r="AC35" i="99"/>
  <c r="J271" i="99"/>
  <c r="BJ219" i="99"/>
  <c r="I114" i="99"/>
  <c r="M377" i="99"/>
  <c r="N8" i="99"/>
  <c r="Q89" i="99"/>
  <c r="G37" i="99"/>
  <c r="BW221" i="99"/>
  <c r="AD398" i="99"/>
  <c r="AH13" i="99"/>
  <c r="AB35" i="99"/>
  <c r="I360" i="99"/>
  <c r="P165" i="99"/>
  <c r="D379" i="99"/>
  <c r="CC221" i="99"/>
  <c r="I190" i="99"/>
  <c r="G377" i="99"/>
  <c r="J398" i="99"/>
  <c r="I89" i="99"/>
  <c r="AE398" i="99"/>
  <c r="N4" i="99"/>
  <c r="G219" i="99"/>
  <c r="G322" i="99"/>
  <c r="AQ221" i="99"/>
  <c r="O244" i="99"/>
  <c r="Y192" i="99"/>
  <c r="AU219" i="99"/>
  <c r="AB89" i="99"/>
  <c r="AC114" i="99"/>
  <c r="AO223" i="99"/>
  <c r="L114" i="99"/>
  <c r="P6" i="99"/>
  <c r="O288" i="99"/>
  <c r="D93" i="99"/>
  <c r="M114" i="99"/>
  <c r="H244" i="99"/>
  <c r="G356" i="99"/>
  <c r="AE271" i="99"/>
  <c r="Q219" i="99"/>
  <c r="N219" i="99"/>
  <c r="Y165" i="99"/>
  <c r="BE223" i="99"/>
  <c r="V15" i="99"/>
  <c r="N60" i="99"/>
  <c r="V380" i="99"/>
  <c r="M360" i="99"/>
  <c r="F221" i="99"/>
  <c r="H377" i="99"/>
  <c r="Z13" i="99"/>
  <c r="E290" i="99"/>
  <c r="P60" i="99"/>
  <c r="G192" i="99"/>
  <c r="D343" i="99"/>
  <c r="K13" i="99"/>
  <c r="D15" i="99"/>
  <c r="AX219" i="99"/>
  <c r="O143" i="99"/>
  <c r="J35" i="99"/>
  <c r="H356" i="99"/>
  <c r="AI165" i="99"/>
  <c r="D307" i="99"/>
  <c r="CD219" i="99"/>
  <c r="C324" i="99"/>
  <c r="O190" i="99"/>
  <c r="V145" i="99"/>
  <c r="E192" i="99"/>
  <c r="W381" i="99"/>
  <c r="I288" i="99"/>
  <c r="F246" i="99"/>
  <c r="U379" i="99"/>
  <c r="D223" i="99"/>
  <c r="D91" i="99"/>
  <c r="I305" i="99"/>
  <c r="F224" i="99"/>
  <c r="C273" i="99"/>
  <c r="AC377" i="99"/>
  <c r="AH35" i="99"/>
  <c r="C379" i="99"/>
  <c r="L271" i="99"/>
  <c r="AC143" i="99"/>
  <c r="V39" i="99"/>
  <c r="H190" i="99"/>
  <c r="I271" i="99"/>
  <c r="E169" i="99"/>
  <c r="L60" i="99"/>
  <c r="L288" i="99"/>
  <c r="E343" i="99"/>
  <c r="AC271" i="99"/>
  <c r="G288" i="99"/>
  <c r="W93" i="99"/>
  <c r="N244" i="99"/>
  <c r="AN224" i="99"/>
  <c r="AB377" i="99"/>
  <c r="Y360" i="99"/>
  <c r="G221" i="99"/>
  <c r="F39" i="99"/>
  <c r="AB190" i="99"/>
  <c r="F93" i="99"/>
  <c r="H322" i="99"/>
  <c r="G116" i="99"/>
  <c r="H288" i="99"/>
  <c r="AC13" i="99"/>
  <c r="AE165" i="99"/>
  <c r="D404" i="99"/>
  <c r="E404" i="99" s="1"/>
  <c r="AB13" i="99"/>
  <c r="Q114" i="99"/>
  <c r="AR219" i="99"/>
  <c r="M341" i="99"/>
  <c r="N377" i="99"/>
  <c r="P5" i="99"/>
  <c r="AG143" i="99"/>
  <c r="C381" i="99"/>
  <c r="Z143" i="99"/>
  <c r="N341" i="99"/>
  <c r="AG190" i="99"/>
  <c r="O271" i="99"/>
  <c r="Z60" i="99"/>
  <c r="J341" i="99"/>
  <c r="Z360" i="99"/>
  <c r="F356" i="99"/>
  <c r="D382" i="99"/>
  <c r="M219" i="99"/>
  <c r="W169" i="99"/>
  <c r="AY219" i="99"/>
  <c r="E382" i="99"/>
  <c r="M305" i="99"/>
  <c r="C383" i="99"/>
  <c r="E91" i="99"/>
  <c r="U362" i="99"/>
  <c r="H35" i="99"/>
  <c r="Z377" i="99"/>
  <c r="P35" i="99"/>
  <c r="V91" i="99"/>
  <c r="P89" i="99"/>
  <c r="W39" i="99"/>
  <c r="H221" i="99"/>
  <c r="V169" i="99"/>
  <c r="BW224" i="99"/>
  <c r="BK219" i="99"/>
  <c r="AB165" i="99"/>
  <c r="V192" i="99"/>
  <c r="AI60" i="99"/>
  <c r="J305" i="99"/>
  <c r="AG271" i="99"/>
  <c r="K341" i="99"/>
  <c r="AB62" i="99"/>
  <c r="U383" i="99"/>
  <c r="AB271" i="99"/>
  <c r="AG35" i="99"/>
  <c r="G165" i="99"/>
  <c r="I377" i="99"/>
  <c r="AO224" i="99"/>
  <c r="W273" i="99"/>
  <c r="AE13" i="99"/>
  <c r="H114" i="99"/>
  <c r="O165" i="99"/>
  <c r="E167" i="99"/>
  <c r="AG114" i="99"/>
  <c r="AB37" i="99"/>
  <c r="D145" i="99"/>
  <c r="Z35" i="99"/>
  <c r="N89" i="99"/>
  <c r="D248" i="99"/>
  <c r="AI89" i="99"/>
  <c r="P114" i="99"/>
  <c r="D362" i="99"/>
  <c r="W377" i="99"/>
  <c r="N271" i="99"/>
  <c r="G246" i="99"/>
  <c r="CB219" i="99"/>
  <c r="E381" i="99"/>
  <c r="E93" i="99"/>
  <c r="Z219" i="99"/>
  <c r="O114" i="99"/>
  <c r="BF223" i="99"/>
  <c r="M89" i="99"/>
  <c r="Y167" i="99"/>
  <c r="AF165" i="99"/>
  <c r="BQ219" i="99"/>
  <c r="BF221" i="99"/>
  <c r="V223" i="99"/>
  <c r="X62" i="99"/>
  <c r="AV219" i="99"/>
  <c r="U273" i="99"/>
  <c r="G337" i="99"/>
  <c r="N288" i="99"/>
  <c r="AF35" i="99"/>
  <c r="V382" i="99"/>
  <c r="AA114" i="99"/>
  <c r="BM219" i="99"/>
  <c r="G35" i="99"/>
  <c r="E419" i="99"/>
  <c r="BH221" i="99"/>
  <c r="AG165" i="99"/>
  <c r="W192" i="99"/>
  <c r="K244" i="99"/>
  <c r="D167" i="99"/>
  <c r="Z398" i="99"/>
  <c r="Y190" i="99"/>
  <c r="AD35" i="99"/>
  <c r="F377" i="99"/>
  <c r="BO219" i="99"/>
  <c r="G360" i="99"/>
  <c r="AC89" i="99"/>
  <c r="AD165" i="99"/>
  <c r="AA13" i="99"/>
  <c r="L190" i="99"/>
  <c r="E249" i="99"/>
  <c r="BR219" i="99"/>
  <c r="AE35" i="99"/>
  <c r="E223" i="99"/>
  <c r="K4" i="99"/>
  <c r="Y221" i="99"/>
  <c r="E39" i="99"/>
  <c r="J37" i="99"/>
  <c r="AF89" i="99"/>
  <c r="Y91" i="99"/>
  <c r="AZ219" i="99"/>
  <c r="AW219" i="99"/>
  <c r="E362" i="99"/>
  <c r="AO221" i="99"/>
  <c r="AS219" i="99"/>
  <c r="V273" i="99"/>
  <c r="W91" i="99"/>
  <c r="D380" i="99"/>
  <c r="AD190" i="99"/>
  <c r="I341" i="99"/>
  <c r="N322" i="99"/>
  <c r="E377" i="99"/>
  <c r="BX221" i="99"/>
  <c r="Q190" i="99"/>
  <c r="F337" i="99"/>
  <c r="N305" i="99"/>
  <c r="CC219" i="99"/>
  <c r="AH165" i="99"/>
  <c r="BI221" i="99"/>
  <c r="O60" i="99"/>
  <c r="Z271" i="99"/>
  <c r="X37" i="99"/>
  <c r="U380" i="99"/>
  <c r="AA35" i="99"/>
  <c r="V402" i="99"/>
  <c r="W402" i="99" s="1"/>
  <c r="J62" i="99"/>
  <c r="AD271" i="99"/>
  <c r="F249" i="99"/>
  <c r="L244" i="99"/>
  <c r="CH219" i="99"/>
  <c r="C290" i="99"/>
  <c r="V221" i="99"/>
  <c r="AF377" i="99"/>
  <c r="AF13" i="99"/>
  <c r="C91" i="99"/>
  <c r="F62" i="99"/>
  <c r="H219" i="99"/>
  <c r="F223" i="99"/>
  <c r="L13" i="99"/>
  <c r="BW223" i="99"/>
  <c r="G190" i="99"/>
  <c r="X39" i="99"/>
  <c r="C362" i="99"/>
  <c r="Y37" i="99"/>
  <c r="BY221" i="99"/>
  <c r="L89" i="99"/>
  <c r="G114" i="99"/>
  <c r="P190" i="99"/>
  <c r="G143" i="99"/>
  <c r="H341" i="99"/>
  <c r="M288" i="99"/>
  <c r="Q1075" i="100" a="1"/>
  <c r="Q1058" i="100" a="1"/>
  <c r="P960" i="100" a="1"/>
  <c r="Q1169" i="100" a="1"/>
  <c r="Q960" i="100" a="1"/>
  <c r="P1058" i="100" a="1"/>
  <c r="P1034" i="100" a="1"/>
  <c r="P717" i="100" a="1"/>
  <c r="Q998" i="100" a="1"/>
  <c r="P903" i="100" a="1"/>
  <c r="P1101" i="100" a="1"/>
  <c r="P792" i="100" a="1"/>
  <c r="P1048" i="100" a="1"/>
  <c r="P1143" i="100" a="1"/>
  <c r="P681" i="100" a="1"/>
  <c r="Q1048" i="100" a="1"/>
  <c r="P566" i="100" a="1"/>
  <c r="P1091" i="100" a="1"/>
  <c r="P1023" i="100" a="1"/>
  <c r="Q1101" i="100" a="1"/>
  <c r="P873" i="100" a="1"/>
  <c r="Q566" i="100" a="1"/>
  <c r="Q681" i="100" a="1"/>
  <c r="Q1012" i="100" a="1"/>
  <c r="P650" i="100" a="1"/>
  <c r="Q699" i="100" a="1"/>
  <c r="Q873" i="100" a="1"/>
  <c r="P1218" i="100" a="1"/>
  <c r="P777" i="100" a="1"/>
  <c r="P1169" i="100" a="1"/>
  <c r="Q903" i="100" a="1"/>
  <c r="P581" i="100" a="1"/>
  <c r="Q1034" i="100" a="1"/>
  <c r="P600" i="100" a="1"/>
  <c r="Q1023" i="100" a="1"/>
  <c r="Q551" i="100" a="1"/>
  <c r="Q807" i="100" a="1"/>
  <c r="P619" i="100" a="1"/>
  <c r="Q650" i="100" a="1"/>
  <c r="Q600" i="100" a="1"/>
  <c r="P699" i="100" a="1"/>
  <c r="P1075" i="100" a="1"/>
  <c r="P807" i="100" a="1"/>
  <c r="Q825" i="100" a="1"/>
  <c r="Q979" i="100" a="1"/>
  <c r="Q922" i="100" a="1"/>
  <c r="Q792" i="100" a="1"/>
  <c r="Q941" i="100" a="1"/>
  <c r="Q747" i="100" a="1"/>
  <c r="Q581" i="100" a="1"/>
  <c r="Q777" i="100" a="1"/>
  <c r="Q1143" i="100" a="1"/>
  <c r="Q1218" i="100" a="1"/>
  <c r="Q1114" i="100" a="1"/>
  <c r="P1114" i="100" a="1"/>
  <c r="Q1194" i="100" a="1"/>
  <c r="P941" i="100" a="1"/>
  <c r="P747" i="100" a="1"/>
  <c r="P843" i="100" a="1"/>
  <c r="P922" i="100" a="1"/>
  <c r="P1012" i="100" a="1"/>
  <c r="Q1091" i="100" a="1"/>
  <c r="P998" i="100" a="1"/>
  <c r="P551" i="100" a="1"/>
  <c r="P825" i="100" a="1"/>
  <c r="P1194" i="100" a="1"/>
  <c r="P979" i="100" a="1"/>
  <c r="Q619" i="100" a="1"/>
  <c r="Q843" i="100" a="1"/>
  <c r="Q717" i="100" a="1"/>
  <c r="Q717" i="100" l="1"/>
  <c r="Q843" i="100"/>
  <c r="Q619" i="100"/>
  <c r="P979" i="100"/>
  <c r="P1194" i="100"/>
  <c r="P825" i="100"/>
  <c r="P551" i="100"/>
  <c r="P998" i="100"/>
  <c r="Q1091" i="100"/>
  <c r="P1012" i="100"/>
  <c r="P922" i="100"/>
  <c r="P843" i="100"/>
  <c r="P747" i="100"/>
  <c r="P941" i="100"/>
  <c r="Q1194" i="100"/>
  <c r="P1114" i="100"/>
  <c r="Q1114" i="100"/>
  <c r="Q1218" i="100"/>
  <c r="Q1143" i="100"/>
  <c r="Q777" i="100"/>
  <c r="Q581" i="100"/>
  <c r="Q747" i="100"/>
  <c r="Q941" i="100"/>
  <c r="Q792" i="100"/>
  <c r="Q922" i="100"/>
  <c r="Q979" i="100"/>
  <c r="Q825" i="100"/>
  <c r="P807" i="100"/>
  <c r="P1075" i="100"/>
  <c r="P699" i="100"/>
  <c r="Q600" i="100"/>
  <c r="Q650" i="100"/>
  <c r="P619" i="100"/>
  <c r="Q807" i="100"/>
  <c r="Q551" i="100"/>
  <c r="Q1023" i="100"/>
  <c r="P600" i="100"/>
  <c r="Q1034" i="100"/>
  <c r="P581" i="100"/>
  <c r="Q903" i="100"/>
  <c r="P1169" i="100"/>
  <c r="P777" i="100"/>
  <c r="P1218" i="100"/>
  <c r="Q873" i="100"/>
  <c r="Q699" i="100"/>
  <c r="P650" i="100"/>
  <c r="Q1012" i="100"/>
  <c r="Q681" i="100"/>
  <c r="Q566" i="100"/>
  <c r="P873" i="100"/>
  <c r="Q1101" i="100"/>
  <c r="P1023" i="100"/>
  <c r="P1091" i="100"/>
  <c r="P566" i="100"/>
  <c r="Q1048" i="100"/>
  <c r="P681" i="100"/>
  <c r="P1143" i="100"/>
  <c r="P1048" i="100"/>
  <c r="P792" i="100"/>
  <c r="P1101" i="100"/>
  <c r="P903" i="100"/>
  <c r="Q998" i="100"/>
  <c r="P717" i="100"/>
  <c r="P1034" i="100"/>
  <c r="P1058" i="100"/>
  <c r="Q960" i="100"/>
  <c r="Q1169" i="100"/>
  <c r="P960" i="100"/>
  <c r="Q1058" i="100"/>
  <c r="Q1075"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E60D3C2B-CB3E-42E6-AF13-05FA676FAB9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470087F0-7B99-4898-947F-16CFB511B4F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6CF0582-C4F1-422D-8210-559ECCB1A83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D0674BC0-4CB1-4223-AF60-34E6D78C5A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A6A5966B-364E-4E96-BD8B-6974DB167AA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2ACE7541-55D5-4918-8429-D6C8BE37B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D764104D-F529-44CE-9C0F-97FB0B9CA22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F2A55884-C20A-4061-81FA-9AD068726B5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9847561-6FB2-41D8-A0E8-A479E45C39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FAC68B8C-C6BF-4D4F-B476-4F22F085559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<sst xmlns="http://schemas.openxmlformats.org/spreadsheetml/2006/main" count="33144" uniqueCount="2211">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</sst>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5" borderId="56" xfId="0" applyFill="1" applyBorder="1" applyProtection="1"/>
    <xf numFmtId="171" fontId="0" fillId="5" borderId="56" xfId="0" applyNumberFormat="1" applyFill="1" applyBorder="1" applyAlignment="1" applyProtection="1">
      <alignment horizontal="center"/>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1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47" t="s">
        <v>731</v>
      </c>
      <c r="B1" s="1747"/>
      <c r="C1" s="1747"/>
      <c r="D1" s="1747"/>
      <c r="E1" s="1747"/>
    </row>
    <row r="2" spans="1:5" x14ac:dyDescent="0.25">
      <c r="A2" s="1747" t="s">
        <v>732</v>
      </c>
      <c r="B2" s="1747"/>
      <c r="C2" s="1747"/>
      <c r="D2" s="1747"/>
      <c r="E2" s="1747"/>
    </row>
    <row r="3" spans="1:5" x14ac:dyDescent="0.25">
      <c r="A3" s="71"/>
    </row>
    <row r="4" spans="1:5" ht="78" customHeight="1" x14ac:dyDescent="0.25">
      <c r="A4" s="1765" t="s">
        <v>733</v>
      </c>
      <c r="B4" s="1765"/>
      <c r="C4" s="1765"/>
      <c r="D4" s="1765"/>
      <c r="E4" s="1765"/>
    </row>
    <row r="5" spans="1:5" x14ac:dyDescent="0.25">
      <c r="A5" s="71"/>
    </row>
    <row r="6" spans="1:5" ht="31.5" customHeight="1" x14ac:dyDescent="0.25">
      <c r="A6" s="1764" t="s">
        <v>734</v>
      </c>
      <c r="B6" s="1764"/>
      <c r="C6" s="1764"/>
      <c r="D6" s="1764"/>
      <c r="E6" s="1764"/>
    </row>
    <row r="7" spans="1:5" ht="15.75" thickBot="1" x14ac:dyDescent="0.3">
      <c r="A7" s="72"/>
    </row>
    <row r="8" spans="1:5" ht="15" customHeight="1" x14ac:dyDescent="0.25">
      <c r="A8" s="1758" t="s">
        <v>735</v>
      </c>
      <c r="B8" s="1759"/>
      <c r="C8" s="1759"/>
      <c r="D8" s="1759"/>
      <c r="E8" s="1760"/>
    </row>
    <row r="9" spans="1:5" ht="15" customHeight="1" thickBot="1" x14ac:dyDescent="0.3">
      <c r="A9" s="1761" t="s">
        <v>736</v>
      </c>
      <c r="B9" s="1762"/>
      <c r="C9" s="1762"/>
      <c r="D9" s="1762"/>
      <c r="E9" s="1763"/>
    </row>
    <row r="10" spans="1:5" x14ac:dyDescent="0.25">
      <c r="A10" s="73"/>
      <c r="B10" s="1755"/>
      <c r="C10" s="1755"/>
      <c r="D10" s="77"/>
    </row>
    <row r="11" spans="1:5" ht="31.5" customHeight="1" thickBot="1" x14ac:dyDescent="0.3">
      <c r="A11" s="75" t="s">
        <v>737</v>
      </c>
      <c r="B11" s="1756" t="s">
        <v>738</v>
      </c>
      <c r="C11" s="1756"/>
      <c r="D11" s="77">
        <f>Welcome!$D$4</f>
        <v>0</v>
      </c>
    </row>
    <row r="12" spans="1:5" ht="15.75" thickBot="1" x14ac:dyDescent="0.3">
      <c r="A12" s="75" t="s">
        <v>739</v>
      </c>
      <c r="B12" s="1757">
        <f>'MDA Worksheet'!$R$18</f>
        <v>0</v>
      </c>
      <c r="C12" s="175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54"/>
      <c r="C17" s="1754"/>
      <c r="D17" s="1754"/>
      <c r="E17" s="1754"/>
    </row>
    <row r="18" spans="1:5" x14ac:dyDescent="0.25">
      <c r="A18" s="73"/>
      <c r="B18" s="116"/>
      <c r="C18" s="73"/>
      <c r="D18" s="116"/>
    </row>
    <row r="19" spans="1:5" ht="15.75" thickBot="1" x14ac:dyDescent="0.3">
      <c r="A19" s="75" t="s">
        <v>808</v>
      </c>
      <c r="B19" s="1754" t="str">
        <f>Welcome!$D$10</f>
        <v>Please Select</v>
      </c>
      <c r="C19" s="1754"/>
      <c r="D19" s="1754"/>
      <c r="E19" s="175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32" t="s">
        <v>1147</v>
      </c>
      <c r="B42" s="1733"/>
      <c r="C42" s="1733"/>
      <c r="D42" s="1733"/>
      <c r="E42" s="1734"/>
    </row>
    <row r="43" spans="1:5" s="663" customFormat="1" x14ac:dyDescent="0.25">
      <c r="A43" s="1735"/>
      <c r="B43" s="1736"/>
      <c r="C43" s="1736"/>
      <c r="D43" s="1736"/>
      <c r="E43" s="1737"/>
    </row>
    <row r="44" spans="1:5" s="663" customFormat="1" ht="15.75" thickBot="1" x14ac:dyDescent="0.3">
      <c r="A44" s="1738"/>
      <c r="B44" s="1739"/>
      <c r="C44" s="1739"/>
      <c r="D44" s="1739"/>
      <c r="E44" s="1740"/>
    </row>
    <row r="45" spans="1:5" s="663" customFormat="1" ht="15.75" thickBot="1" x14ac:dyDescent="0.3">
      <c r="A45" s="669"/>
    </row>
    <row r="46" spans="1:5" s="663" customFormat="1" ht="15.75" thickBot="1" x14ac:dyDescent="0.3">
      <c r="A46" s="1732" t="s">
        <v>1136</v>
      </c>
      <c r="B46" s="1733"/>
      <c r="C46" s="1733"/>
      <c r="D46" s="1733"/>
      <c r="E46" s="173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26"/>
      <c r="B53" s="1727"/>
      <c r="C53" s="1727"/>
      <c r="D53" s="1727"/>
      <c r="E53" s="1728"/>
    </row>
    <row r="54" spans="1:5" s="663" customFormat="1" ht="15.75" thickBot="1" x14ac:dyDescent="0.3">
      <c r="A54" s="1729"/>
      <c r="B54" s="1730"/>
      <c r="C54" s="1730"/>
      <c r="D54" s="1730"/>
      <c r="E54" s="1731"/>
    </row>
    <row r="55" spans="1:5" ht="15.75" thickBot="1" x14ac:dyDescent="0.3">
      <c r="A55" s="669"/>
      <c r="B55" s="663"/>
      <c r="C55" s="663"/>
      <c r="D55" s="663"/>
      <c r="E55" s="663"/>
    </row>
    <row r="56" spans="1:5" ht="30.75" customHeight="1" thickBot="1" x14ac:dyDescent="0.3">
      <c r="A56" s="1748" t="s">
        <v>747</v>
      </c>
      <c r="B56" s="1749"/>
      <c r="C56" s="1749"/>
      <c r="D56" s="1749"/>
      <c r="E56" s="175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51" t="s">
        <v>759</v>
      </c>
      <c r="B67" s="1752"/>
      <c r="C67" s="1752"/>
      <c r="D67" s="1752"/>
      <c r="E67" s="175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41" t="s">
        <v>1148</v>
      </c>
      <c r="B74" s="1742"/>
      <c r="C74" s="1742"/>
      <c r="D74" s="1742"/>
      <c r="E74" s="1743"/>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44" t="s">
        <v>762</v>
      </c>
      <c r="B78" s="1745"/>
      <c r="C78" s="1745"/>
      <c r="D78" s="1745"/>
      <c r="E78" s="174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44" t="s">
        <v>764</v>
      </c>
      <c r="B83" s="1745"/>
      <c r="C83" s="1745"/>
      <c r="D83" s="1745"/>
      <c r="E83" s="174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412" priority="7">
      <formula>NOT(ISBLANK(C48))</formula>
    </cfRule>
  </conditionalFormatting>
  <conditionalFormatting sqref="E48">
    <cfRule type="expression" dxfId="1411" priority="6">
      <formula>NOT(ISBLANK(E48))</formula>
    </cfRule>
  </conditionalFormatting>
  <conditionalFormatting sqref="E49">
    <cfRule type="expression" dxfId="1410" priority="5">
      <formula>NOT(ISBLANK(E49))</formula>
    </cfRule>
  </conditionalFormatting>
  <conditionalFormatting sqref="E51">
    <cfRule type="expression" dxfId="1409" priority="4">
      <formula>NOT(ISBLANK(E51))</formula>
    </cfRule>
  </conditionalFormatting>
  <conditionalFormatting sqref="C49">
    <cfRule type="expression" dxfId="1408" priority="3">
      <formula>NOT(ISBLANK(C49))</formula>
    </cfRule>
  </conditionalFormatting>
  <conditionalFormatting sqref="C50">
    <cfRule type="expression" dxfId="1407" priority="2">
      <formula>NOT(ISBLANK(C50))</formula>
    </cfRule>
  </conditionalFormatting>
  <conditionalFormatting sqref="C51">
    <cfRule type="expression" dxfId="140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66" t="s">
        <v>1131</v>
      </c>
      <c r="D3" s="1767"/>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83" t="s">
        <v>1989</v>
      </c>
      <c r="H8" s="178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84"/>
      <c r="H12" s="178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77" t="s">
        <v>1161</v>
      </c>
      <c r="C33" s="1778"/>
      <c r="D33" s="1778"/>
      <c r="E33" s="1778"/>
      <c r="F33" s="1778"/>
      <c r="G33" s="1778"/>
      <c r="H33" s="1778"/>
      <c r="I33" s="177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68"/>
      <c r="C34" s="1769"/>
      <c r="D34" s="1769"/>
      <c r="E34" s="1769"/>
      <c r="F34" s="1769"/>
      <c r="G34" s="1769"/>
      <c r="H34" s="1769"/>
      <c r="I34" s="177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71"/>
      <c r="C35" s="1772"/>
      <c r="D35" s="1772"/>
      <c r="E35" s="1772"/>
      <c r="F35" s="1772"/>
      <c r="G35" s="1772"/>
      <c r="H35" s="1772"/>
      <c r="I35" s="177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71"/>
      <c r="C36" s="1772"/>
      <c r="D36" s="1772"/>
      <c r="E36" s="1772"/>
      <c r="F36" s="1772"/>
      <c r="G36" s="1772"/>
      <c r="H36" s="1772"/>
      <c r="I36" s="177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71"/>
      <c r="C37" s="1772"/>
      <c r="D37" s="1772"/>
      <c r="E37" s="1772"/>
      <c r="F37" s="1772"/>
      <c r="G37" s="1772"/>
      <c r="H37" s="1772"/>
      <c r="I37" s="177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71"/>
      <c r="C38" s="1772"/>
      <c r="D38" s="1772"/>
      <c r="E38" s="1772"/>
      <c r="F38" s="1772"/>
      <c r="G38" s="1772"/>
      <c r="H38" s="1772"/>
      <c r="I38" s="177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74"/>
      <c r="C39" s="1775"/>
      <c r="D39" s="1775"/>
      <c r="E39" s="1775"/>
      <c r="F39" s="1775"/>
      <c r="G39" s="1775"/>
      <c r="H39" s="1775"/>
      <c r="I39" s="177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80" t="s">
        <v>1096</v>
      </c>
      <c r="C41" s="1781"/>
      <c r="D41" s="1781"/>
      <c r="E41" s="1781"/>
      <c r="F41" s="1781"/>
      <c r="G41" s="1781"/>
      <c r="H41" s="1781"/>
      <c r="I41" s="178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68"/>
      <c r="C42" s="1769"/>
      <c r="D42" s="1769"/>
      <c r="E42" s="1769"/>
      <c r="F42" s="1769"/>
      <c r="G42" s="1769"/>
      <c r="H42" s="1769"/>
      <c r="I42" s="177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71"/>
      <c r="C43" s="1772"/>
      <c r="D43" s="1772"/>
      <c r="E43" s="1772"/>
      <c r="F43" s="1772"/>
      <c r="G43" s="1772"/>
      <c r="H43" s="1772"/>
      <c r="I43" s="177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71"/>
      <c r="C44" s="1772"/>
      <c r="D44" s="1772"/>
      <c r="E44" s="1772"/>
      <c r="F44" s="1772"/>
      <c r="G44" s="1772"/>
      <c r="H44" s="1772"/>
      <c r="I44" s="177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71"/>
      <c r="C45" s="1772"/>
      <c r="D45" s="1772"/>
      <c r="E45" s="1772"/>
      <c r="F45" s="1772"/>
      <c r="G45" s="1772"/>
      <c r="H45" s="1772"/>
      <c r="I45" s="177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71"/>
      <c r="C46" s="1772"/>
      <c r="D46" s="1772"/>
      <c r="E46" s="1772"/>
      <c r="F46" s="1772"/>
      <c r="G46" s="1772"/>
      <c r="H46" s="1772"/>
      <c r="I46" s="177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74"/>
      <c r="C47" s="1775"/>
      <c r="D47" s="1775"/>
      <c r="E47" s="1775"/>
      <c r="F47" s="1775"/>
      <c r="G47" s="1775"/>
      <c r="H47" s="1775"/>
      <c r="I47" s="177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05" priority="4">
      <formula>$D$20="No"</formula>
    </cfRule>
  </conditionalFormatting>
  <conditionalFormatting sqref="G12:H12">
    <cfRule type="expression" dxfId="1404" priority="1">
      <formula>$G$8="90 days"</formula>
    </cfRule>
    <cfRule type="expression" dxfId="140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91" t="s">
        <v>870</v>
      </c>
      <c r="G2" s="179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85" t="s">
        <v>2083</v>
      </c>
      <c r="AT4" s="1785"/>
      <c r="AU4" s="1785"/>
      <c r="AV4" s="1522" t="s">
        <v>2084</v>
      </c>
      <c r="AW4" s="134"/>
      <c r="AX4" s="134"/>
      <c r="AY4" s="134"/>
      <c r="AZ4" s="134"/>
      <c r="BA4" s="1786" t="s">
        <v>2085</v>
      </c>
      <c r="BB4" s="1787"/>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792">
        <f>SUMIFS($I$6:$I$15,$W6:$W15,"&lt;&gt;End")</f>
        <v>0</v>
      </c>
      <c r="J17" s="1794" t="s">
        <v>1293</v>
      </c>
      <c r="K17" s="1796">
        <f>SUMIFS($K$6:$K$15,$W6:$W15,"&lt;&gt;End")</f>
        <v>0</v>
      </c>
      <c r="L17" s="1794" t="s">
        <v>1294</v>
      </c>
      <c r="M17" s="624"/>
      <c r="N17" s="624"/>
      <c r="O17" s="624"/>
      <c r="P17" s="1792">
        <f>SUMIFS($P$6:$P$15,$F$6:$F$15,"&gt;0",$W6:$W15,"&lt;&gt;End")</f>
        <v>0</v>
      </c>
      <c r="Q17" s="1788" t="s">
        <v>1295</v>
      </c>
      <c r="R17" s="179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793"/>
      <c r="J18" s="1795"/>
      <c r="K18" s="1797"/>
      <c r="L18" s="1795"/>
      <c r="M18" s="624"/>
      <c r="N18" s="624"/>
      <c r="O18" s="624"/>
      <c r="P18" s="1793"/>
      <c r="Q18" s="1789"/>
      <c r="R18" s="179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402" priority="147">
      <formula>$X6="Zip Code Not Serviced"</formula>
    </cfRule>
  </conditionalFormatting>
  <conditionalFormatting sqref="L3:N3">
    <cfRule type="expression" dxfId="1401" priority="143">
      <formula>$AN$4&gt;0</formula>
    </cfRule>
  </conditionalFormatting>
  <conditionalFormatting sqref="T6">
    <cfRule type="expression" dxfId="1400" priority="137">
      <formula>AND($F$6&lt;&gt;"",$G$6&lt;&gt;"",$U$6&lt;&gt;"Prospect")</formula>
    </cfRule>
    <cfRule type="expression" dxfId="1399" priority="138">
      <formula>AND($F$6&lt;&gt;"",$G$6&lt;&gt;"",$U$6="Prospect",$T$6="")</formula>
    </cfRule>
  </conditionalFormatting>
  <conditionalFormatting sqref="T6:W15">
    <cfRule type="expression" dxfId="1398" priority="139">
      <formula>$F6=""</formula>
    </cfRule>
    <cfRule type="notContainsBlanks" dxfId="1397" priority="140">
      <formula>LEN(TRIM(T6))&gt;0</formula>
    </cfRule>
  </conditionalFormatting>
  <conditionalFormatting sqref="P6:W15 M6:N15">
    <cfRule type="expression" dxfId="1396" priority="50">
      <formula>$AN6="FLAG"</formula>
    </cfRule>
  </conditionalFormatting>
  <conditionalFormatting sqref="P6:S15">
    <cfRule type="expression" dxfId="1395" priority="154">
      <formula>$F6=""</formula>
    </cfRule>
    <cfRule type="notContainsBlanks" dxfId="1394" priority="155">
      <formula>LEN(TRIM(P6))&gt;0</formula>
    </cfRule>
  </conditionalFormatting>
  <conditionalFormatting sqref="K6:K14">
    <cfRule type="expression" dxfId="1393" priority="141">
      <formula>$AN6="FLAG"</formula>
    </cfRule>
  </conditionalFormatting>
  <conditionalFormatting sqref="U14">
    <cfRule type="expression" dxfId="1392" priority="128">
      <formula>AND($AP14="Prospect",$BE$14&lt;&gt;"Yes")</formula>
    </cfRule>
  </conditionalFormatting>
  <conditionalFormatting sqref="U13">
    <cfRule type="expression" dxfId="1391" priority="127">
      <formula>AND($AP13="Prospect",$BE$13&lt;&gt;"Yes")</formula>
    </cfRule>
  </conditionalFormatting>
  <conditionalFormatting sqref="U15">
    <cfRule type="expression" dxfId="1390" priority="126">
      <formula>AND($AP15="Prospect",$BE$15&lt;&gt;"Yes")</formula>
    </cfRule>
  </conditionalFormatting>
  <conditionalFormatting sqref="U12">
    <cfRule type="expression" dxfId="1389" priority="125">
      <formula>AND($AP12="Prospect",$BE$12&lt;&gt;"Yes")</formula>
    </cfRule>
  </conditionalFormatting>
  <conditionalFormatting sqref="U11">
    <cfRule type="expression" dxfId="1388" priority="124">
      <formula>AND($AP11="Prospect",$BE$11&lt;&gt;"Yes")</formula>
    </cfRule>
  </conditionalFormatting>
  <conditionalFormatting sqref="U10">
    <cfRule type="expression" dxfId="1387" priority="123">
      <formula>AND($AP10="Prospect",$BE$10&lt;&gt;"Yes")</formula>
    </cfRule>
  </conditionalFormatting>
  <conditionalFormatting sqref="U9">
    <cfRule type="expression" dxfId="1386" priority="122">
      <formula>AND($AP9="Prospect",$BE$9&lt;&gt;"Yes")</formula>
    </cfRule>
  </conditionalFormatting>
  <conditionalFormatting sqref="U8">
    <cfRule type="expression" dxfId="1385" priority="121">
      <formula>AND($AP8="Prospect",$BE$8&lt;&gt;"Yes")</formula>
    </cfRule>
  </conditionalFormatting>
  <conditionalFormatting sqref="U7">
    <cfRule type="expression" dxfId="1384" priority="120">
      <formula>AND($AP7="Prospect",$BE$7&lt;&gt;"Yes")</formula>
    </cfRule>
  </conditionalFormatting>
  <conditionalFormatting sqref="U6">
    <cfRule type="expression" dxfId="1383" priority="119">
      <formula>AND($AP6="Prospect",$BE$6&lt;&gt;"Yes")</formula>
    </cfRule>
  </conditionalFormatting>
  <conditionalFormatting sqref="K6:O14 L15:O15">
    <cfRule type="expression" dxfId="1382" priority="118">
      <formula>P6&lt;&gt;""</formula>
    </cfRule>
  </conditionalFormatting>
  <conditionalFormatting sqref="K6:O14 L15:O15">
    <cfRule type="expression" dxfId="1381" priority="117">
      <formula>$AN6="FLAG"</formula>
    </cfRule>
  </conditionalFormatting>
  <conditionalFormatting sqref="O6:O15">
    <cfRule type="expression" dxfId="1380" priority="116">
      <formula>T6&lt;&gt;""</formula>
    </cfRule>
  </conditionalFormatting>
  <conditionalFormatting sqref="O6:O15">
    <cfRule type="expression" dxfId="1379" priority="115">
      <formula>$AN6="FLAG"</formula>
    </cfRule>
  </conditionalFormatting>
  <conditionalFormatting sqref="G6:H15">
    <cfRule type="notContainsBlanks" dxfId="1378" priority="130">
      <formula>LEN(TRIM(G6))&gt;0</formula>
    </cfRule>
    <cfRule type="expression" dxfId="1377" priority="131">
      <formula>$F6&lt;&gt;""</formula>
    </cfRule>
  </conditionalFormatting>
  <conditionalFormatting sqref="R6:S15">
    <cfRule type="expression" dxfId="1376" priority="530">
      <formula>AND($K6&lt;&gt;"Enter Spend&gt;&gt;&gt;",$U6&lt;&gt;"Prospect")</formula>
    </cfRule>
  </conditionalFormatting>
  <conditionalFormatting sqref="K15">
    <cfRule type="expression" dxfId="1375" priority="101">
      <formula>$AN15="FLAG"</formula>
    </cfRule>
  </conditionalFormatting>
  <conditionalFormatting sqref="K15">
    <cfRule type="expression" dxfId="1374" priority="100">
      <formula>P15&lt;&gt;""</formula>
    </cfRule>
  </conditionalFormatting>
  <conditionalFormatting sqref="K15">
    <cfRule type="expression" dxfId="1373" priority="99">
      <formula>$AN15="FLAG"</formula>
    </cfRule>
  </conditionalFormatting>
  <conditionalFormatting sqref="T7">
    <cfRule type="expression" dxfId="1372" priority="97">
      <formula>AND($F$7&lt;&gt;"",$G$7&lt;&gt;"",$U$7&lt;&gt;"Prospect")</formula>
    </cfRule>
    <cfRule type="expression" dxfId="1371" priority="98">
      <formula>AND($F$7&lt;&gt;"",$G$7&lt;&gt;"",$U$7="Prospect",$T$7="")</formula>
    </cfRule>
  </conditionalFormatting>
  <conditionalFormatting sqref="T8">
    <cfRule type="expression" dxfId="1370" priority="95">
      <formula>AND($F$8&lt;&gt;"",$G$8&lt;&gt;"",$U$8&lt;&gt;"Prospect")</formula>
    </cfRule>
    <cfRule type="expression" dxfId="1369" priority="96">
      <formula>AND($F$8&lt;&gt;"",$G$8&lt;&gt;"",$U$8="Prospect",$T$8="")</formula>
    </cfRule>
  </conditionalFormatting>
  <conditionalFormatting sqref="T9">
    <cfRule type="expression" dxfId="1368" priority="93">
      <formula>AND($F$9&lt;&gt;"",$G$9&lt;&gt;"",$U$9&lt;&gt;"Prospect")</formula>
    </cfRule>
    <cfRule type="expression" dxfId="1367" priority="94">
      <formula>AND($F$9&lt;&gt;"",$G$9&lt;&gt;"",$U$9="Prospect",$T$9="")</formula>
    </cfRule>
  </conditionalFormatting>
  <conditionalFormatting sqref="T10">
    <cfRule type="expression" dxfId="1366" priority="91">
      <formula>AND($F$10&lt;&gt;"",$G$10&lt;&gt;"",$U$10&lt;&gt;"Prospect")</formula>
    </cfRule>
    <cfRule type="expression" dxfId="1365" priority="92">
      <formula>AND($F$10&lt;&gt;"",$G$10&lt;&gt;"",$U$10="Prospect",$T$10="")</formula>
    </cfRule>
  </conditionalFormatting>
  <conditionalFormatting sqref="T11">
    <cfRule type="expression" dxfId="1364" priority="89">
      <formula>AND($F$11&lt;&gt;"",$G$11&lt;&gt;"",$U$11&lt;&gt;"Prospect")</formula>
    </cfRule>
    <cfRule type="expression" dxfId="1363" priority="90">
      <formula>AND($F$11&lt;&gt;"",$G$11&lt;&gt;"",$U$11="Prospect",$T$11="")</formula>
    </cfRule>
  </conditionalFormatting>
  <conditionalFormatting sqref="T12">
    <cfRule type="expression" dxfId="1362" priority="87">
      <formula>AND($F$12&lt;&gt;"",$G$12&lt;&gt;"",$U$12&lt;&gt;"Prospect")</formula>
    </cfRule>
    <cfRule type="expression" dxfId="1361" priority="88">
      <formula>AND($F$12&lt;&gt;"",$G$12&lt;&gt;"",$U$12="Prospect",$T$12="")</formula>
    </cfRule>
  </conditionalFormatting>
  <conditionalFormatting sqref="T13">
    <cfRule type="expression" dxfId="1360" priority="85">
      <formula>AND($F$13&lt;&gt;"",$G$13&lt;&gt;"",$U$13&lt;&gt;"Prospect")</formula>
    </cfRule>
    <cfRule type="expression" dxfId="1359" priority="86">
      <formula>AND($F$13&lt;&gt;"",$G$13&lt;&gt;"",$U$13="Prospect",$T$13="")</formula>
    </cfRule>
  </conditionalFormatting>
  <conditionalFormatting sqref="T14">
    <cfRule type="expression" dxfId="1358" priority="83">
      <formula>AND($F$14&lt;&gt;"",$G$14&lt;&gt;"",$U$14&lt;&gt;"Prospect")</formula>
    </cfRule>
    <cfRule type="expression" dxfId="1357" priority="84">
      <formula>AND($F$14&lt;&gt;"",$G$14&lt;&gt;"",$U$14="Prospect",$T$14="")</formula>
    </cfRule>
  </conditionalFormatting>
  <conditionalFormatting sqref="T15">
    <cfRule type="expression" dxfId="1356" priority="81">
      <formula>AND($F$15&lt;&gt;"",$G$15&lt;&gt;"",$U$15&lt;&gt;"Prospect")</formula>
    </cfRule>
    <cfRule type="expression" dxfId="1355" priority="82">
      <formula>AND($F$15&lt;&gt;"",$G$15&lt;&gt;"",$U$15="Prospect",$T$15="")</formula>
    </cfRule>
  </conditionalFormatting>
  <conditionalFormatting sqref="P6:T15">
    <cfRule type="expression" dxfId="1354" priority="29">
      <formula>$W6="End"</formula>
    </cfRule>
  </conditionalFormatting>
  <conditionalFormatting sqref="R6:S6">
    <cfRule type="expression" dxfId="1353" priority="529">
      <formula>AND($AP6="Existing",$BE$6&lt;&gt;"Yes")</formula>
    </cfRule>
  </conditionalFormatting>
  <conditionalFormatting sqref="R7:S7">
    <cfRule type="expression" dxfId="1352" priority="59">
      <formula>AND($AP7="Existing",$BE$7&lt;&gt;"Yes")</formula>
    </cfRule>
  </conditionalFormatting>
  <conditionalFormatting sqref="R8:S8">
    <cfRule type="expression" dxfId="1351" priority="58">
      <formula>AND($AP8="Existing",$BE$8&lt;&gt;"Yes")</formula>
    </cfRule>
  </conditionalFormatting>
  <conditionalFormatting sqref="R9:S9">
    <cfRule type="expression" dxfId="1350" priority="57">
      <formula>AND($AP9="Existing",$BE$9&lt;&gt;"Yes")</formula>
    </cfRule>
  </conditionalFormatting>
  <conditionalFormatting sqref="R10:S10">
    <cfRule type="expression" dxfId="1349" priority="56">
      <formula>AND($AP10="Existing",$BE$10&lt;&gt;"Yes")</formula>
    </cfRule>
  </conditionalFormatting>
  <conditionalFormatting sqref="R11:S11">
    <cfRule type="expression" dxfId="1348" priority="55">
      <formula>AND($AP11="Existing",$BE$11&lt;&gt;"Yes")</formula>
    </cfRule>
  </conditionalFormatting>
  <conditionalFormatting sqref="R12:S12">
    <cfRule type="expression" dxfId="1347" priority="54">
      <formula>AND($AP12="Existing",$BE$12&lt;&gt;"Yes")</formula>
    </cfRule>
  </conditionalFormatting>
  <conditionalFormatting sqref="R13:S13">
    <cfRule type="expression" dxfId="1346" priority="53">
      <formula>AND($AP13="Existing",$BE$13&lt;&gt;"Yes")</formula>
    </cfRule>
  </conditionalFormatting>
  <conditionalFormatting sqref="R14:S14">
    <cfRule type="expression" dxfId="1345" priority="52">
      <formula>AND($AP14="Existing",$BE$14&lt;&gt;"Yes")</formula>
    </cfRule>
  </conditionalFormatting>
  <conditionalFormatting sqref="R15:S15">
    <cfRule type="expression" dxfId="1344" priority="51">
      <formula>AND($AP15="Existing",$BE$15&lt;&gt;"Yes")</formula>
    </cfRule>
  </conditionalFormatting>
  <conditionalFormatting sqref="Q6">
    <cfRule type="expression" dxfId="1343" priority="68">
      <formula>AND($F$6&lt;&gt;"",$G$6&lt;&gt;"",$U$6&lt;&gt;"Prospect")</formula>
    </cfRule>
    <cfRule type="expression" dxfId="1342" priority="80">
      <formula>AND($F$6&lt;&gt;"",$G$6&lt;&gt;"",$U$6="Prospect",$Q$6="")</formula>
    </cfRule>
  </conditionalFormatting>
  <conditionalFormatting sqref="Q7">
    <cfRule type="expression" dxfId="1341" priority="48">
      <formula>AND($F$7&lt;&gt;"",$G$7&lt;&gt;"",$U$7&lt;&gt;"Prospect")</formula>
    </cfRule>
    <cfRule type="expression" dxfId="1340" priority="49">
      <formula>AND($F$7&lt;&gt;"",$G$7&lt;&gt;"",$U$7="Prospect",$Q$7="")</formula>
    </cfRule>
  </conditionalFormatting>
  <conditionalFormatting sqref="Q8">
    <cfRule type="expression" dxfId="1339" priority="46">
      <formula>AND($F$8&lt;&gt;"",$G$8&lt;&gt;"",$U$8&lt;&gt;"Prospect")</formula>
    </cfRule>
    <cfRule type="expression" dxfId="1338" priority="47">
      <formula>AND($F$8&lt;&gt;"",$G$8&lt;&gt;"",$U$8="Prospect",$Q$8="")</formula>
    </cfRule>
  </conditionalFormatting>
  <conditionalFormatting sqref="Q9">
    <cfRule type="expression" dxfId="1337" priority="44">
      <formula>AND($F$9&lt;&gt;"",$G$9&lt;&gt;"",$U$9&lt;&gt;"Prospect")</formula>
    </cfRule>
    <cfRule type="expression" dxfId="1336" priority="45">
      <formula>AND($F$9&lt;&gt;"",$G$9&lt;&gt;"",$U$9="Prospect",$Q$9="")</formula>
    </cfRule>
  </conditionalFormatting>
  <conditionalFormatting sqref="Q10">
    <cfRule type="expression" dxfId="1335" priority="42">
      <formula>AND($F$10&lt;&gt;"",$G$10&lt;&gt;"",$U$10&lt;&gt;"Prospect")</formula>
    </cfRule>
    <cfRule type="expression" dxfId="1334" priority="43">
      <formula>AND($F$10&lt;&gt;"",$G$10&lt;&gt;"",$U$10="Prospect",$Q$10="")</formula>
    </cfRule>
  </conditionalFormatting>
  <conditionalFormatting sqref="Q11">
    <cfRule type="expression" dxfId="1333" priority="40">
      <formula>AND($F$11&lt;&gt;"",$G$11&lt;&gt;"",$U$11&lt;&gt;"Prospect")</formula>
    </cfRule>
    <cfRule type="expression" dxfId="1332" priority="41">
      <formula>AND($F$11&lt;&gt;"",$G$11&lt;&gt;"",$U$11="Prospect",$Q$11="")</formula>
    </cfRule>
  </conditionalFormatting>
  <conditionalFormatting sqref="Q12">
    <cfRule type="expression" dxfId="1331" priority="38">
      <formula>AND($F$12&lt;&gt;"",$G$12&lt;&gt;"",$U$12&lt;&gt;"Prospect")</formula>
    </cfRule>
    <cfRule type="expression" dxfId="1330" priority="39">
      <formula>AND($F$12&lt;&gt;"",$G$12&lt;&gt;"",$U$12="Prospect",$Q$12="")</formula>
    </cfRule>
  </conditionalFormatting>
  <conditionalFormatting sqref="Q13">
    <cfRule type="expression" dxfId="1329" priority="36">
      <formula>AND($F$13&lt;&gt;"",$G$13&lt;&gt;"",$U$13&lt;&gt;"Prospect")</formula>
    </cfRule>
    <cfRule type="expression" dxfId="1328" priority="37">
      <formula>AND($F$13&lt;&gt;"",$G$13&lt;&gt;"",$U$13="Prospect",$Q$13="")</formula>
    </cfRule>
  </conditionalFormatting>
  <conditionalFormatting sqref="Q14">
    <cfRule type="expression" dxfId="1327" priority="34">
      <formula>AND($F$14&lt;&gt;"",$G$14&lt;&gt;"",$U$14&lt;&gt;"Prospect")</formula>
    </cfRule>
    <cfRule type="expression" dxfId="1326" priority="35">
      <formula>AND($F$14&lt;&gt;"",$G$14&lt;&gt;"",$U$14="Prospect",$Q$14="")</formula>
    </cfRule>
  </conditionalFormatting>
  <conditionalFormatting sqref="Q15">
    <cfRule type="expression" dxfId="1325" priority="32">
      <formula>AND($F$15&lt;&gt;"",$G$15&lt;&gt;"",$U$15&lt;&gt;"Prospect")</formula>
    </cfRule>
    <cfRule type="expression" dxfId="1324" priority="33">
      <formula>AND($F$15&lt;&gt;"",$G$15&lt;&gt;"",$U$15="Prospect",$Q$15="")</formula>
    </cfRule>
  </conditionalFormatting>
  <conditionalFormatting sqref="P7:T7 W7">
    <cfRule type="expression" dxfId="1323" priority="27">
      <formula>AND($BE$7="Yes",$BF$7="End")</formula>
    </cfRule>
  </conditionalFormatting>
  <conditionalFormatting sqref="P8:T8 W8">
    <cfRule type="expression" dxfId="1322" priority="25">
      <formula>AND($BE$8="Yes",$BF$8="End")</formula>
    </cfRule>
  </conditionalFormatting>
  <conditionalFormatting sqref="P9:T9 W9">
    <cfRule type="expression" dxfId="1321" priority="23">
      <formula>AND($BE$9="Yes",$BF$9="End")</formula>
    </cfRule>
  </conditionalFormatting>
  <conditionalFormatting sqref="P10:T10 W10">
    <cfRule type="expression" dxfId="1320" priority="21">
      <formula>AND($BE$10="Yes",$BF$10="End")</formula>
    </cfRule>
  </conditionalFormatting>
  <conditionalFormatting sqref="P11:T11 W11">
    <cfRule type="expression" dxfId="1319" priority="19">
      <formula>AND($BE$11="Yes",$BF$11="End")</formula>
    </cfRule>
  </conditionalFormatting>
  <conditionalFormatting sqref="P12:T12 W12">
    <cfRule type="expression" dxfId="1318" priority="17">
      <formula>AND($BE$12="Yes",$BF$12="End")</formula>
    </cfRule>
  </conditionalFormatting>
  <conditionalFormatting sqref="P13:T13 W13">
    <cfRule type="expression" dxfId="1317" priority="15">
      <formula>AND($BE$13="Yes",$BF$13="End")</formula>
    </cfRule>
  </conditionalFormatting>
  <conditionalFormatting sqref="P14:T14 W14">
    <cfRule type="expression" dxfId="1316" priority="13">
      <formula>AND($BE$14="Yes",$BF$14="End")</formula>
    </cfRule>
  </conditionalFormatting>
  <conditionalFormatting sqref="P15:T15 W15">
    <cfRule type="expression" dxfId="131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14" sqref="D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801" t="str">
        <f>IFERROR(VLOOKUP($H$4,'Market Geography'!$D:$G,4,FALSE),"Select Market")</f>
        <v>Select Market</v>
      </c>
      <c r="I3" s="1802"/>
      <c r="J3" s="1802"/>
      <c r="K3" s="180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98">
        <f>Welcome!$D$4</f>
        <v>0</v>
      </c>
      <c r="I4" s="1799"/>
      <c r="J4" s="1799"/>
      <c r="K4" s="180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98" t="str">
        <f>'Multi-Customer'!$S$49</f>
        <v>Enter Customer(s)</v>
      </c>
      <c r="I5" s="1799"/>
      <c r="J5" s="1799"/>
      <c r="K5" s="180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98" t="str">
        <f>'Multi-Customer'!$AH$40</f>
        <v>MULTIPLE TYPES</v>
      </c>
      <c r="I6" s="1799"/>
      <c r="J6" s="1799"/>
      <c r="K6" s="180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804" t="s">
        <v>206</v>
      </c>
      <c r="I7" s="1805"/>
      <c r="J7" s="1805"/>
      <c r="K7" s="1806"/>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28"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813">
        <f>IF(G14&gt;0,'Multi-Customer'!$K18*'PIM Ranges'!$AP16,'Multi-Customer'!N18)</f>
        <v>0</v>
      </c>
      <c r="T14" s="813">
        <f>IF(G14&gt;0,'Multi-Customer'!$L18*'PIM Ranges'!$AP16,'Multi-Customer'!O18)</f>
        <v>0</v>
      </c>
      <c r="U14" s="813">
        <f>IF(G14&gt;0,'Multi-Customer'!$M18*'PIM Ranges'!$AP16,'Multi-Customer'!P18)</f>
        <v>0</v>
      </c>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09" t="s">
        <v>119</v>
      </c>
      <c r="H33" s="1810"/>
      <c r="I33" s="390">
        <f>IF($E$3="MDA",'PIM Ranges'!$AZ$7,'PIM Ranges'!$BL$7)</f>
        <v>8.8999999999999996E-2</v>
      </c>
      <c r="J33" s="134"/>
      <c r="K33" s="1811" t="str">
        <f>IF(COUNTIF($AB$10:$AB$30,"ERROR")&lt;1,"",IF(COUNTIF($AB$10:$AB$30,"ERROR")&lt;2,(COUNTIF($AB$10:$AB$30,"ERROR")&amp;" Margin Missing Above"),(COUNTIF($AB$10:$AB$30,"ERROR")&amp;" Margins Missing Above")))</f>
        <v/>
      </c>
      <c r="L33" s="181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07" t="s">
        <v>488</v>
      </c>
      <c r="H34" s="1808"/>
      <c r="I34" s="386">
        <f>J31</f>
        <v>0</v>
      </c>
      <c r="J34" s="134"/>
      <c r="K34" s="1811" t="str">
        <f>IF(COUNTIFS($L$10:$L$30,"X",$AF$10:$AF$30,"BELOW")&lt;1,"",IF(COUNTIFS($L$10:$L$30,"X",$AF$10:$AF$30,"BELOW")&lt;2,(COUNTIFS($L$10:$L$30,"X",$AF$10:$AF$30,"BELOW")&amp;" Margin Below Minimum"),(COUNTIFS($L$10:$L$30,"X",$AF$10:$AF$30,"BELOW")&amp;" Margins Below Minimum")))</f>
        <v/>
      </c>
      <c r="L34" s="18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07" t="s">
        <v>1249</v>
      </c>
      <c r="H35" s="1808"/>
      <c r="I35" s="1533" t="str">
        <f>IFERROR(I34/G31,"")</f>
        <v/>
      </c>
      <c r="K35" s="1811" t="str">
        <f>IF(COUNTIFS($L$10:$L$30,"X",$AF$10:$AF$30,"ABOVE")&lt;1,"",IF(COUNTIFS($L$10:$L$30,"X",$AF$10:$AF$30,"ABOVE")&lt;2,(COUNTIFS($L$10:$L$30,"X",$AF$10:$AF$30,"ABOVE")&amp;" Margin Above Maximum"),(COUNTIFS($L$10:$L$30,"X",$AF$10:$AF$30,"ABOVE")&amp;" Margins Above Maximum")))</f>
        <v/>
      </c>
      <c r="L35" s="18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07"/>
      <c r="H36" s="1808"/>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07" t="str">
        <f>IFERROR(IF(I35&gt;I33,"","Below Recommended TAGP: "),"")</f>
        <v/>
      </c>
      <c r="H37" s="1808"/>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07"/>
      <c r="H38" s="1808"/>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07" t="s">
        <v>1250</v>
      </c>
      <c r="H39" s="1808"/>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12" t="s">
        <v>489</v>
      </c>
      <c r="H40" s="1813"/>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14"/>
      <c r="G52" s="181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14"/>
      <c r="G53" s="181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14"/>
      <c r="G54" s="181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304" priority="44">
      <formula>$E10="EXCLUDE"</formula>
    </cfRule>
  </conditionalFormatting>
  <conditionalFormatting sqref="O8:O9">
    <cfRule type="expression" dxfId="1303" priority="46">
      <formula>$E$3="CIA"</formula>
    </cfRule>
  </conditionalFormatting>
  <conditionalFormatting sqref="Q8:Q9">
    <cfRule type="expression" dxfId="1302" priority="45">
      <formula>$E$3="CIA"</formula>
    </cfRule>
  </conditionalFormatting>
  <conditionalFormatting sqref="K9:K30">
    <cfRule type="expression" dxfId="1301" priority="35">
      <formula>$E$3="CIA"</formula>
    </cfRule>
  </conditionalFormatting>
  <conditionalFormatting sqref="L10:L30">
    <cfRule type="expression" dxfId="1300" priority="36">
      <formula>$AF10="ABOVE"</formula>
    </cfRule>
  </conditionalFormatting>
  <conditionalFormatting sqref="I35">
    <cfRule type="expression" dxfId="1299" priority="106">
      <formula>$K$36&gt;0</formula>
    </cfRule>
    <cfRule type="expression" dxfId="1298" priority="107">
      <formula>$I$35&lt;$I$33</formula>
    </cfRule>
    <cfRule type="expression" dxfId="1297" priority="108">
      <formula>$I$35&gt;$I$33</formula>
    </cfRule>
  </conditionalFormatting>
  <conditionalFormatting sqref="D10:D30">
    <cfRule type="expression" dxfId="1296" priority="47">
      <formula>$E$3="CIA"</formula>
    </cfRule>
  </conditionalFormatting>
  <conditionalFormatting sqref="K27">
    <cfRule type="expression" dxfId="1295" priority="32">
      <formula>$K$27&lt;0</formula>
    </cfRule>
  </conditionalFormatting>
  <conditionalFormatting sqref="O10:Q30">
    <cfRule type="expression" dxfId="1294" priority="30">
      <formula>$D10&lt;&gt;"%"</formula>
    </cfRule>
  </conditionalFormatting>
  <conditionalFormatting sqref="O10:O30">
    <cfRule type="expression" dxfId="1293" priority="29">
      <formula>$E$3="CIA"</formula>
    </cfRule>
  </conditionalFormatting>
  <conditionalFormatting sqref="Q10:Q30">
    <cfRule type="expression" dxfId="1292" priority="28">
      <formula>$E$3="CIA"</formula>
    </cfRule>
  </conditionalFormatting>
  <conditionalFormatting sqref="S10:S13 S15:S30">
    <cfRule type="expression" dxfId="1291" priority="4">
      <formula>$E$3="CIA"</formula>
    </cfRule>
  </conditionalFormatting>
  <conditionalFormatting sqref="U10:U13 U15:U30">
    <cfRule type="expression" dxfId="1290" priority="3">
      <formula>$E$3="CIA"</formula>
    </cfRule>
  </conditionalFormatting>
  <conditionalFormatting sqref="S14">
    <cfRule type="expression" dxfId="1289" priority="2">
      <formula>$E$3="CIA"</formula>
    </cfRule>
  </conditionalFormatting>
  <conditionalFormatting sqref="U14">
    <cfRule type="expression" dxfId="128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8"/>
      <c r="R1" s="972">
        <v>0</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0</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3"/>
      <c r="D3" s="455"/>
      <c r="G3" s="906" t="s">
        <v>1156</v>
      </c>
      <c r="H3" s="1838" t="str">
        <f>Welcome!$D$10</f>
        <v>Please Select</v>
      </c>
      <c r="I3" s="1839"/>
      <c r="J3" s="821"/>
      <c r="K3" s="906" t="s">
        <v>110</v>
      </c>
      <c r="L3" s="1840" t="str">
        <f>IFERROR(VLOOKUP($L$4,'Market Geography'!$D:$G,4,FALSE),"Select Market")</f>
        <v>Select Market</v>
      </c>
      <c r="M3" s="1841"/>
      <c r="N3" s="620"/>
      <c r="O3" s="620"/>
      <c r="P3" s="620"/>
      <c r="Q3" s="179"/>
      <c r="R3" s="971">
        <v>0</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1472</v>
      </c>
      <c r="E4" s="1339" t="s">
        <v>646</v>
      </c>
      <c r="G4" s="907" t="s">
        <v>1157</v>
      </c>
      <c r="H4" s="1842" t="str">
        <f>Welcome!$D$16</f>
        <v>Select Term</v>
      </c>
      <c r="I4" s="1843"/>
      <c r="J4" s="181"/>
      <c r="K4" s="907" t="s">
        <v>840</v>
      </c>
      <c r="L4" s="1844">
        <f>Welcome!$D$4</f>
        <v>0</v>
      </c>
      <c r="M4" s="1845"/>
      <c r="N4" s="620"/>
      <c r="O4" s="620"/>
      <c r="P4" s="620"/>
      <c r="Q4" s="179"/>
      <c r="R4" s="971">
        <v>0</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846">
        <f>'PIM Model'!$G$31</f>
        <v>0</v>
      </c>
      <c r="I5" s="1847"/>
      <c r="J5" s="821"/>
      <c r="K5" s="907" t="s">
        <v>107</v>
      </c>
      <c r="L5" s="1844" t="str">
        <f>'Multi-Customer'!$S$49</f>
        <v>Enter Customer(s)</v>
      </c>
      <c r="M5" s="1845"/>
      <c r="N5" s="620"/>
      <c r="O5" s="620"/>
      <c r="P5" s="620"/>
      <c r="Q5" s="179"/>
      <c r="R5" s="971">
        <v>0</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2035</v>
      </c>
      <c r="E6" s="847" t="s">
        <v>648</v>
      </c>
      <c r="G6" s="907" t="s">
        <v>1163</v>
      </c>
      <c r="H6" s="1848">
        <f>'Variable Costs (Back)'!$K$26</f>
        <v>0</v>
      </c>
      <c r="I6" s="1849"/>
      <c r="J6" s="821"/>
      <c r="K6" s="907" t="s">
        <v>1170</v>
      </c>
      <c r="L6" s="1844" t="str">
        <f>'Multi-Customer'!$AH$40</f>
        <v>MULTIPLE TYPES</v>
      </c>
      <c r="M6" s="1845"/>
      <c r="N6" s="620"/>
      <c r="O6" s="620"/>
      <c r="P6" s="620"/>
      <c r="Q6" s="179"/>
      <c r="R6" s="971">
        <v>0</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850">
        <f>IFERROR('PIM Ranges'!$AW$3,0)</f>
        <v>0</v>
      </c>
      <c r="I7" s="1851"/>
      <c r="J7" s="821"/>
      <c r="K7" s="908" t="s">
        <v>1165</v>
      </c>
      <c r="L7" s="1852" t="s">
        <v>206</v>
      </c>
      <c r="M7" s="1853"/>
      <c r="N7" s="828"/>
      <c r="O7" s="828"/>
      <c r="P7" s="828"/>
      <c r="Q7" s="179"/>
      <c r="R7" s="971">
        <v>0</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832" t="s">
        <v>1776</v>
      </c>
      <c r="E8" s="1834" t="str">
        <f>IF('Incentive Helper'!E2="Yes",'Incentive Helper'!F2,"")</f>
        <v/>
      </c>
      <c r="F8" s="136"/>
      <c r="I8" s="177"/>
      <c r="J8" s="177"/>
      <c r="K8" s="177"/>
      <c r="L8" s="177"/>
      <c r="M8" s="177"/>
      <c r="N8" s="177"/>
      <c r="O8" s="177"/>
      <c r="P8" s="177"/>
      <c r="Q8" s="182"/>
      <c r="R8" s="971">
        <v>0</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833"/>
      <c r="E9" s="1835"/>
      <c r="F9" s="136"/>
      <c r="G9" s="909" t="s">
        <v>849</v>
      </c>
      <c r="H9" s="1830">
        <f>IFERROR('PIM Model'!$G$31,0)</f>
        <v>0</v>
      </c>
      <c r="I9" s="1831"/>
      <c r="L9" s="177"/>
      <c r="M9" s="177"/>
      <c r="N9" s="177"/>
      <c r="O9" s="177"/>
      <c r="P9" s="177"/>
      <c r="Q9" s="182"/>
      <c r="R9" s="971">
        <v>0</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862">
        <f>IFERROR('PIM Model'!$G$32,0)</f>
        <v>0</v>
      </c>
      <c r="I10" s="1863"/>
      <c r="L10" s="177"/>
      <c r="M10" s="177"/>
      <c r="N10" s="177"/>
      <c r="O10" s="177"/>
      <c r="P10" s="177"/>
      <c r="Q10" s="182"/>
      <c r="R10" s="971">
        <v>0</v>
      </c>
      <c r="S10" s="1854" t="s">
        <v>1520</v>
      </c>
      <c r="T10" s="1854"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0</v>
      </c>
      <c r="S11" s="1854"/>
      <c r="T11" s="1854"/>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859" t="s">
        <v>851</v>
      </c>
      <c r="E12" s="1859"/>
      <c r="F12" s="185"/>
      <c r="G12" s="1860"/>
      <c r="H12" s="1861"/>
      <c r="I12" s="186"/>
      <c r="J12" s="1836"/>
      <c r="K12" s="1836"/>
      <c r="L12" s="184"/>
      <c r="M12" s="184"/>
      <c r="N12" s="184"/>
      <c r="O12" s="1815" t="str">
        <f>IF(COUNTIF($K$19:$K$23,"&gt;.03")&gt;0,"***Warning:You have entered an Rate % of Sales above the recommended 3%***","")</f>
        <v/>
      </c>
      <c r="P12" s="1816"/>
      <c r="Q12" s="179"/>
      <c r="R12" s="971">
        <v>0</v>
      </c>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817"/>
      <c r="P13" s="1818"/>
      <c r="Q13" s="179"/>
      <c r="R13" s="971">
        <v>0</v>
      </c>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817"/>
      <c r="P14" s="1818"/>
      <c r="Q14" s="179"/>
      <c r="R14" s="971">
        <v>0</v>
      </c>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817"/>
      <c r="P15" s="1818"/>
      <c r="Q15" s="179"/>
      <c r="R15" s="971">
        <v>0</v>
      </c>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817"/>
      <c r="P16" s="1818"/>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827"/>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827"/>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827"/>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827"/>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859" t="s">
        <v>851</v>
      </c>
      <c r="E26" s="1859"/>
      <c r="F26" s="185"/>
      <c r="G26" s="1860"/>
      <c r="H26" s="1861"/>
      <c r="I26" s="186"/>
      <c r="J26" s="1836"/>
      <c r="K26" s="1836"/>
      <c r="L26" s="184"/>
      <c r="M26" s="184"/>
      <c r="N26" s="184"/>
      <c r="O26" s="1815" t="str">
        <f>IF(COUNTIF($K$33:$K$37,"&gt;.03")&gt;0,"***Warning:You have entered an Rate % of Sales above the recommended 3%***","")</f>
        <v/>
      </c>
      <c r="P26" s="1816"/>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817"/>
      <c r="P27" s="1818"/>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817"/>
      <c r="P28" s="1818"/>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817"/>
      <c r="P29" s="1818"/>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817"/>
      <c r="P30" s="1818"/>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827"/>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827"/>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827"/>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827"/>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827"/>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859" t="s">
        <v>851</v>
      </c>
      <c r="E40" s="1859"/>
      <c r="F40" s="185"/>
      <c r="G40" s="1860"/>
      <c r="H40" s="1861"/>
      <c r="I40" s="186"/>
      <c r="J40" s="1836"/>
      <c r="K40" s="1836"/>
      <c r="L40" s="184"/>
      <c r="M40" s="184"/>
      <c r="N40" s="184"/>
      <c r="O40" s="1815" t="str">
        <f>IF(COUNTIF($K$47:$K$51,"&gt;.03")&gt;0,"***Warning:You have entered an Rate % of Sales above the recommended 3%***","")</f>
        <v/>
      </c>
      <c r="P40" s="1816"/>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817"/>
      <c r="P41" s="1818"/>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817"/>
      <c r="P42" s="1818"/>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817"/>
      <c r="P43" s="1818"/>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817"/>
      <c r="P44" s="1818"/>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827"/>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827"/>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827"/>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827"/>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827"/>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820" t="s">
        <v>217</v>
      </c>
      <c r="E54" s="1820"/>
      <c r="F54" s="213"/>
      <c r="G54" s="214"/>
      <c r="H54" s="823"/>
      <c r="I54" s="215"/>
      <c r="J54" s="184"/>
      <c r="K54" s="216"/>
      <c r="L54" s="184"/>
      <c r="M54" s="217"/>
      <c r="N54" s="217"/>
      <c r="O54" s="1825" t="str">
        <f>IF(COUNTIF($K$61:$K$65,"&gt;.03")&gt;0,"***Warning:You have entered an Rate % of Sales above the recommended 3%***","")</f>
        <v/>
      </c>
      <c r="P54" s="1826"/>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827"/>
      <c r="P55" s="1828"/>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827"/>
      <c r="P56" s="1828"/>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827"/>
      <c r="P57" s="1828"/>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827"/>
      <c r="P58" s="1828"/>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19"/>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819"/>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819"/>
      <c r="N62" s="688"/>
      <c r="O62" s="688"/>
      <c r="P62" s="190"/>
      <c r="Q62" s="179"/>
      <c r="R62" s="177"/>
      <c r="S62" s="593"/>
      <c r="T62" s="177"/>
      <c r="U62" s="177"/>
      <c r="V62" s="177"/>
      <c r="W62" s="999" t="str">
        <f>IF(E325="Yes","NCA10","")</f>
        <v/>
      </c>
      <c r="X62" s="999" t="str">
        <f>IF($W62&lt;&gt;"",E326,"")</f>
        <v/>
      </c>
      <c r="Y62" s="999" t="str">
        <f>IF(AND($W62&lt;&gt;"",$X62&lt;&gt;"Please Select"),IF(G326="","Yes","No"),"No")</f>
        <v>No</v>
      </c>
      <c r="Z62" s="999" t="str">
        <f>IF(AND($W62&lt;&gt;"",$X62&lt;&gt;"Please Select"),IF(I326="","Yes","No"),"No")</f>
        <v>No</v>
      </c>
      <c r="AA62" s="1579" t="str">
        <f>IF(AND($W62&lt;&gt;"",$X62&lt;&gt;"Please Select"),IF(K326="","Yes","No"),"No")</f>
        <v>No</v>
      </c>
      <c r="AB62" s="999" t="str">
        <f>IF(AND($W62&lt;&gt;"",AND(I326&lt;&gt;"Check",K326&lt;&gt;"Customer Units")),IF(M326="","Yes","No"),"No")</f>
        <v>No</v>
      </c>
      <c r="AC62" s="177"/>
      <c r="AD62" s="999" t="str">
        <f>IF(X62&lt;&gt;"",IF(K329="","Yes","No"),"No")</f>
        <v>No</v>
      </c>
      <c r="AE62" s="1724"/>
      <c r="AF62" s="1724"/>
      <c r="AG62" s="1724"/>
      <c r="AH62" s="1724"/>
      <c r="AI62" s="1724"/>
      <c r="AJ62" s="1724"/>
      <c r="AK62" s="1724"/>
      <c r="AL62" s="1724"/>
      <c r="AM62" s="1724"/>
      <c r="AN62" s="259" t="str">
        <f>IF(X62&lt;&gt;"",IF(G332="","Yes","No"),"No")</f>
        <v>No</v>
      </c>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819"/>
      <c r="N63" s="1383"/>
      <c r="O63" s="1383"/>
      <c r="P63" s="190"/>
      <c r="Q63" s="179"/>
      <c r="R63" s="177"/>
      <c r="S63" s="593"/>
      <c r="T63" s="177"/>
      <c r="U63" s="177"/>
      <c r="V63" s="177"/>
      <c r="W63" s="999" t="str">
        <f>IF(E336="Yes","NCA11","")</f>
        <v/>
      </c>
      <c r="X63" s="999" t="str">
        <f>IF($W63&lt;&gt;"",E337,"")</f>
        <v/>
      </c>
      <c r="Y63" s="999" t="str">
        <f>IF(AND($W63&lt;&gt;"",$X63&lt;&gt;"Please Select"),IF(G337="","Yes","No"),"No")</f>
        <v>No</v>
      </c>
      <c r="Z63" s="999" t="str">
        <f>IF(AND($W63&lt;&gt;"",$X63&lt;&gt;"Please Select"),IF(I337="","Yes","No"),"No")</f>
        <v>No</v>
      </c>
      <c r="AA63" s="1579" t="str">
        <f>IF(AND($W63&lt;&gt;"",$X63&lt;&gt;"Please Select"),IF(K337="","Yes","No"),"No")</f>
        <v>No</v>
      </c>
      <c r="AB63" s="999" t="str">
        <f>IF(AND($W63&lt;&gt;"",AND(I337&lt;&gt;"Check",K337&lt;&gt;"Customer Units")),IF(M337="","Yes","No"),"No")</f>
        <v>No</v>
      </c>
      <c r="AC63" s="177"/>
      <c r="AD63" s="999" t="str">
        <f>IF(X63&lt;&gt;"",IF(K340="","Yes","No"),"No")</f>
        <v>No</v>
      </c>
      <c r="AE63" s="1724"/>
      <c r="AF63" s="1724"/>
      <c r="AG63" s="1724"/>
      <c r="AH63" s="1724"/>
      <c r="AI63" s="1724"/>
      <c r="AJ63" s="1724"/>
      <c r="AK63" s="1724"/>
      <c r="AL63" s="1724"/>
      <c r="AM63" s="1724"/>
      <c r="AN63" s="259" t="str">
        <f>IF(X63&lt;&gt;"",IF(G343="","Yes","No"),"No")</f>
        <v>No</v>
      </c>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819"/>
      <c r="N64" s="688"/>
      <c r="O64" s="688"/>
      <c r="P64" s="190"/>
      <c r="Q64" s="179"/>
      <c r="R64" s="177"/>
      <c r="S64" s="593"/>
      <c r="T64" s="177"/>
      <c r="U64" s="177"/>
      <c r="V64" s="177"/>
      <c r="W64" s="177"/>
      <c r="X64" s="177"/>
      <c r="Y64" s="177"/>
      <c r="Z64" s="177"/>
      <c r="AA64" s="177"/>
      <c r="AB64" s="177"/>
      <c r="AC64" s="177"/>
    </row>
    <row r="65" spans="1:40"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40"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999" t="str">
        <f>IF(E347="Yes","NCA12","")</f>
        <v/>
      </c>
      <c r="X66" s="999" t="str">
        <f>IF($W66&lt;&gt;"",E348,"")</f>
        <v/>
      </c>
      <c r="Y66" s="999" t="str">
        <f>IF(AND($W66&lt;&gt;"",$X66&lt;&gt;"Please Select"),IF(G348="","Yes","No"),"No")</f>
        <v>No</v>
      </c>
      <c r="Z66" s="999" t="str">
        <f>IF(AND($W66&lt;&gt;"",$X66&lt;&gt;"Please Select"),IF(I348="","Yes","No"),"No")</f>
        <v>No</v>
      </c>
      <c r="AA66" s="1579" t="str">
        <f>IF(AND($W66&lt;&gt;"",$X66&lt;&gt;"Please Select"),IF(K348="","Yes","No"),"No")</f>
        <v>No</v>
      </c>
      <c r="AB66" s="999" t="str">
        <f>IF(AND($W66&lt;&gt;"",AND(I348&lt;&gt;"Check",K348&lt;&gt;"Customer Units")),IF(M348="","Yes","No"),"No")</f>
        <v>No</v>
      </c>
      <c r="AC66" s="177"/>
      <c r="AD66" s="999" t="str">
        <f>IF(X66&lt;&gt;"",IF(K351="","Yes","No"),"No")</f>
        <v>No</v>
      </c>
      <c r="AE66" s="1724"/>
      <c r="AF66" s="1724"/>
      <c r="AG66" s="1724"/>
      <c r="AH66" s="1724"/>
      <c r="AI66" s="1724"/>
      <c r="AJ66" s="1724"/>
      <c r="AK66" s="1724"/>
      <c r="AL66" s="1724"/>
      <c r="AM66" s="1724"/>
      <c r="AN66" s="259" t="str">
        <f>IF(X66&lt;&gt;"",IF(G354="","Yes","No"),"No")</f>
        <v>No</v>
      </c>
    </row>
    <row r="67" spans="1:40" s="134" customFormat="1" ht="9" customHeight="1" x14ac:dyDescent="0.25">
      <c r="A67" s="177"/>
      <c r="B67" s="177"/>
      <c r="C67" s="1379"/>
      <c r="D67" s="926"/>
      <c r="E67" s="837"/>
      <c r="F67" s="207"/>
      <c r="G67" s="838"/>
      <c r="H67" s="209"/>
      <c r="I67" s="839"/>
      <c r="K67" s="840"/>
      <c r="M67" s="841"/>
      <c r="N67" s="841"/>
      <c r="O67" s="841"/>
      <c r="P67" s="141"/>
      <c r="Q67" s="532"/>
      <c r="S67" s="594"/>
      <c r="W67" s="999" t="str">
        <f>IF(E358="Yes","NCA13","")</f>
        <v/>
      </c>
      <c r="X67" s="999" t="str">
        <f>IF($W67&lt;&gt;"",E359,"")</f>
        <v/>
      </c>
      <c r="Y67" s="999" t="str">
        <f>IF(AND($W67&lt;&gt;"",$X67&lt;&gt;"Please Select"),IF(G359="","Yes","No"),"No")</f>
        <v>No</v>
      </c>
      <c r="Z67" s="999" t="str">
        <f>IF(AND($W67&lt;&gt;"",$X67&lt;&gt;"Please Select"),IF(I359="","Yes","No"),"No")</f>
        <v>No</v>
      </c>
      <c r="AA67" s="1579" t="str">
        <f>IF(AND($W67&lt;&gt;"",$X67&lt;&gt;"Please Select"),IF(K359="","Yes","No"),"No")</f>
        <v>No</v>
      </c>
      <c r="AB67" s="999" t="str">
        <f>IF(AND($W67&lt;&gt;"",AND(I359&lt;&gt;"Check",K359&lt;&gt;"Customer Units")),IF(M359="","Yes","No"),"No")</f>
        <v>No</v>
      </c>
      <c r="AC67" s="177"/>
      <c r="AD67" s="999" t="str">
        <f>IF(X67&lt;&gt;"",IF(K362="","Yes","No"),"No")</f>
        <v>No</v>
      </c>
      <c r="AE67" s="1724"/>
      <c r="AF67" s="1724"/>
      <c r="AG67" s="1724"/>
      <c r="AH67" s="1724"/>
      <c r="AI67" s="1724"/>
      <c r="AJ67" s="1724"/>
      <c r="AK67" s="1724"/>
      <c r="AL67" s="1724"/>
      <c r="AM67" s="1724"/>
      <c r="AN67" s="259" t="str">
        <f>IF(X67&lt;&gt;"",IF(G365="","Yes","No"),"No")</f>
        <v>No</v>
      </c>
    </row>
    <row r="68" spans="1:40" s="822" customFormat="1" ht="21.75" hidden="1" customHeight="1" thickBot="1" x14ac:dyDescent="0.25">
      <c r="A68" s="248"/>
      <c r="B68" s="248"/>
      <c r="C68" s="1374"/>
      <c r="D68" s="1820" t="s">
        <v>217</v>
      </c>
      <c r="E68" s="1820"/>
      <c r="F68" s="213"/>
      <c r="G68" s="214"/>
      <c r="H68" s="823"/>
      <c r="I68" s="215"/>
      <c r="J68" s="184"/>
      <c r="K68" s="216"/>
      <c r="L68" s="184"/>
      <c r="M68" s="217"/>
      <c r="N68" s="217"/>
      <c r="O68" s="1825" t="str">
        <f>IF(COUNTIF($K$75:$K$79,"&gt;.03")&gt;0,"***Warning:You have entered an Rate % of Sales above the recommended 3%***","")</f>
        <v/>
      </c>
      <c r="P68" s="1826"/>
      <c r="Q68" s="179"/>
      <c r="R68" s="177"/>
      <c r="S68" s="593"/>
      <c r="T68" s="177"/>
      <c r="U68" s="177"/>
      <c r="V68" s="177"/>
      <c r="W68" s="177"/>
      <c r="X68" s="177"/>
      <c r="Y68" s="177"/>
      <c r="Z68" s="177"/>
      <c r="AA68" s="177"/>
      <c r="AB68" s="177"/>
      <c r="AC68" s="177"/>
    </row>
    <row r="69" spans="1:40"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827"/>
      <c r="P69" s="1828"/>
      <c r="Q69" s="179"/>
      <c r="R69" s="177"/>
      <c r="S69" s="593"/>
      <c r="T69" s="177"/>
      <c r="U69" s="177"/>
      <c r="V69" s="177"/>
      <c r="W69" s="177"/>
      <c r="X69" s="177"/>
      <c r="Y69" s="177"/>
      <c r="Z69" s="177"/>
      <c r="AA69" s="177"/>
      <c r="AB69" s="177"/>
      <c r="AC69" s="177"/>
    </row>
    <row r="70" spans="1:40"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827"/>
      <c r="P70" s="1828"/>
      <c r="Q70" s="179"/>
      <c r="R70" s="177"/>
      <c r="S70" s="593"/>
      <c r="T70" s="177"/>
      <c r="U70" s="177"/>
      <c r="V70" s="177"/>
      <c r="W70" s="177"/>
      <c r="X70" s="177"/>
      <c r="Y70" s="177"/>
      <c r="Z70" s="177"/>
      <c r="AA70" s="177"/>
      <c r="AB70" s="177"/>
      <c r="AC70" s="177"/>
    </row>
    <row r="71" spans="1:40" s="822" customFormat="1" ht="18" hidden="1" customHeight="1" thickBot="1" x14ac:dyDescent="0.25">
      <c r="A71" s="243"/>
      <c r="B71" s="243"/>
      <c r="C71" s="465"/>
      <c r="D71" s="7"/>
      <c r="E71" s="145"/>
      <c r="F71" s="219"/>
      <c r="G71" s="554"/>
      <c r="H71" s="554"/>
      <c r="I71" s="220"/>
      <c r="J71" s="145"/>
      <c r="K71" s="145"/>
      <c r="L71" s="145"/>
      <c r="M71" s="145"/>
      <c r="N71" s="145"/>
      <c r="O71" s="1827"/>
      <c r="P71" s="1828"/>
      <c r="Q71" s="179"/>
      <c r="R71" s="177"/>
      <c r="S71" s="593" t="str">
        <f>IF($E71="NO","",IF($I70="Select Payment Method","X",""))</f>
        <v/>
      </c>
      <c r="T71" s="177"/>
      <c r="U71" s="177"/>
      <c r="V71" s="177"/>
      <c r="W71" s="177"/>
      <c r="X71" s="177"/>
      <c r="Y71" s="177"/>
      <c r="Z71" s="177"/>
      <c r="AA71" s="177"/>
      <c r="AB71" s="177"/>
      <c r="AC71" s="177"/>
    </row>
    <row r="72" spans="1:40"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827"/>
      <c r="P72" s="1828"/>
      <c r="Q72" s="179"/>
      <c r="R72" s="177"/>
      <c r="S72" s="593"/>
      <c r="T72" s="177"/>
      <c r="U72" s="177"/>
      <c r="V72" s="177"/>
      <c r="W72" s="177"/>
      <c r="X72" s="177"/>
      <c r="Y72" s="177"/>
      <c r="Z72" s="177"/>
      <c r="AA72" s="177"/>
      <c r="AB72" s="177"/>
      <c r="AC72" s="177"/>
    </row>
    <row r="73" spans="1:40"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40" s="822" customFormat="1" ht="18" hidden="1" customHeight="1" thickBot="1" x14ac:dyDescent="0.25">
      <c r="A74" s="243"/>
      <c r="B74" s="243"/>
      <c r="C74" s="465"/>
      <c r="D74" s="927"/>
      <c r="E74" s="197"/>
      <c r="F74" s="196"/>
      <c r="G74" s="194" t="s">
        <v>1387</v>
      </c>
      <c r="H74" s="554"/>
      <c r="I74" s="194" t="s">
        <v>1388</v>
      </c>
      <c r="J74" s="197"/>
      <c r="K74" s="194" t="s">
        <v>1389</v>
      </c>
      <c r="L74" s="197"/>
      <c r="M74" s="1819"/>
      <c r="N74" s="195"/>
      <c r="O74" s="6" t="s">
        <v>490</v>
      </c>
      <c r="P74" s="190"/>
      <c r="Q74" s="179"/>
      <c r="R74" s="177"/>
      <c r="S74" s="593"/>
      <c r="T74" s="177"/>
      <c r="U74" s="177"/>
      <c r="V74" s="177"/>
      <c r="W74" s="177"/>
      <c r="X74" s="177"/>
      <c r="Y74" s="177"/>
      <c r="Z74" s="177"/>
      <c r="AA74" s="177"/>
      <c r="AB74" s="177"/>
      <c r="AC74" s="177"/>
    </row>
    <row r="75" spans="1:40"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819"/>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40"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819"/>
      <c r="N76" s="688"/>
      <c r="O76" s="688"/>
      <c r="P76" s="190"/>
      <c r="Q76" s="179"/>
      <c r="R76" s="177"/>
      <c r="S76" s="593"/>
      <c r="T76" s="177"/>
      <c r="U76" s="177"/>
      <c r="V76" s="177"/>
      <c r="W76" s="177"/>
      <c r="X76" s="177"/>
      <c r="Y76" s="177"/>
      <c r="Z76" s="177"/>
      <c r="AA76" s="177"/>
      <c r="AB76" s="177"/>
      <c r="AC76" s="177"/>
    </row>
    <row r="77" spans="1:40"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819"/>
      <c r="N77" s="688"/>
      <c r="O77" s="688"/>
      <c r="P77" s="190"/>
      <c r="Q77" s="179"/>
      <c r="R77" s="177"/>
      <c r="S77" s="593"/>
      <c r="T77" s="177"/>
      <c r="U77" s="177"/>
      <c r="V77" s="177"/>
      <c r="W77" s="177"/>
      <c r="X77" s="177"/>
      <c r="Y77" s="177"/>
      <c r="Z77" s="177"/>
      <c r="AA77" s="177"/>
      <c r="AB77" s="177"/>
      <c r="AC77" s="177"/>
    </row>
    <row r="78" spans="1:40"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819"/>
      <c r="N78" s="688"/>
      <c r="O78" s="688"/>
      <c r="P78" s="190"/>
      <c r="Q78" s="179"/>
      <c r="R78" s="177"/>
      <c r="S78" s="593"/>
      <c r="T78" s="177"/>
      <c r="U78" s="177"/>
      <c r="V78" s="177"/>
      <c r="W78" s="177"/>
      <c r="X78" s="177"/>
      <c r="Y78" s="177"/>
      <c r="Z78" s="177"/>
      <c r="AA78" s="177"/>
      <c r="AB78" s="177"/>
      <c r="AC78" s="177"/>
    </row>
    <row r="79" spans="1:40"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40"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40" s="134" customFormat="1" ht="9" hidden="1" customHeight="1" x14ac:dyDescent="0.25">
      <c r="A81" s="177"/>
      <c r="B81" s="177"/>
      <c r="C81" s="1379"/>
      <c r="D81" s="926"/>
      <c r="E81" s="837"/>
      <c r="F81" s="207"/>
      <c r="G81" s="838"/>
      <c r="H81" s="209"/>
      <c r="I81" s="839"/>
      <c r="K81" s="840"/>
      <c r="M81" s="841"/>
      <c r="N81" s="841"/>
      <c r="O81" s="841"/>
      <c r="P81" s="141"/>
      <c r="Q81" s="532"/>
      <c r="S81" s="594"/>
    </row>
    <row r="82" spans="1:40" ht="21" customHeight="1" thickBot="1" x14ac:dyDescent="0.3">
      <c r="A82" s="248"/>
      <c r="B82" s="248"/>
      <c r="C82" s="1380"/>
      <c r="D82" s="1820" t="s">
        <v>525</v>
      </c>
      <c r="E82" s="1820"/>
      <c r="F82" s="213"/>
      <c r="G82" s="225"/>
      <c r="H82" s="823"/>
      <c r="I82" s="215"/>
      <c r="J82" s="226"/>
      <c r="K82" s="216"/>
      <c r="L82" s="226"/>
      <c r="M82" s="217"/>
      <c r="N82" s="217"/>
      <c r="O82" s="1825" t="str">
        <f>IF(COUNTIF($K$89:$K$93,"&gt;.03")&gt;0,"***Warning:You have entered an Rate % of Sales above the recommended 3%***","")</f>
        <v/>
      </c>
      <c r="P82" s="1826"/>
      <c r="Q82" s="138"/>
      <c r="R82" s="134"/>
      <c r="S82" s="594"/>
      <c r="T82" s="134"/>
      <c r="U82" s="134"/>
      <c r="V82" s="134"/>
      <c r="W82" s="999" t="str">
        <f>IF(E369="Yes","NCA14","")</f>
        <v/>
      </c>
      <c r="X82" s="999" t="str">
        <f>IF($W82&lt;&gt;"",E370,"")</f>
        <v/>
      </c>
      <c r="Y82" s="999" t="str">
        <f>IF(AND($W82&lt;&gt;"",$X82&lt;&gt;"Please Select"),IF(G370="","Yes","No"),"No")</f>
        <v>No</v>
      </c>
      <c r="Z82" s="999" t="str">
        <f>IF(AND($W82&lt;&gt;"",$X82&lt;&gt;"Please Select"),IF(I370="","Yes","No"),"No")</f>
        <v>No</v>
      </c>
      <c r="AA82" s="1579" t="str">
        <f>IF(AND($W82&lt;&gt;"",$X82&lt;&gt;"Please Select"),IF(K370="","Yes","No"),"No")</f>
        <v>No</v>
      </c>
      <c r="AB82" s="999" t="str">
        <f>IF(AND($W82&lt;&gt;"",AND(I370&lt;&gt;"Check",K370&lt;&gt;"Customer Units")),IF(M370="","Yes","No"),"No")</f>
        <v>No</v>
      </c>
      <c r="AC82" s="177"/>
      <c r="AD82" s="999" t="str">
        <f>IF(X82&lt;&gt;"",IF(K373="","Yes","No"),"No")</f>
        <v>No</v>
      </c>
      <c r="AE82" s="1724"/>
      <c r="AF82" s="1724"/>
      <c r="AG82" s="1724"/>
      <c r="AH82" s="1724"/>
      <c r="AI82" s="1724"/>
      <c r="AJ82" s="1724"/>
      <c r="AK82" s="1724"/>
      <c r="AL82" s="1724"/>
      <c r="AM82" s="1724"/>
      <c r="AN82" s="259" t="str">
        <f>IF(X82&lt;&gt;"",IF(G376="","Yes","No"),"No")</f>
        <v>No</v>
      </c>
    </row>
    <row r="83" spans="1:40"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827"/>
      <c r="P83" s="1828"/>
      <c r="Q83" s="138"/>
      <c r="R83" s="134"/>
      <c r="S83" s="594"/>
      <c r="T83" s="134"/>
      <c r="U83" s="134"/>
      <c r="V83" s="134"/>
      <c r="W83" s="999" t="str">
        <f>IF(E380="Yes","NCA15","")</f>
        <v/>
      </c>
      <c r="X83" s="999" t="str">
        <f>IF($W83&lt;&gt;"",E381,"")</f>
        <v/>
      </c>
      <c r="Y83" s="999" t="str">
        <f>IF(AND($W83&lt;&gt;"",$X83&lt;&gt;"Please Select"),IF(G381="","Yes","No"),"No")</f>
        <v>No</v>
      </c>
      <c r="Z83" s="999" t="str">
        <f>IF(AND($W83&lt;&gt;"",$X83&lt;&gt;"Please Select"),IF(I381="","Yes","No"),"No")</f>
        <v>No</v>
      </c>
      <c r="AA83" s="1579" t="str">
        <f>IF(AND($W83&lt;&gt;"",$X83&lt;&gt;"Please Select"),IF(K381="","Yes","No"),"No")</f>
        <v>No</v>
      </c>
      <c r="AB83" s="999" t="str">
        <f>IF(AND($W83&lt;&gt;"",AND(I381&lt;&gt;"Check",K381&lt;&gt;"Customer Units")),IF(M381="","Yes","No"),"No")</f>
        <v>No</v>
      </c>
      <c r="AC83" s="177"/>
      <c r="AD83" s="999" t="str">
        <f>IF(X83&lt;&gt;"",IF(K384="","Yes","No"),"No")</f>
        <v>No</v>
      </c>
      <c r="AE83" s="1724"/>
      <c r="AF83" s="1724"/>
      <c r="AG83" s="1724"/>
      <c r="AH83" s="1724"/>
      <c r="AI83" s="1724"/>
      <c r="AJ83" s="1724"/>
      <c r="AK83" s="1724"/>
      <c r="AL83" s="1724"/>
      <c r="AM83" s="1724"/>
      <c r="AN83" s="259" t="str">
        <f>IF(X83&lt;&gt;"",IF(G387="","Yes","No"),"No")</f>
        <v>No</v>
      </c>
    </row>
    <row r="84" spans="1:40" ht="18" customHeight="1" thickBot="1" x14ac:dyDescent="0.3">
      <c r="A84" s="243"/>
      <c r="B84" s="243"/>
      <c r="C84" s="1377"/>
      <c r="D84" s="829" t="s">
        <v>1383</v>
      </c>
      <c r="E84" s="1512" t="s">
        <v>1384</v>
      </c>
      <c r="F84" s="41"/>
      <c r="G84" s="1517"/>
      <c r="H84" s="554"/>
      <c r="I84" s="1517"/>
      <c r="J84" s="145"/>
      <c r="K84" s="1517"/>
      <c r="L84" s="145"/>
      <c r="M84" s="1541"/>
      <c r="N84" s="218"/>
      <c r="O84" s="1827"/>
      <c r="P84" s="1828"/>
      <c r="Q84" s="138"/>
      <c r="R84" s="418"/>
      <c r="S84" s="594"/>
      <c r="T84" s="134"/>
      <c r="U84" s="134"/>
      <c r="V84" s="134"/>
      <c r="W84" s="999" t="str">
        <f>IF(E391="Yes","NCA16","")</f>
        <v/>
      </c>
      <c r="X84" s="999" t="str">
        <f>IF($W84&lt;&gt;"",E392,"")</f>
        <v/>
      </c>
      <c r="Y84" s="999" t="str">
        <f>IF(AND($W84&lt;&gt;"",$X84&lt;&gt;"Please Select"),IF(G392="","Yes","No"),"No")</f>
        <v>No</v>
      </c>
      <c r="Z84" s="999" t="str">
        <f>IF(AND($W84&lt;&gt;"",$X84&lt;&gt;"Please Select"),IF(I392="","Yes","No"),"No")</f>
        <v>No</v>
      </c>
      <c r="AA84" s="1579" t="str">
        <f>IF(AND($W84&lt;&gt;"",$X84&lt;&gt;"Please Select"),IF(K392="","Yes","No"),"No")</f>
        <v>No</v>
      </c>
      <c r="AB84" s="999" t="str">
        <f>IF(AND($W84&lt;&gt;"",AND(I392&lt;&gt;"Check",K392&lt;&gt;"Customer Units")),IF(M392="","Yes","No"),"No")</f>
        <v>No</v>
      </c>
      <c r="AC84" s="177"/>
      <c r="AD84" s="999" t="str">
        <f>IF(X84&lt;&gt;"",IF(K395="","Yes","No"),"No")</f>
        <v>No</v>
      </c>
      <c r="AE84" s="1724"/>
      <c r="AF84" s="1724"/>
      <c r="AG84" s="1724"/>
      <c r="AH84" s="1724"/>
      <c r="AI84" s="1724"/>
      <c r="AJ84" s="1724"/>
      <c r="AK84" s="1724"/>
      <c r="AL84" s="1724"/>
      <c r="AM84" s="1724"/>
      <c r="AN84" s="259" t="str">
        <f>IF(X84&lt;&gt;"",IF(G398="","Yes","No"),"No")</f>
        <v>No</v>
      </c>
    </row>
    <row r="85" spans="1:40" ht="18" customHeight="1" thickBot="1" x14ac:dyDescent="0.3">
      <c r="A85" s="243"/>
      <c r="B85" s="243"/>
      <c r="C85" s="1377"/>
      <c r="D85" s="7"/>
      <c r="E85" s="597"/>
      <c r="F85" s="41"/>
      <c r="G85" s="41"/>
      <c r="H85" s="41"/>
      <c r="I85" s="227"/>
      <c r="J85" s="41"/>
      <c r="K85" s="41"/>
      <c r="L85" s="41"/>
      <c r="M85" s="41"/>
      <c r="N85" s="41"/>
      <c r="O85" s="1827"/>
      <c r="P85" s="1828"/>
      <c r="Q85" s="138"/>
      <c r="R85" s="134"/>
      <c r="S85" s="593" t="str">
        <f>IF($E85="NO","",IF($I84="Select Payment Method","X",""))</f>
        <v/>
      </c>
      <c r="T85" s="134"/>
      <c r="U85" s="134"/>
      <c r="V85" s="134"/>
      <c r="W85" s="999" t="str">
        <f>IF(E402="Yes","NCA17","")</f>
        <v/>
      </c>
      <c r="X85" s="999" t="str">
        <f>IF($W85&lt;&gt;"",E403,"")</f>
        <v/>
      </c>
      <c r="Y85" s="999" t="str">
        <f>IF(AND($W85&lt;&gt;"",$X85&lt;&gt;"Please Select"),IF(G403="","Yes","No"),"No")</f>
        <v>No</v>
      </c>
      <c r="Z85" s="999" t="str">
        <f>IF(AND($W85&lt;&gt;"",$X85&lt;&gt;"Please Select"),IF(I403="","Yes","No"),"No")</f>
        <v>No</v>
      </c>
      <c r="AA85" s="1579" t="str">
        <f>IF(AND($W85&lt;&gt;"",$X85&lt;&gt;"Please Select"),IF(K403="","Yes","No"),"No")</f>
        <v>No</v>
      </c>
      <c r="AB85" s="999" t="str">
        <f>IF(AND($W85&lt;&gt;"",AND(I403&lt;&gt;"Check",K403&lt;&gt;"Customer Units")),IF(M403="","Yes","No"),"No")</f>
        <v>No</v>
      </c>
      <c r="AC85" s="177"/>
      <c r="AD85" s="999" t="str">
        <f>IF(X85&lt;&gt;"",IF(K406="","Yes","No"),"No")</f>
        <v>No</v>
      </c>
      <c r="AE85" s="1724"/>
      <c r="AF85" s="1724"/>
      <c r="AG85" s="1724"/>
      <c r="AH85" s="1724"/>
      <c r="AI85" s="1724"/>
      <c r="AJ85" s="1724"/>
      <c r="AK85" s="1724"/>
      <c r="AL85" s="1724"/>
      <c r="AM85" s="1724"/>
      <c r="AN85" s="259" t="str">
        <f>IF(X85&lt;&gt;"",IF(G409="","Yes","No"),"No")</f>
        <v>No</v>
      </c>
    </row>
    <row r="86" spans="1:40"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827"/>
      <c r="P86" s="1828"/>
      <c r="Q86" s="138"/>
      <c r="R86" s="134"/>
      <c r="S86" s="593"/>
      <c r="T86" s="134"/>
      <c r="U86" s="134"/>
      <c r="V86" s="134"/>
      <c r="W86" s="999" t="str">
        <f>IF(E413="Yes","NCA18","")</f>
        <v/>
      </c>
      <c r="X86" s="999" t="str">
        <f>IF($W86&lt;&gt;"",E414,"")</f>
        <v/>
      </c>
      <c r="Y86" s="999" t="str">
        <f>IF(AND($W86&lt;&gt;"",$X86&lt;&gt;"Please Select"),IF(G414="","Yes","No"),"No")</f>
        <v>No</v>
      </c>
      <c r="Z86" s="999" t="str">
        <f>IF(AND($W86&lt;&gt;"",$X86&lt;&gt;"Please Select"),IF(I414="","Yes","No"),"No")</f>
        <v>No</v>
      </c>
      <c r="AA86" s="1579" t="str">
        <f>IF(AND($W86&lt;&gt;"",$X86&lt;&gt;"Please Select"),IF(K414="","Yes","No"),"No")</f>
        <v>No</v>
      </c>
      <c r="AB86" s="999" t="str">
        <f>IF(AND($W86&lt;&gt;"",AND(I414&lt;&gt;"Check",K414&lt;&gt;"Customer Units")),IF(M414="","Yes","No"),"No")</f>
        <v>No</v>
      </c>
      <c r="AC86" s="177"/>
      <c r="AD86" s="999" t="str">
        <f>IF(X86&lt;&gt;"",IF(K417="","Yes","No"),"No")</f>
        <v>No</v>
      </c>
      <c r="AE86" s="1724"/>
      <c r="AF86" s="1724"/>
      <c r="AG86" s="1724"/>
      <c r="AH86" s="1724"/>
      <c r="AI86" s="1724"/>
      <c r="AJ86" s="1724"/>
      <c r="AK86" s="1724"/>
      <c r="AL86" s="1724"/>
      <c r="AM86" s="1724"/>
      <c r="AN86" s="259" t="str">
        <f>IF(X86&lt;&gt;"",IF(G421="","Yes","No"),"No")</f>
        <v>No</v>
      </c>
    </row>
    <row r="87" spans="1:40"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999" t="str">
        <f>IF(E424="Yes","NCA19","")</f>
        <v/>
      </c>
      <c r="X87" s="999" t="str">
        <f>IF($W87&lt;&gt;"",E425,"")</f>
        <v/>
      </c>
      <c r="Y87" s="999" t="str">
        <f>IF(AND($W87&lt;&gt;"",$X87&lt;&gt;"Please Select"),IF(G425="","Yes","No"),"No")</f>
        <v>No</v>
      </c>
      <c r="Z87" s="999" t="str">
        <f>IF(AND($W87&lt;&gt;"",$X87&lt;&gt;"Please Select"),IF(I425="","Yes","No"),"No")</f>
        <v>No</v>
      </c>
      <c r="AA87" s="1579" t="str">
        <f>IF(AND($W87&lt;&gt;"",$X87&lt;&gt;"Please Select"),IF(K425="","Yes","No"),"No")</f>
        <v>No</v>
      </c>
      <c r="AB87" s="999" t="str">
        <f>IF(AND($W87&lt;&gt;"",AND(I425&lt;&gt;"Check",K425&lt;&gt;"Customer Units")),IF(M425="","Yes","No"),"No")</f>
        <v>No</v>
      </c>
      <c r="AC87" s="177"/>
      <c r="AD87" s="999" t="str">
        <f>IF(X87&lt;&gt;"",IF(K428="","Yes","No"),"No")</f>
        <v>No</v>
      </c>
      <c r="AE87" s="1724"/>
      <c r="AF87" s="1724"/>
      <c r="AG87" s="1724"/>
      <c r="AH87" s="1724"/>
      <c r="AI87" s="1724"/>
      <c r="AJ87" s="1724"/>
      <c r="AK87" s="1724"/>
      <c r="AL87" s="1724"/>
      <c r="AM87" s="1724"/>
      <c r="AN87" s="259" t="str">
        <f>IF(X87&lt;&gt;"",IF(G432="","Yes","No"),"No")</f>
        <v>No</v>
      </c>
    </row>
    <row r="88" spans="1:40" ht="18" customHeight="1" x14ac:dyDescent="0.25">
      <c r="A88" s="243"/>
      <c r="B88" s="243"/>
      <c r="C88" s="1377"/>
      <c r="D88" s="279"/>
      <c r="E88" s="422"/>
      <c r="F88" s="196"/>
      <c r="G88" s="194" t="s">
        <v>1387</v>
      </c>
      <c r="H88" s="554"/>
      <c r="I88" s="194" t="s">
        <v>1388</v>
      </c>
      <c r="J88" s="195"/>
      <c r="K88" s="194" t="s">
        <v>1389</v>
      </c>
      <c r="L88" s="188"/>
      <c r="M88" s="1819"/>
      <c r="N88" s="195"/>
      <c r="O88" s="6" t="s">
        <v>490</v>
      </c>
      <c r="P88" s="221"/>
      <c r="Q88" s="138"/>
      <c r="R88" s="134"/>
      <c r="S88" s="594"/>
      <c r="T88" s="134"/>
      <c r="U88" s="134"/>
      <c r="V88" s="134"/>
      <c r="W88" s="999" t="str">
        <f>IF(E435="Yes","NS1","")</f>
        <v/>
      </c>
      <c r="X88" s="999" t="str">
        <f>IF($W88&lt;&gt;"",E436,"")</f>
        <v/>
      </c>
      <c r="Y88" s="999" t="str">
        <f>IF(AND($W88&lt;&gt;"",$X88&lt;&gt;"Please Select"),IF(G436="","Yes","No"),"No")</f>
        <v>No</v>
      </c>
      <c r="Z88" s="999" t="str">
        <f>IF(AND($W88&lt;&gt;"",$X88&lt;&gt;"Please Select"),IF(I436="","Yes","No"),"No")</f>
        <v>No</v>
      </c>
      <c r="AA88" s="999" t="str">
        <f>IF(AND($W88&lt;&gt;"",$X88&lt;&gt;"Please Select"),IF(K436="","Yes","No"),"No")</f>
        <v>No</v>
      </c>
      <c r="AB88" s="999" t="str">
        <f>IF(AND($W88&lt;&gt;"",AND(I436&lt;&gt;"Check",K436&lt;&gt;"Customer Units")),IF(M436="","Yes","No"),"No")</f>
        <v>No</v>
      </c>
      <c r="AC88" s="177"/>
      <c r="AD88" s="999" t="str">
        <f>IF(X88&lt;&gt;"",IF(K439="","Yes","No"),"No")</f>
        <v>No</v>
      </c>
    </row>
    <row r="89" spans="1:40" ht="17.25" customHeight="1" x14ac:dyDescent="0.25">
      <c r="A89" s="243"/>
      <c r="B89" s="243"/>
      <c r="C89" s="1377"/>
      <c r="D89" s="279"/>
      <c r="E89" s="422"/>
      <c r="F89" s="831" t="s">
        <v>997</v>
      </c>
      <c r="G89" s="1535"/>
      <c r="H89" s="188"/>
      <c r="I89" s="913" t="str">
        <f>IF(E83="Yes",IF(AND(G89&lt;&gt;"",G90="",G91="",G92="",G93=""),1,IF(G90&lt;&gt;"",G90-0.0001,"")),"")</f>
        <v/>
      </c>
      <c r="J89" s="832"/>
      <c r="K89" s="1514"/>
      <c r="L89" s="188"/>
      <c r="M89" s="1819"/>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999" t="str">
        <f>IF(E443="Yes","NS2","")</f>
        <v/>
      </c>
      <c r="X89" s="999" t="str">
        <f>IF($W89&lt;&gt;"",E444,"")</f>
        <v/>
      </c>
      <c r="Y89" s="999" t="str">
        <f>IF(AND($W89&lt;&gt;"",$X89&lt;&gt;"Please Select"),IF(G444="","Yes","No"),"No")</f>
        <v>No</v>
      </c>
      <c r="Z89" s="999" t="str">
        <f>IF(AND($W89&lt;&gt;"",$X89&lt;&gt;"Please Select"),IF(I444="","Yes","No"),"No")</f>
        <v>No</v>
      </c>
      <c r="AA89" s="999" t="str">
        <f>IF(AND($W89&lt;&gt;"",$X89&lt;&gt;"Please Select"),IF(K444="","Yes","No"),"No")</f>
        <v>No</v>
      </c>
      <c r="AB89" s="999" t="str">
        <f>IF(AND($W89&lt;&gt;"",AND(I444&lt;&gt;"Check",K444&lt;&gt;"Customer Units")),IF(M444="","Yes","No"),"No")</f>
        <v>No</v>
      </c>
      <c r="AC89" s="177"/>
      <c r="AD89" s="999" t="str">
        <f>IF(X89&lt;&gt;"",IF(K447="","Yes","No"),"No")</f>
        <v>No</v>
      </c>
    </row>
    <row r="90" spans="1:40" ht="17.25" customHeight="1" x14ac:dyDescent="0.25">
      <c r="A90" s="243"/>
      <c r="B90" s="243"/>
      <c r="C90" s="1377"/>
      <c r="D90" s="279"/>
      <c r="E90" s="422"/>
      <c r="F90" s="831" t="s">
        <v>1390</v>
      </c>
      <c r="G90" s="1535"/>
      <c r="H90" s="188"/>
      <c r="I90" s="913" t="str">
        <f>IF(E83="Yes",IF(AND(G90&lt;&gt;"",G91="",G92="",G93="",I89&lt;&gt;1),1,IF(G91&lt;&gt;"",G91-0.0001,"")),"")</f>
        <v/>
      </c>
      <c r="J90" s="229"/>
      <c r="K90" s="1514"/>
      <c r="L90" s="188"/>
      <c r="M90" s="1819"/>
      <c r="N90" s="688"/>
      <c r="O90" s="688"/>
      <c r="P90" s="221"/>
      <c r="Q90" s="138"/>
      <c r="R90" s="134"/>
      <c r="S90" s="594"/>
      <c r="T90" s="134"/>
      <c r="U90" s="134"/>
      <c r="V90" s="134"/>
      <c r="W90" s="999" t="str">
        <f>IF(E451="Yes","NS3","")</f>
        <v/>
      </c>
      <c r="X90" s="999" t="str">
        <f>IF($W90&lt;&gt;"",E452,"")</f>
        <v/>
      </c>
      <c r="Y90" s="999" t="str">
        <f>IF(AND($W90&lt;&gt;"",$X90&lt;&gt;"Please Select"),IF(G452="","Yes","No"),"No")</f>
        <v>No</v>
      </c>
      <c r="Z90" s="999" t="str">
        <f>IF(AND($W90&lt;&gt;"",$X90&lt;&gt;"Please Select"),IF(I452="","Yes","No"),"No")</f>
        <v>No</v>
      </c>
      <c r="AA90" s="999" t="str">
        <f>IF(AND($W90&lt;&gt;"",$X90&lt;&gt;"Please Select"),IF(K452="","Yes","No"),"No")</f>
        <v>No</v>
      </c>
      <c r="AB90" s="999" t="str">
        <f>IF(AND($W90&lt;&gt;"",AND(I452&lt;&gt;"Check",K452&lt;&gt;"Customer Units")),IF(M452="","Yes","No"),"No")</f>
        <v>No</v>
      </c>
      <c r="AC90" s="177"/>
      <c r="AD90" s="999" t="str">
        <f>IF(X90&lt;&gt;"",IF(K455="","Yes","No"),"No")</f>
        <v>No</v>
      </c>
    </row>
    <row r="91" spans="1:40" ht="17.25" customHeight="1" x14ac:dyDescent="0.25">
      <c r="A91" s="243"/>
      <c r="B91" s="243"/>
      <c r="C91" s="1377"/>
      <c r="D91" s="279"/>
      <c r="E91" s="422"/>
      <c r="F91" s="831" t="s">
        <v>1391</v>
      </c>
      <c r="G91" s="1535"/>
      <c r="H91" s="188"/>
      <c r="I91" s="913" t="str">
        <f>IF(E83="Yes",IF(AND(G91&lt;&gt;"",G92="",G93="",I90&lt;&gt;1),1,IF(G92&lt;&gt;"",G92-0.0001,"")),"")</f>
        <v/>
      </c>
      <c r="J91" s="229"/>
      <c r="K91" s="1514"/>
      <c r="L91" s="188"/>
      <c r="M91" s="1819"/>
      <c r="N91" s="688"/>
      <c r="O91" s="688"/>
      <c r="P91" s="221"/>
      <c r="Q91" s="138"/>
      <c r="R91" s="134"/>
      <c r="S91" s="594"/>
      <c r="T91" s="134"/>
      <c r="U91" s="134"/>
      <c r="V91" s="134"/>
      <c r="W91" s="999" t="str">
        <f>IF(E459="Yes","NS4","")</f>
        <v/>
      </c>
      <c r="X91" s="999" t="str">
        <f>IF($W91&lt;&gt;"",E460,"")</f>
        <v/>
      </c>
      <c r="Y91" s="999" t="str">
        <f>IF(AND($W91&lt;&gt;"",$X91&lt;&gt;"Please Select"),IF(G460="","Yes","No"),"No")</f>
        <v>No</v>
      </c>
      <c r="Z91" s="999" t="str">
        <f>IF(AND($W91&lt;&gt;"",$X91&lt;&gt;"Please Select"),IF(I460="","Yes","No"),"No")</f>
        <v>No</v>
      </c>
      <c r="AA91" s="999" t="str">
        <f>IF(AND($W91&lt;&gt;"",$X91&lt;&gt;"Please Select"),IF(K460="","Yes","No"),"No")</f>
        <v>No</v>
      </c>
      <c r="AB91" s="999" t="str">
        <f>IF(AND($W91&lt;&gt;"",AND(I460&lt;&gt;"Check",K460&lt;&gt;"Customer Units")),IF(M460="","Yes","No"),"No")</f>
        <v>No</v>
      </c>
      <c r="AC91" s="177"/>
      <c r="AD91" s="999" t="str">
        <f>IF(X91&lt;&gt;"",IF(K463="","Yes","No"),"No")</f>
        <v>No</v>
      </c>
    </row>
    <row r="92" spans="1:40" ht="17.25" hidden="1" customHeight="1" x14ac:dyDescent="0.25">
      <c r="A92" s="243"/>
      <c r="B92" s="243"/>
      <c r="C92" s="1377"/>
      <c r="D92" s="279"/>
      <c r="E92" s="422"/>
      <c r="F92" s="831" t="s">
        <v>1393</v>
      </c>
      <c r="G92" s="1535"/>
      <c r="H92" s="188"/>
      <c r="I92" s="913" t="str">
        <f>IF(E83="Yes",IF(AND(G92&lt;&gt;"",G93="",I91&lt;&gt;1),1,IF(G93&lt;&gt;"",G93-0.0001,"")),"")</f>
        <v/>
      </c>
      <c r="J92" s="229"/>
      <c r="K92" s="1514"/>
      <c r="L92" s="188"/>
      <c r="M92" s="1819"/>
      <c r="N92" s="688"/>
      <c r="O92" s="688"/>
      <c r="P92" s="221"/>
      <c r="Q92" s="138"/>
      <c r="R92" s="134"/>
      <c r="S92" s="594"/>
      <c r="T92" s="134"/>
      <c r="U92" s="134"/>
      <c r="V92" s="134"/>
      <c r="W92" s="134"/>
      <c r="X92" s="134"/>
      <c r="Y92" s="134"/>
      <c r="Z92" s="134"/>
      <c r="AA92" s="134"/>
      <c r="AB92" s="134"/>
      <c r="AC92" s="177"/>
    </row>
    <row r="93" spans="1:40"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40"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999" t="str">
        <f>IF(E467="Yes","NS5","")</f>
        <v/>
      </c>
      <c r="X94" s="999" t="str">
        <f>IF($W94&lt;&gt;"",E468,"")</f>
        <v/>
      </c>
      <c r="Y94" s="999" t="str">
        <f>IF(AND($W94&lt;&gt;"",$X94&lt;&gt;"Please Select"),IF(G468="","Yes","No"),"No")</f>
        <v>No</v>
      </c>
      <c r="Z94" s="999" t="str">
        <f>IF(AND($W94&lt;&gt;"",$X94&lt;&gt;"Please Select"),IF(I468="","Yes","No"),"No")</f>
        <v>No</v>
      </c>
      <c r="AA94" s="999" t="str">
        <f>IF(AND($W94&lt;&gt;"",$X94&lt;&gt;"Please Select"),IF(K468="","Yes","No"),"No")</f>
        <v>No</v>
      </c>
      <c r="AB94" s="999" t="str">
        <f>IF(AND($W94&lt;&gt;"",AND(I468&lt;&gt;"Check",K468&lt;&gt;"Customer Units")),IF(M468="","Yes","No"),"No")</f>
        <v>No</v>
      </c>
      <c r="AC94" s="177"/>
      <c r="AD94" s="999" t="str">
        <f>IF(X94&lt;&gt;"",IF(K471="","Yes","No"),"No")</f>
        <v>No</v>
      </c>
    </row>
    <row r="95" spans="1:40"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80"/>
      <c r="D96" s="1820" t="s">
        <v>525</v>
      </c>
      <c r="E96" s="1820"/>
      <c r="F96" s="213"/>
      <c r="G96" s="225"/>
      <c r="H96" s="823"/>
      <c r="I96" s="215"/>
      <c r="J96" s="226"/>
      <c r="K96" s="216"/>
      <c r="L96" s="226"/>
      <c r="M96" s="217"/>
      <c r="N96" s="217"/>
      <c r="O96" s="1825" t="str">
        <f>IF(COUNTIF($K$103:$K$107,"&gt;.03")&gt;0,"***Warning:You have entered an Rate % of Sales above the recommended 3%***","")</f>
        <v/>
      </c>
      <c r="P96" s="1826"/>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827"/>
      <c r="P97" s="1828"/>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827"/>
      <c r="P98" s="1828"/>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827"/>
      <c r="P99" s="182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827"/>
      <c r="P100" s="1828"/>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81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819"/>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81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81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820" t="s">
        <v>1105</v>
      </c>
      <c r="E110" s="1820"/>
      <c r="F110" s="213"/>
      <c r="G110" s="235"/>
      <c r="H110" s="183"/>
      <c r="I110" s="236"/>
      <c r="J110" s="216"/>
      <c r="K110" s="217"/>
      <c r="L110" s="183"/>
      <c r="M110" s="217"/>
      <c r="N110" s="1825" t="str">
        <f>IF(COUNTIF($K$115,"&gt;.02")&gt;0,"***Warning:You have entered an Rate % of Sales above the recommended amount.Rate % of Sales should be between 0% and 2%***","")</f>
        <v/>
      </c>
      <c r="O110" s="1825"/>
      <c r="P110" s="1826"/>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827"/>
      <c r="O111" s="1827"/>
      <c r="P111" s="1828"/>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827"/>
      <c r="O112" s="1827"/>
      <c r="P112" s="1828"/>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825"/>
      <c r="N113" s="1827"/>
      <c r="O113" s="1827"/>
      <c r="P113" s="1828"/>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827"/>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827"/>
      <c r="N115" s="197"/>
      <c r="O115" s="914">
        <f>IF(Welcome!$D$6="New",IF(E111="No",0,IF((($H$10-(G115*52))*K115)&lt;0,0,(($H$10-(G115*52))*K115))),IF($S$119&lt;&gt;1,0,IF(Incentives!E115&lt;Welcome!$D$12,0,IF(E111="No",0,IF((($H$10-(G115*52))*K115)&lt;0,0,(($H$10-(G115*52))*K115))))))</f>
        <v>0</v>
      </c>
      <c r="P115" s="221"/>
      <c r="Q115" s="138"/>
      <c r="R115" s="821"/>
      <c r="S115" s="141" t="s">
        <v>2041</v>
      </c>
      <c r="T115" s="242">
        <v>1</v>
      </c>
      <c r="U115" s="1345"/>
    </row>
    <row r="116" spans="1:29" ht="22.5" customHeight="1" x14ac:dyDescent="0.25">
      <c r="A116" s="245"/>
      <c r="B116" s="245"/>
      <c r="C116" s="1378"/>
      <c r="D116" s="928"/>
      <c r="E116" s="1542"/>
      <c r="F116" s="481" t="s">
        <v>2088</v>
      </c>
      <c r="G116" s="1543">
        <f>$H$9/52</f>
        <v>0</v>
      </c>
      <c r="H116" s="223"/>
      <c r="I116" s="240"/>
      <c r="J116" s="223"/>
      <c r="K116" s="223"/>
      <c r="L116" s="223"/>
      <c r="M116" s="1829"/>
      <c r="N116" s="223"/>
      <c r="O116" s="223"/>
      <c r="P116" s="224"/>
      <c r="Q116" s="138"/>
      <c r="R116" s="821"/>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820" t="s">
        <v>1105</v>
      </c>
      <c r="E118" s="1820"/>
      <c r="F118" s="213"/>
      <c r="G118" s="235"/>
      <c r="H118" s="183"/>
      <c r="I118" s="236"/>
      <c r="J118" s="216"/>
      <c r="K118" s="217"/>
      <c r="L118" s="183"/>
      <c r="M118" s="217"/>
      <c r="N118" s="1825" t="str">
        <f>IF(COUNTIF($K$123,"&gt;.02")&gt;0,"***Warning:You have entered an Rate % of Sales above the recommended amount.Rate % of Sales should be between 0% and 2%***","")</f>
        <v/>
      </c>
      <c r="O118" s="1825"/>
      <c r="P118" s="1826"/>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827"/>
      <c r="O119" s="1827"/>
      <c r="P119" s="1828"/>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827"/>
      <c r="O120" s="1827"/>
      <c r="P120" s="1828"/>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825"/>
      <c r="N121" s="1827"/>
      <c r="O121" s="1827"/>
      <c r="P121" s="1828"/>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827"/>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827"/>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2088</v>
      </c>
      <c r="G124" s="1543">
        <f>$H$9/52</f>
        <v>0</v>
      </c>
      <c r="H124" s="223"/>
      <c r="I124" s="240"/>
      <c r="J124" s="223"/>
      <c r="K124" s="223"/>
      <c r="L124" s="223"/>
      <c r="M124" s="1829"/>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820" t="s">
        <v>1105</v>
      </c>
      <c r="E126" s="1820"/>
      <c r="F126" s="213"/>
      <c r="G126" s="235"/>
      <c r="H126" s="183"/>
      <c r="I126" s="236"/>
      <c r="J126" s="216"/>
      <c r="K126" s="217"/>
      <c r="L126" s="183"/>
      <c r="M126" s="217"/>
      <c r="N126" s="1825" t="str">
        <f>IF(COUNTIF($K$131,"&gt;.02")&gt;0,"***Warning:You have entered an Rate % of Sales above the recommended amount.Rate % of Sales should be between 0% and 2%***","")</f>
        <v/>
      </c>
      <c r="O126" s="1825"/>
      <c r="P126" s="1826"/>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827"/>
      <c r="O127" s="1827"/>
      <c r="P127" s="1828"/>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827"/>
      <c r="O128" s="1827"/>
      <c r="P128" s="1828"/>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825"/>
      <c r="N129" s="1827"/>
      <c r="O129" s="1827"/>
      <c r="P129" s="1828"/>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827"/>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827"/>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2088</v>
      </c>
      <c r="G132" s="1543">
        <f>$H$9/52</f>
        <v>0</v>
      </c>
      <c r="H132" s="223"/>
      <c r="I132" s="240"/>
      <c r="J132" s="223"/>
      <c r="K132" s="223"/>
      <c r="L132" s="223"/>
      <c r="M132" s="1829"/>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820" t="s">
        <v>1105</v>
      </c>
      <c r="E134" s="1820"/>
      <c r="F134" s="213"/>
      <c r="G134" s="235"/>
      <c r="H134" s="183"/>
      <c r="I134" s="236"/>
      <c r="J134" s="216"/>
      <c r="K134" s="217"/>
      <c r="L134" s="183"/>
      <c r="M134" s="217"/>
      <c r="N134" s="1825" t="str">
        <f>IF(COUNTIF($K$139,"&gt;.02")&gt;0,"***Warning:You have entered an Rate % of Sales above the recommended amount.Rate % of Sales should be between 0% and 2%***","")</f>
        <v/>
      </c>
      <c r="O134" s="1825"/>
      <c r="P134" s="1826"/>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827"/>
      <c r="O135" s="1827"/>
      <c r="P135" s="1828"/>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827"/>
      <c r="O136" s="1827"/>
      <c r="P136" s="1828"/>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825"/>
      <c r="N137" s="1827"/>
      <c r="O137" s="1827"/>
      <c r="P137" s="1828"/>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827"/>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827"/>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2088</v>
      </c>
      <c r="G140" s="1543">
        <f>$H$9/52</f>
        <v>0</v>
      </c>
      <c r="H140" s="223"/>
      <c r="I140" s="240"/>
      <c r="J140" s="223"/>
      <c r="K140" s="223"/>
      <c r="L140" s="223"/>
      <c r="M140" s="1829"/>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820" t="s">
        <v>1105</v>
      </c>
      <c r="E142" s="1820"/>
      <c r="F142" s="213"/>
      <c r="G142" s="235"/>
      <c r="H142" s="183"/>
      <c r="I142" s="236"/>
      <c r="J142" s="216"/>
      <c r="K142" s="217"/>
      <c r="L142" s="183"/>
      <c r="M142" s="217"/>
      <c r="N142" s="1825" t="str">
        <f>IF(COUNTIF($K$147,"&gt;.02")&gt;0,"***Warning:You have entered an Rate % of Sales above the recommended amount.Rate % of Sales should be between 0% and 2%***","")</f>
        <v/>
      </c>
      <c r="O142" s="1825"/>
      <c r="P142" s="1826"/>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827"/>
      <c r="O143" s="1827"/>
      <c r="P143" s="1828"/>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827"/>
      <c r="O144" s="1827"/>
      <c r="P144" s="1828"/>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825"/>
      <c r="N145" s="1827"/>
      <c r="O145" s="1827"/>
      <c r="P145" s="1828"/>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827"/>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827"/>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2088</v>
      </c>
      <c r="G148" s="1543">
        <f>$H$9/52</f>
        <v>0</v>
      </c>
      <c r="H148" s="223"/>
      <c r="I148" s="240"/>
      <c r="J148" s="223"/>
      <c r="K148" s="223"/>
      <c r="L148" s="223"/>
      <c r="M148" s="1829"/>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820" t="s">
        <v>717</v>
      </c>
      <c r="E150" s="1820"/>
      <c r="F150" s="184"/>
      <c r="G150" s="235"/>
      <c r="H150" s="183"/>
      <c r="I150" s="236"/>
      <c r="J150" s="216"/>
      <c r="K150" s="217"/>
      <c r="L150" s="183"/>
      <c r="M150" s="217"/>
      <c r="N150" s="1825" t="str">
        <f>IF(COUNTIF($K$155,"&gt;.03")&gt;0,"***Warning:You have entered an Rate % of Sales above the recommended 3%***","")</f>
        <v/>
      </c>
      <c r="O150" s="1825"/>
      <c r="P150" s="1826"/>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827"/>
      <c r="O151" s="1827"/>
      <c r="P151" s="1828"/>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827"/>
      <c r="O152" s="1827"/>
      <c r="P152" s="1828"/>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825"/>
      <c r="N153" s="1827"/>
      <c r="O153" s="1827"/>
      <c r="P153" s="1828"/>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827"/>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827"/>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829"/>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820" t="s">
        <v>1095</v>
      </c>
      <c r="E158" s="1820"/>
      <c r="F158" s="213"/>
      <c r="G158" s="235"/>
      <c r="H158" s="183"/>
      <c r="I158" s="236"/>
      <c r="J158" s="216"/>
      <c r="K158" s="217"/>
      <c r="L158" s="183"/>
      <c r="M158" s="217"/>
      <c r="N158" s="182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25"/>
      <c r="P158" s="1826"/>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827"/>
      <c r="O159" s="1827"/>
      <c r="P159" s="1828"/>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827"/>
      <c r="O160" s="1827"/>
      <c r="P160" s="1828"/>
      <c r="Q160" s="179"/>
      <c r="S160" s="596"/>
    </row>
    <row r="161" spans="1:19" s="822" customFormat="1" ht="18" customHeight="1" thickBot="1" x14ac:dyDescent="0.3">
      <c r="A161" s="243"/>
      <c r="B161" s="243"/>
      <c r="C161" s="439"/>
      <c r="D161" s="7"/>
      <c r="E161" s="145"/>
      <c r="F161" s="145"/>
      <c r="G161" s="188"/>
      <c r="H161" s="188"/>
      <c r="I161" s="188"/>
      <c r="J161" s="188"/>
      <c r="K161" s="188"/>
      <c r="L161" s="188"/>
      <c r="M161" s="1815"/>
      <c r="N161" s="1827"/>
      <c r="O161" s="1827"/>
      <c r="P161" s="1828"/>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817"/>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817"/>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37"/>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20" t="s">
        <v>1095</v>
      </c>
      <c r="E166" s="1820"/>
      <c r="F166" s="213"/>
      <c r="G166" s="235"/>
      <c r="H166" s="183"/>
      <c r="I166" s="236"/>
      <c r="J166" s="216"/>
      <c r="K166" s="217"/>
      <c r="L166" s="183"/>
      <c r="M166" s="217"/>
      <c r="N166" s="182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25"/>
      <c r="P166" s="1826"/>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827"/>
      <c r="O167" s="1827"/>
      <c r="P167" s="1828"/>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827"/>
      <c r="O168" s="1827"/>
      <c r="P168" s="1828"/>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815"/>
      <c r="N169" s="1827"/>
      <c r="O169" s="1827"/>
      <c r="P169" s="1828"/>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817"/>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817"/>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37"/>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820" t="s">
        <v>999</v>
      </c>
      <c r="E174" s="1820"/>
      <c r="F174" s="1424"/>
      <c r="G174" s="1424"/>
      <c r="H174" s="1424"/>
      <c r="I174" s="1424"/>
      <c r="J174" s="184"/>
      <c r="K174" s="184"/>
      <c r="L174" s="184"/>
      <c r="M174" s="184"/>
      <c r="N174" s="184"/>
      <c r="O174" s="1815" t="str">
        <f>IF(AND(Welcome!$D$20&lt;&gt;"Yes",$E$175="Yes"),"Credit Card Payment on the Welcome Sheet must be ""YES""  to proceed with this incentive!","")</f>
        <v/>
      </c>
      <c r="P174" s="1816"/>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817"/>
      <c r="P175" s="1818"/>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817"/>
      <c r="P176" s="1818"/>
      <c r="Q176" s="251"/>
    </row>
    <row r="177" spans="1:19" s="176" customFormat="1" ht="18" customHeight="1" thickBot="1" x14ac:dyDescent="0.3">
      <c r="A177" s="243"/>
      <c r="B177" s="243"/>
      <c r="C177" s="465"/>
      <c r="D177" s="7"/>
      <c r="E177" s="597"/>
      <c r="F177" s="843"/>
      <c r="G177" s="843"/>
      <c r="H177" s="145"/>
      <c r="I177" s="145"/>
      <c r="J177" s="145"/>
      <c r="K177" s="145"/>
      <c r="L177" s="145"/>
      <c r="M177" s="181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IF($D$476=0,"",IF($E177="NO","",IF($I176="Select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817"/>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817"/>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37"/>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20" t="s">
        <v>1473</v>
      </c>
      <c r="E182" s="1820"/>
      <c r="F182" s="213"/>
      <c r="G182" s="235"/>
      <c r="H182" s="183"/>
      <c r="I182" s="236"/>
      <c r="J182" s="216"/>
      <c r="K182" s="217"/>
      <c r="L182" s="183"/>
      <c r="M182" s="217"/>
      <c r="N182" s="185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55"/>
      <c r="P182" s="1856"/>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57"/>
      <c r="O183" s="1857"/>
      <c r="P183" s="1858"/>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4"/>
      <c r="N184" s="1857"/>
      <c r="O184" s="1857"/>
      <c r="P184" s="1858"/>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57"/>
      <c r="O185" s="1857"/>
      <c r="P185" s="1858"/>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21" t="s">
        <v>1476</v>
      </c>
      <c r="E189" s="1822"/>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23" t="s">
        <v>1477</v>
      </c>
      <c r="E190" s="1824"/>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20" t="s">
        <v>1132</v>
      </c>
      <c r="E193" s="1820"/>
      <c r="F193" s="213"/>
      <c r="G193" s="235"/>
      <c r="H193" s="183"/>
      <c r="I193" s="236"/>
      <c r="J193" s="216"/>
      <c r="K193" s="217"/>
      <c r="L193" s="183"/>
      <c r="M193" s="217"/>
      <c r="N193" s="185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55"/>
      <c r="P193" s="1856"/>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57"/>
      <c r="O194" s="1857"/>
      <c r="P194" s="1858"/>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857"/>
      <c r="O195" s="1857"/>
      <c r="P195" s="1858"/>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57"/>
      <c r="O196" s="1857"/>
      <c r="P196" s="1858"/>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1481</v>
      </c>
      <c r="J197" s="1864"/>
      <c r="K197" s="194" t="s">
        <v>727</v>
      </c>
      <c r="L197" s="1864"/>
      <c r="M197" s="194" t="s">
        <v>1482</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865"/>
      <c r="K198" s="1518"/>
      <c r="L198" s="1872"/>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874"/>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875"/>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875"/>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875"/>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876"/>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20" t="s">
        <v>1132</v>
      </c>
      <c r="E205" s="1820"/>
      <c r="F205" s="213"/>
      <c r="G205" s="235"/>
      <c r="H205" s="183"/>
      <c r="I205" s="236"/>
      <c r="J205" s="216"/>
      <c r="K205" s="217"/>
      <c r="L205" s="183"/>
      <c r="M205" s="217"/>
      <c r="N205" s="185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55"/>
      <c r="P205" s="1856"/>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57"/>
      <c r="O206" s="1857"/>
      <c r="P206" s="1858"/>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857"/>
      <c r="O207" s="1857"/>
      <c r="P207" s="1858"/>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57"/>
      <c r="O208" s="1857"/>
      <c r="P208" s="1858"/>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1481</v>
      </c>
      <c r="J209" s="1864"/>
      <c r="K209" s="194" t="s">
        <v>727</v>
      </c>
      <c r="L209" s="1864"/>
      <c r="M209" s="194" t="s">
        <v>1482</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865"/>
      <c r="K210" s="1518"/>
      <c r="L210" s="1872"/>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874"/>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875"/>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875"/>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875"/>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76"/>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68" t="s">
        <v>1483</v>
      </c>
      <c r="E217" s="1868"/>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73"/>
      <c r="N220" s="145"/>
      <c r="O220" s="145"/>
      <c r="P220" s="612"/>
      <c r="Q220" s="251"/>
      <c r="S220" s="593" t="str">
        <f>IF($D$476=0,"",IF($E220="NO","",IF($I219="Select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873"/>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873"/>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837"/>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68" t="s">
        <v>1775</v>
      </c>
      <c r="E225" s="1869"/>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870"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870"/>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870"/>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870"/>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Inputs'!$P$25,10),""),"")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68" t="s">
        <v>1775</v>
      </c>
      <c r="E236" s="1869"/>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870"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870"/>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870"/>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870"/>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Inputs'!$P$25,10),""),"")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68" t="s">
        <v>1775</v>
      </c>
      <c r="E247" s="1869"/>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870"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870"/>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870"/>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870"/>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Inputs'!$P$25,10),""),"")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68" t="s">
        <v>1775</v>
      </c>
      <c r="E258" s="1869"/>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870"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870"/>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870"/>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870"/>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Inputs'!$P$25,10),""),"")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68" t="s">
        <v>1775</v>
      </c>
      <c r="E269" s="1869"/>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870"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870"/>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870"/>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870"/>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Inputs'!$P$25,10),""),"")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68" t="s">
        <v>1775</v>
      </c>
      <c r="E280" s="1869"/>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870"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870"/>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870"/>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870"/>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Inputs'!$P$25,10),""),"")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68" t="s">
        <v>1775</v>
      </c>
      <c r="E291" s="1869"/>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870"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870"/>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870"/>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870"/>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Inputs'!$P$25,10),""),"")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68" t="s">
        <v>1775</v>
      </c>
      <c r="E302" s="1869"/>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870"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870"/>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870"/>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870"/>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Inputs'!$P$25,10),""),"")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68" t="s">
        <v>1775</v>
      </c>
      <c r="E313" s="1869"/>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870"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870"/>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870"/>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870"/>
      <c r="N320" s="1359"/>
      <c r="O320" s="1359"/>
      <c r="P320" s="612"/>
      <c r="Q320" s="1125"/>
    </row>
    <row r="321" spans="1:17"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Inputs'!$P$25,10),""),"")</f>
        <v/>
      </c>
      <c r="J321" s="1359"/>
      <c r="K321" s="1337" t="str">
        <f>IFERROR((I321/52)*E321,"")</f>
        <v/>
      </c>
      <c r="L321" s="1359"/>
      <c r="M321" s="1359"/>
      <c r="N321" s="1359"/>
      <c r="O321" s="1359"/>
      <c r="P321" s="612"/>
      <c r="Q321" s="1125"/>
    </row>
    <row r="322" spans="1:17"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17" s="180" customFormat="1" ht="9" hidden="1" customHeight="1" x14ac:dyDescent="0.25">
      <c r="C323" s="1376"/>
      <c r="Q323" s="1125"/>
    </row>
    <row r="324" spans="1:17" s="180" customFormat="1" ht="19.5" hidden="1" customHeight="1" thickBot="1" x14ac:dyDescent="0.3">
      <c r="A324" s="248"/>
      <c r="B324" s="248"/>
      <c r="C324" s="1374"/>
      <c r="D324" s="1868" t="s">
        <v>1775</v>
      </c>
      <c r="E324" s="1869"/>
      <c r="F324" s="892"/>
      <c r="G324" s="184"/>
      <c r="H324" s="184"/>
      <c r="I324" s="184"/>
      <c r="J324" s="184"/>
      <c r="K324" s="184"/>
      <c r="L324" s="184"/>
      <c r="M324" s="184"/>
      <c r="N324" s="184"/>
      <c r="O324" s="184"/>
      <c r="P324" s="611"/>
      <c r="Q324" s="1125"/>
    </row>
    <row r="325" spans="1:17" s="180" customFormat="1" ht="19.5" hidden="1" customHeight="1" thickBot="1" x14ac:dyDescent="0.3">
      <c r="A325" s="243"/>
      <c r="B325" s="243"/>
      <c r="C325" s="465"/>
      <c r="D325" s="922" t="s">
        <v>523</v>
      </c>
      <c r="E325" s="847" t="s">
        <v>648</v>
      </c>
      <c r="F325" s="239"/>
      <c r="G325" s="194" t="s">
        <v>1380</v>
      </c>
      <c r="H325" s="188"/>
      <c r="I325" s="194" t="s">
        <v>1381</v>
      </c>
      <c r="J325" s="41"/>
      <c r="K325" s="194" t="s">
        <v>1397</v>
      </c>
      <c r="L325" s="188"/>
      <c r="M325" s="194" t="s">
        <v>1382</v>
      </c>
      <c r="N325" s="884"/>
      <c r="O325" s="884"/>
      <c r="P325" s="612"/>
      <c r="Q325" s="1125"/>
    </row>
    <row r="326" spans="1:17" s="180" customFormat="1" ht="29.25" hidden="1" customHeight="1" thickBot="1" x14ac:dyDescent="0.3">
      <c r="A326" s="243"/>
      <c r="B326" s="243"/>
      <c r="C326" s="465"/>
      <c r="D326" s="829" t="s">
        <v>1383</v>
      </c>
      <c r="E326" s="1355" t="s">
        <v>1384</v>
      </c>
      <c r="F326" s="196"/>
      <c r="G326" s="1356" t="str">
        <f>IF(E325="Yes","Program","")</f>
        <v/>
      </c>
      <c r="H326" s="188"/>
      <c r="I326" s="1357"/>
      <c r="J326" s="884"/>
      <c r="K326" s="1356" t="str">
        <f>IF(E325="Yes","Corporate Office","")</f>
        <v/>
      </c>
      <c r="L326" s="188"/>
      <c r="M326" s="1358"/>
      <c r="N326" s="884"/>
      <c r="O326" s="884"/>
      <c r="P326" s="612"/>
      <c r="Q326" s="1125"/>
    </row>
    <row r="327" spans="1:17" s="180" customFormat="1" ht="19.5" hidden="1" customHeight="1" thickBot="1" x14ac:dyDescent="0.3">
      <c r="A327" s="243"/>
      <c r="B327" s="243"/>
      <c r="C327" s="465"/>
      <c r="D327" s="7"/>
      <c r="E327" s="597"/>
      <c r="F327" s="843"/>
      <c r="G327" s="843"/>
      <c r="H327" s="884"/>
      <c r="I327" s="188"/>
      <c r="J327" s="188"/>
      <c r="K327" s="188"/>
      <c r="L327" s="884"/>
      <c r="M327" s="884"/>
      <c r="N327" s="884"/>
      <c r="O327" s="884"/>
      <c r="P327" s="612"/>
      <c r="Q327" s="1125"/>
    </row>
    <row r="328" spans="1:17" s="180" customFormat="1" ht="19.5" hidden="1" customHeight="1" thickBot="1" x14ac:dyDescent="0.3">
      <c r="A328" s="243"/>
      <c r="B328" s="243"/>
      <c r="C328" s="465"/>
      <c r="D328" s="836" t="s">
        <v>1385</v>
      </c>
      <c r="E328" s="1451" t="str">
        <f>IF(E325="Yes",IFERROR(VLOOKUP(G332,'Required Info to Submit'!$E$23:'Required Info to Submit'!$M$32,7, FALSE),""),"")</f>
        <v/>
      </c>
      <c r="F328" s="239"/>
      <c r="G328" s="228" t="s">
        <v>1396</v>
      </c>
      <c r="H328" s="188"/>
      <c r="I328" s="1359"/>
      <c r="J328" s="1359"/>
      <c r="K328" s="194" t="s">
        <v>1389</v>
      </c>
      <c r="L328" s="1359"/>
      <c r="M328" s="1870" t="str">
        <f>IF(C330="Yes","Retro Accrual will be posted to the GL.  Please provide business rational and ADF pre-approval is required","")</f>
        <v/>
      </c>
      <c r="N328" s="188"/>
      <c r="O328" s="6" t="s">
        <v>490</v>
      </c>
      <c r="P328" s="612"/>
      <c r="Q328" s="1125"/>
    </row>
    <row r="329" spans="1:17" s="180" customFormat="1" ht="19.5" hidden="1" customHeight="1" thickBot="1" x14ac:dyDescent="0.3">
      <c r="A329" s="243"/>
      <c r="B329" s="243"/>
      <c r="C329" s="465" t="str">
        <f ca="1">IF(C328="Yes",IF('Agreement Worksheet'!$K$5&gt;TODAY(),"Yes",""),"")</f>
        <v/>
      </c>
      <c r="D329" s="836" t="s">
        <v>1386</v>
      </c>
      <c r="E329" s="1451" t="str">
        <f>IF(E325="Yes",'Agreement Worksheet'!$K$5,"")</f>
        <v/>
      </c>
      <c r="F329" s="196"/>
      <c r="G329" s="1518" t="str">
        <f>IF(E325="Yes",IFERROR(K332*K329,""),"")</f>
        <v/>
      </c>
      <c r="H329" s="188"/>
      <c r="I329" s="1360"/>
      <c r="J329" s="1360"/>
      <c r="K329" s="1520" t="str">
        <f>IF(E237="Yes",IFERROR($K$222,""),"")</f>
        <v/>
      </c>
      <c r="L329" s="1359"/>
      <c r="M329" s="1870"/>
      <c r="N329" s="188"/>
      <c r="O329" s="914">
        <f>IF(Incentives!E329&lt;Welcome!D23,0,IF(E325="Yes",IFERROR(ROUND((G329/E332),0)*52,0),0))</f>
        <v>0</v>
      </c>
      <c r="P329" s="612"/>
      <c r="Q329" s="1125"/>
    </row>
    <row r="330" spans="1:17" s="180" customFormat="1" ht="19.5" hidden="1" customHeight="1" thickBot="1" x14ac:dyDescent="0.3">
      <c r="A330" s="243"/>
      <c r="B330" s="243"/>
      <c r="C330" s="465">
        <f>IF(AND($E$317&lt;&gt;"",$E$317&lt;E331),"Yes",)</f>
        <v>0</v>
      </c>
      <c r="D330" s="884"/>
      <c r="E330" s="884"/>
      <c r="F330" s="196"/>
      <c r="G330" s="1359"/>
      <c r="H330" s="1359"/>
      <c r="I330" s="1359"/>
      <c r="J330" s="1359"/>
      <c r="K330" s="1359"/>
      <c r="L330" s="1359"/>
      <c r="M330" s="1870"/>
      <c r="N330" s="1359"/>
      <c r="O330" s="1359"/>
      <c r="P330" s="612"/>
      <c r="Q330" s="1125"/>
    </row>
    <row r="331" spans="1:17" s="180" customFormat="1" ht="27" hidden="1" customHeight="1" thickBot="1" x14ac:dyDescent="0.3">
      <c r="A331" s="243"/>
      <c r="B331" s="243"/>
      <c r="C331" s="465"/>
      <c r="D331" s="1361" t="s">
        <v>2004</v>
      </c>
      <c r="E331" s="1452" t="str">
        <f>IF(E325="Yes",IF(Welcome!D19&lt;&gt;"",Welcome!D19,""),"")</f>
        <v/>
      </c>
      <c r="F331" s="196"/>
      <c r="G331" s="228" t="s">
        <v>2005</v>
      </c>
      <c r="H331" s="1359"/>
      <c r="I331" s="228" t="s">
        <v>2006</v>
      </c>
      <c r="J331" s="1359"/>
      <c r="K331" s="228" t="s">
        <v>1482</v>
      </c>
      <c r="L331" s="1359"/>
      <c r="M331" s="1870"/>
      <c r="N331" s="1359"/>
      <c r="O331" s="1359"/>
      <c r="P331" s="612"/>
      <c r="Q331" s="1125"/>
    </row>
    <row r="332" spans="1:17" s="180" customFormat="1" ht="19.5" hidden="1" customHeight="1" thickBot="1" x14ac:dyDescent="0.3">
      <c r="A332" s="243"/>
      <c r="B332" s="243"/>
      <c r="C332" s="465"/>
      <c r="D332" s="1361" t="s">
        <v>2007</v>
      </c>
      <c r="E332" s="1392" t="str">
        <f>IFERROR(('Agreement Worksheet'!$K$5-E328)/7,"")</f>
        <v/>
      </c>
      <c r="F332" s="196"/>
      <c r="G332" s="1362"/>
      <c r="H332" s="1359"/>
      <c r="I332" s="1518" t="str">
        <f>IF(E325="Yes",IFERROR(VLOOKUP(G332,'Customer Inputs'!$G$6:'Customer Inputs'!$P$25,10),""),"")</f>
        <v/>
      </c>
      <c r="J332" s="1359"/>
      <c r="K332" s="1518" t="str">
        <f>IFERROR((I332/52)*E332,"")</f>
        <v/>
      </c>
      <c r="L332" s="1359"/>
      <c r="M332" s="1359"/>
      <c r="N332" s="1359"/>
      <c r="O332" s="1359"/>
      <c r="P332" s="612"/>
      <c r="Q332" s="1125"/>
    </row>
    <row r="333" spans="1:17" s="180" customFormat="1" ht="19.5" hidden="1" customHeight="1" x14ac:dyDescent="0.25">
      <c r="A333" s="245"/>
      <c r="B333" s="245"/>
      <c r="C333" s="661"/>
      <c r="D333" s="481"/>
      <c r="E333" s="202"/>
      <c r="F333" s="202"/>
      <c r="G333" s="668"/>
      <c r="H333" s="202"/>
      <c r="I333" s="202"/>
      <c r="J333" s="202"/>
      <c r="K333" s="1073"/>
      <c r="L333" s="202"/>
      <c r="M333" s="202"/>
      <c r="N333" s="202"/>
      <c r="O333" s="202"/>
      <c r="P333" s="250"/>
      <c r="Q333" s="1125"/>
    </row>
    <row r="334" spans="1:17" s="180" customFormat="1" ht="9" hidden="1" customHeight="1" x14ac:dyDescent="0.25">
      <c r="C334" s="1376"/>
      <c r="Q334" s="1125"/>
    </row>
    <row r="335" spans="1:17" s="180" customFormat="1" ht="19.5" hidden="1" customHeight="1" thickBot="1" x14ac:dyDescent="0.3">
      <c r="A335" s="248"/>
      <c r="B335" s="248"/>
      <c r="C335" s="1374"/>
      <c r="D335" s="1868" t="s">
        <v>1775</v>
      </c>
      <c r="E335" s="1869"/>
      <c r="F335" s="892"/>
      <c r="G335" s="184"/>
      <c r="H335" s="184"/>
      <c r="I335" s="184"/>
      <c r="J335" s="184"/>
      <c r="K335" s="184"/>
      <c r="L335" s="184"/>
      <c r="M335" s="184"/>
      <c r="N335" s="184"/>
      <c r="O335" s="184"/>
      <c r="P335" s="611"/>
      <c r="Q335" s="1125"/>
    </row>
    <row r="336" spans="1:17" s="180" customFormat="1" ht="19.5" hidden="1" customHeight="1" thickBot="1" x14ac:dyDescent="0.3">
      <c r="A336" s="243"/>
      <c r="B336" s="243"/>
      <c r="C336" s="465"/>
      <c r="D336" s="922" t="s">
        <v>523</v>
      </c>
      <c r="E336" s="847" t="s">
        <v>648</v>
      </c>
      <c r="F336" s="239"/>
      <c r="G336" s="194" t="s">
        <v>1380</v>
      </c>
      <c r="H336" s="188"/>
      <c r="I336" s="194" t="s">
        <v>1381</v>
      </c>
      <c r="J336" s="41"/>
      <c r="K336" s="194" t="s">
        <v>1397</v>
      </c>
      <c r="L336" s="188"/>
      <c r="M336" s="194" t="s">
        <v>1382</v>
      </c>
      <c r="N336" s="884"/>
      <c r="O336" s="884"/>
      <c r="P336" s="612"/>
      <c r="Q336" s="1125"/>
    </row>
    <row r="337" spans="1:17" s="180" customFormat="1" ht="29.25" hidden="1" customHeight="1" thickBot="1" x14ac:dyDescent="0.3">
      <c r="A337" s="243"/>
      <c r="B337" s="243"/>
      <c r="C337" s="465"/>
      <c r="D337" s="829" t="s">
        <v>1383</v>
      </c>
      <c r="E337" s="1355" t="s">
        <v>1384</v>
      </c>
      <c r="F337" s="196"/>
      <c r="G337" s="1356" t="str">
        <f>IF(E336="Yes","Program","")</f>
        <v/>
      </c>
      <c r="H337" s="188"/>
      <c r="I337" s="1357"/>
      <c r="J337" s="884"/>
      <c r="K337" s="1356" t="str">
        <f>IF(E336="Yes","Corporate Office","")</f>
        <v/>
      </c>
      <c r="L337" s="188"/>
      <c r="M337" s="1358"/>
      <c r="N337" s="884"/>
      <c r="O337" s="884"/>
      <c r="P337" s="612"/>
      <c r="Q337" s="1125"/>
    </row>
    <row r="338" spans="1:17" s="180" customFormat="1" ht="19.5" hidden="1" customHeight="1" thickBot="1" x14ac:dyDescent="0.3">
      <c r="A338" s="243"/>
      <c r="B338" s="243"/>
      <c r="C338" s="465"/>
      <c r="D338" s="7"/>
      <c r="E338" s="597"/>
      <c r="F338" s="843"/>
      <c r="G338" s="843"/>
      <c r="H338" s="884"/>
      <c r="I338" s="188"/>
      <c r="J338" s="188"/>
      <c r="K338" s="188"/>
      <c r="L338" s="884"/>
      <c r="M338" s="884"/>
      <c r="N338" s="884"/>
      <c r="O338" s="884"/>
      <c r="P338" s="612"/>
      <c r="Q338" s="1125"/>
    </row>
    <row r="339" spans="1:17" s="180" customFormat="1" ht="19.5" hidden="1" customHeight="1" thickBot="1" x14ac:dyDescent="0.3">
      <c r="A339" s="243"/>
      <c r="B339" s="243"/>
      <c r="C339" s="465"/>
      <c r="D339" s="836" t="s">
        <v>1385</v>
      </c>
      <c r="E339" s="1451" t="str">
        <f>IF(E336="Yes",IFERROR(VLOOKUP(G343,'Required Info to Submit'!$E$23:'Required Info to Submit'!$M$32,7, FALSE),""),"")</f>
        <v/>
      </c>
      <c r="F339" s="239"/>
      <c r="G339" s="228" t="s">
        <v>1396</v>
      </c>
      <c r="H339" s="188"/>
      <c r="I339" s="1359"/>
      <c r="J339" s="1359"/>
      <c r="K339" s="194" t="s">
        <v>1389</v>
      </c>
      <c r="L339" s="1359"/>
      <c r="M339" s="1870" t="str">
        <f>IF(C341="Yes","Retro Accrual will be posted to the GL.  Please provide business rational and ADF pre-approval is required","")</f>
        <v/>
      </c>
      <c r="N339" s="188"/>
      <c r="O339" s="6" t="s">
        <v>490</v>
      </c>
      <c r="P339" s="612"/>
      <c r="Q339" s="1125"/>
    </row>
    <row r="340" spans="1:17" s="180" customFormat="1" ht="19.5" hidden="1" customHeight="1" thickBot="1" x14ac:dyDescent="0.3">
      <c r="A340" s="243"/>
      <c r="B340" s="243"/>
      <c r="C340" s="465" t="str">
        <f ca="1">IF(C339="Yes",IF('Agreement Worksheet'!$K$5&gt;TODAY(),"Yes",""),"")</f>
        <v/>
      </c>
      <c r="D340" s="836" t="s">
        <v>1386</v>
      </c>
      <c r="E340" s="1451" t="str">
        <f>IF(E336="Yes",'Agreement Worksheet'!$K$5,"")</f>
        <v/>
      </c>
      <c r="F340" s="196"/>
      <c r="G340" s="1518" t="str">
        <f>IF(E336="Yes",IFERROR(K343*K340,""),"")</f>
        <v/>
      </c>
      <c r="H340" s="188"/>
      <c r="I340" s="1360"/>
      <c r="J340" s="1360"/>
      <c r="K340" s="1520" t="str">
        <f>IF(E248="Yes",IFERROR($K$222,""),"")</f>
        <v/>
      </c>
      <c r="L340" s="1359"/>
      <c r="M340" s="1870"/>
      <c r="N340" s="188"/>
      <c r="O340" s="914">
        <f>IF(Incentives!E340&lt;Welcome!D34,0,IF(E336="Yes",IFERROR(ROUND((G340/E343),0)*52,0),0))</f>
        <v>0</v>
      </c>
      <c r="P340" s="612"/>
      <c r="Q340" s="1125"/>
    </row>
    <row r="341" spans="1:17" s="180" customFormat="1" ht="19.5" hidden="1" customHeight="1" thickBot="1" x14ac:dyDescent="0.3">
      <c r="A341" s="243"/>
      <c r="B341" s="243"/>
      <c r="C341" s="465">
        <f>IF(AND($E$317&lt;&gt;"",$E$317&lt;E342),"Yes",)</f>
        <v>0</v>
      </c>
      <c r="D341" s="884"/>
      <c r="E341" s="884"/>
      <c r="F341" s="196"/>
      <c r="G341" s="1359"/>
      <c r="H341" s="1359"/>
      <c r="I341" s="1359"/>
      <c r="J341" s="1359"/>
      <c r="K341" s="1359"/>
      <c r="L341" s="1359"/>
      <c r="M341" s="1870"/>
      <c r="N341" s="1359"/>
      <c r="O341" s="1359"/>
      <c r="P341" s="612"/>
      <c r="Q341" s="1125"/>
    </row>
    <row r="342" spans="1:17" s="180" customFormat="1" ht="27" hidden="1" customHeight="1" thickBot="1" x14ac:dyDescent="0.3">
      <c r="A342" s="243"/>
      <c r="B342" s="243"/>
      <c r="C342" s="465"/>
      <c r="D342" s="1361" t="s">
        <v>2004</v>
      </c>
      <c r="E342" s="1452" t="str">
        <f>IF(E336="Yes",IF(Welcome!D30&lt;&gt;"",Welcome!D30,""),"")</f>
        <v/>
      </c>
      <c r="F342" s="196"/>
      <c r="G342" s="228" t="s">
        <v>2005</v>
      </c>
      <c r="H342" s="1359"/>
      <c r="I342" s="228" t="s">
        <v>2006</v>
      </c>
      <c r="J342" s="1359"/>
      <c r="K342" s="228" t="s">
        <v>1482</v>
      </c>
      <c r="L342" s="1359"/>
      <c r="M342" s="1870"/>
      <c r="N342" s="1359"/>
      <c r="O342" s="1359"/>
      <c r="P342" s="612"/>
      <c r="Q342" s="1125"/>
    </row>
    <row r="343" spans="1:17" s="180" customFormat="1" ht="19.5" hidden="1" customHeight="1" thickBot="1" x14ac:dyDescent="0.3">
      <c r="A343" s="243"/>
      <c r="B343" s="243"/>
      <c r="C343" s="465"/>
      <c r="D343" s="1361" t="s">
        <v>2007</v>
      </c>
      <c r="E343" s="1392" t="str">
        <f>IFERROR(('Agreement Worksheet'!$K$5-E339)/7,"")</f>
        <v/>
      </c>
      <c r="F343" s="196"/>
      <c r="G343" s="1362"/>
      <c r="H343" s="1359"/>
      <c r="I343" s="1518" t="str">
        <f>IF(E336="Yes",IFERROR(VLOOKUP(G343,'Customer Inputs'!$G$6:'Customer Inputs'!$P$25,10),""),"")</f>
        <v/>
      </c>
      <c r="J343" s="1359"/>
      <c r="K343" s="1518" t="str">
        <f>IFERROR((I343/52)*E343,"")</f>
        <v/>
      </c>
      <c r="L343" s="1359"/>
      <c r="M343" s="1359"/>
      <c r="N343" s="1359"/>
      <c r="O343" s="1359"/>
      <c r="P343" s="612"/>
      <c r="Q343" s="1125"/>
    </row>
    <row r="344" spans="1:17" s="180" customFormat="1" ht="19.5" hidden="1" customHeight="1" x14ac:dyDescent="0.25">
      <c r="A344" s="245"/>
      <c r="B344" s="245"/>
      <c r="C344" s="661"/>
      <c r="D344" s="481"/>
      <c r="E344" s="202"/>
      <c r="F344" s="202"/>
      <c r="G344" s="668"/>
      <c r="H344" s="202"/>
      <c r="I344" s="202"/>
      <c r="J344" s="202"/>
      <c r="K344" s="1073"/>
      <c r="L344" s="202"/>
      <c r="M344" s="202"/>
      <c r="N344" s="202"/>
      <c r="O344" s="202"/>
      <c r="P344" s="250"/>
      <c r="Q344" s="1125"/>
    </row>
    <row r="345" spans="1:17" s="180" customFormat="1" ht="9" hidden="1" customHeight="1" x14ac:dyDescent="0.25">
      <c r="C345" s="1376"/>
      <c r="Q345" s="1125"/>
    </row>
    <row r="346" spans="1:17" s="180" customFormat="1" ht="19.5" hidden="1" customHeight="1" thickBot="1" x14ac:dyDescent="0.3">
      <c r="A346" s="248"/>
      <c r="B346" s="248"/>
      <c r="C346" s="1374"/>
      <c r="D346" s="1868" t="s">
        <v>1775</v>
      </c>
      <c r="E346" s="1869"/>
      <c r="F346" s="892"/>
      <c r="G346" s="184"/>
      <c r="H346" s="184"/>
      <c r="I346" s="184"/>
      <c r="J346" s="184"/>
      <c r="K346" s="184"/>
      <c r="L346" s="184"/>
      <c r="M346" s="184"/>
      <c r="N346" s="184"/>
      <c r="O346" s="184"/>
      <c r="P346" s="611"/>
      <c r="Q346" s="1125"/>
    </row>
    <row r="347" spans="1:17" s="180" customFormat="1" ht="19.5" hidden="1" customHeight="1" thickBot="1" x14ac:dyDescent="0.3">
      <c r="A347" s="243"/>
      <c r="B347" s="243"/>
      <c r="C347" s="465"/>
      <c r="D347" s="922" t="s">
        <v>523</v>
      </c>
      <c r="E347" s="847" t="s">
        <v>648</v>
      </c>
      <c r="F347" s="239"/>
      <c r="G347" s="194" t="s">
        <v>1380</v>
      </c>
      <c r="H347" s="188"/>
      <c r="I347" s="194" t="s">
        <v>1381</v>
      </c>
      <c r="J347" s="41"/>
      <c r="K347" s="194" t="s">
        <v>1397</v>
      </c>
      <c r="L347" s="188"/>
      <c r="M347" s="194" t="s">
        <v>1382</v>
      </c>
      <c r="N347" s="884"/>
      <c r="O347" s="884"/>
      <c r="P347" s="612"/>
      <c r="Q347" s="1125"/>
    </row>
    <row r="348" spans="1:17" s="180" customFormat="1" ht="29.25" hidden="1" customHeight="1" thickBot="1" x14ac:dyDescent="0.3">
      <c r="A348" s="243"/>
      <c r="B348" s="243"/>
      <c r="C348" s="465"/>
      <c r="D348" s="829" t="s">
        <v>1383</v>
      </c>
      <c r="E348" s="1355" t="s">
        <v>1384</v>
      </c>
      <c r="F348" s="196"/>
      <c r="G348" s="1356" t="str">
        <f>IF(E347="Yes","Program","")</f>
        <v/>
      </c>
      <c r="H348" s="188"/>
      <c r="I348" s="1357"/>
      <c r="J348" s="884"/>
      <c r="K348" s="1356" t="str">
        <f>IF(E347="Yes","Corporate Office","")</f>
        <v/>
      </c>
      <c r="L348" s="188"/>
      <c r="M348" s="1358"/>
      <c r="N348" s="884"/>
      <c r="O348" s="884"/>
      <c r="P348" s="612"/>
      <c r="Q348" s="1125"/>
    </row>
    <row r="349" spans="1:17" s="180" customFormat="1" ht="19.5" hidden="1" customHeight="1" thickBot="1" x14ac:dyDescent="0.3">
      <c r="A349" s="243"/>
      <c r="B349" s="243"/>
      <c r="C349" s="465"/>
      <c r="D349" s="7"/>
      <c r="E349" s="597"/>
      <c r="F349" s="843"/>
      <c r="G349" s="843"/>
      <c r="H349" s="884"/>
      <c r="I349" s="188"/>
      <c r="J349" s="188"/>
      <c r="K349" s="188"/>
      <c r="L349" s="884"/>
      <c r="M349" s="884"/>
      <c r="N349" s="884"/>
      <c r="O349" s="884"/>
      <c r="P349" s="612"/>
      <c r="Q349" s="1125"/>
    </row>
    <row r="350" spans="1:17" s="180" customFormat="1" ht="19.5" hidden="1" customHeight="1" thickBot="1" x14ac:dyDescent="0.3">
      <c r="A350" s="243"/>
      <c r="B350" s="243"/>
      <c r="C350" s="465"/>
      <c r="D350" s="836" t="s">
        <v>1385</v>
      </c>
      <c r="E350" s="1451" t="str">
        <f>IF(E347="Yes",IFERROR(VLOOKUP(G354,'Required Info to Submit'!$E$23:'Required Info to Submit'!$M$32,7, FALSE),""),"")</f>
        <v/>
      </c>
      <c r="F350" s="239"/>
      <c r="G350" s="228" t="s">
        <v>1396</v>
      </c>
      <c r="H350" s="188"/>
      <c r="I350" s="1359"/>
      <c r="J350" s="1359"/>
      <c r="K350" s="194" t="s">
        <v>1389</v>
      </c>
      <c r="L350" s="1359"/>
      <c r="M350" s="1870" t="str">
        <f>IF(C352="Yes","Retro Accrual will be posted to the GL.  Please provide business rational and ADF pre-approval is required","")</f>
        <v/>
      </c>
      <c r="N350" s="188"/>
      <c r="O350" s="6" t="s">
        <v>490</v>
      </c>
      <c r="P350" s="612"/>
      <c r="Q350" s="1125"/>
    </row>
    <row r="351" spans="1:17" s="180" customFormat="1" ht="19.5" hidden="1" customHeight="1" thickBot="1" x14ac:dyDescent="0.3">
      <c r="A351" s="243"/>
      <c r="B351" s="243"/>
      <c r="C351" s="465" t="str">
        <f ca="1">IF(C350="Yes",IF('Agreement Worksheet'!$K$5&gt;TODAY(),"Yes",""),"")</f>
        <v/>
      </c>
      <c r="D351" s="836" t="s">
        <v>1386</v>
      </c>
      <c r="E351" s="1451" t="str">
        <f>IF(E347="Yes",'Agreement Worksheet'!$K$5,"")</f>
        <v/>
      </c>
      <c r="F351" s="196"/>
      <c r="G351" s="1518" t="str">
        <f>IF(E347="Yes",IFERROR(K354*K351,""),"")</f>
        <v/>
      </c>
      <c r="H351" s="188"/>
      <c r="I351" s="1360"/>
      <c r="J351" s="1360"/>
      <c r="K351" s="1520" t="str">
        <f>IF(E259="Yes",IFERROR($K$222,""),"")</f>
        <v/>
      </c>
      <c r="L351" s="1359"/>
      <c r="M351" s="1870"/>
      <c r="N351" s="188"/>
      <c r="O351" s="914">
        <f>IF(Incentives!E351&lt;Welcome!D45,0,IF(E347="Yes",IFERROR(ROUND((G351/E354),0)*52,0),0))</f>
        <v>0</v>
      </c>
      <c r="P351" s="612"/>
      <c r="Q351" s="1125"/>
    </row>
    <row r="352" spans="1:17" s="180" customFormat="1" ht="19.5" hidden="1" customHeight="1" thickBot="1" x14ac:dyDescent="0.3">
      <c r="A352" s="243"/>
      <c r="B352" s="243"/>
      <c r="C352" s="465">
        <f>IF(AND($E$317&lt;&gt;"",$E$317&lt;E353),"Yes",)</f>
        <v>0</v>
      </c>
      <c r="D352" s="884"/>
      <c r="E352" s="884"/>
      <c r="F352" s="196"/>
      <c r="G352" s="1359"/>
      <c r="H352" s="1359"/>
      <c r="I352" s="1359"/>
      <c r="J352" s="1359"/>
      <c r="K352" s="1359"/>
      <c r="L352" s="1359"/>
      <c r="M352" s="1870"/>
      <c r="N352" s="1359"/>
      <c r="O352" s="1359"/>
      <c r="P352" s="612"/>
      <c r="Q352" s="1125"/>
    </row>
    <row r="353" spans="1:17" s="180" customFormat="1" ht="27" hidden="1" customHeight="1" thickBot="1" x14ac:dyDescent="0.3">
      <c r="A353" s="243"/>
      <c r="B353" s="243"/>
      <c r="C353" s="465"/>
      <c r="D353" s="1361" t="s">
        <v>2004</v>
      </c>
      <c r="E353" s="1452" t="str">
        <f>IF(E347="Yes",IF(Welcome!D41&lt;&gt;"",Welcome!D41,""),"")</f>
        <v/>
      </c>
      <c r="F353" s="196"/>
      <c r="G353" s="228" t="s">
        <v>2005</v>
      </c>
      <c r="H353" s="1359"/>
      <c r="I353" s="228" t="s">
        <v>2006</v>
      </c>
      <c r="J353" s="1359"/>
      <c r="K353" s="228" t="s">
        <v>1482</v>
      </c>
      <c r="L353" s="1359"/>
      <c r="M353" s="1870"/>
      <c r="N353" s="1359"/>
      <c r="O353" s="1359"/>
      <c r="P353" s="612"/>
      <c r="Q353" s="1125"/>
    </row>
    <row r="354" spans="1:17" s="180" customFormat="1" ht="19.5" hidden="1" customHeight="1" thickBot="1" x14ac:dyDescent="0.3">
      <c r="A354" s="243"/>
      <c r="B354" s="243"/>
      <c r="C354" s="465"/>
      <c r="D354" s="1361" t="s">
        <v>2007</v>
      </c>
      <c r="E354" s="1392" t="str">
        <f>IFERROR(('Agreement Worksheet'!$K$5-E350)/7,"")</f>
        <v/>
      </c>
      <c r="F354" s="196"/>
      <c r="G354" s="1362"/>
      <c r="H354" s="1359"/>
      <c r="I354" s="1518" t="str">
        <f>IF(E347="Yes",IFERROR(VLOOKUP(G354,'Customer Inputs'!$G$6:'Customer Inputs'!$P$25,10),""),"")</f>
        <v/>
      </c>
      <c r="J354" s="1359"/>
      <c r="K354" s="1518" t="str">
        <f>IFERROR((I354/52)*E354,"")</f>
        <v/>
      </c>
      <c r="L354" s="1359"/>
      <c r="M354" s="1359"/>
      <c r="N354" s="1359"/>
      <c r="O354" s="1359"/>
      <c r="P354" s="612"/>
      <c r="Q354" s="1125"/>
    </row>
    <row r="355" spans="1:17" s="180" customFormat="1" ht="19.5" hidden="1" customHeight="1" x14ac:dyDescent="0.25">
      <c r="A355" s="245"/>
      <c r="B355" s="245"/>
      <c r="C355" s="661"/>
      <c r="D355" s="481"/>
      <c r="E355" s="202"/>
      <c r="F355" s="202"/>
      <c r="G355" s="668"/>
      <c r="H355" s="202"/>
      <c r="I355" s="202"/>
      <c r="J355" s="202"/>
      <c r="K355" s="1073"/>
      <c r="L355" s="202"/>
      <c r="M355" s="202"/>
      <c r="N355" s="202"/>
      <c r="O355" s="202"/>
      <c r="P355" s="250"/>
      <c r="Q355" s="1125"/>
    </row>
    <row r="356" spans="1:17" s="180" customFormat="1" ht="9" hidden="1" customHeight="1" x14ac:dyDescent="0.25">
      <c r="C356" s="1376"/>
      <c r="Q356" s="1125"/>
    </row>
    <row r="357" spans="1:17" s="180" customFormat="1" ht="19.5" hidden="1" customHeight="1" thickBot="1" x14ac:dyDescent="0.3">
      <c r="A357" s="248"/>
      <c r="B357" s="248"/>
      <c r="C357" s="1374"/>
      <c r="D357" s="1868" t="s">
        <v>1775</v>
      </c>
      <c r="E357" s="1869"/>
      <c r="F357" s="892"/>
      <c r="G357" s="184"/>
      <c r="H357" s="184"/>
      <c r="I357" s="184"/>
      <c r="J357" s="184"/>
      <c r="K357" s="184"/>
      <c r="L357" s="184"/>
      <c r="M357" s="184"/>
      <c r="N357" s="184"/>
      <c r="O357" s="184"/>
      <c r="P357" s="611"/>
      <c r="Q357" s="1125"/>
    </row>
    <row r="358" spans="1:17" s="180" customFormat="1" ht="19.5" hidden="1" customHeight="1" thickBot="1" x14ac:dyDescent="0.3">
      <c r="A358" s="243"/>
      <c r="B358" s="243"/>
      <c r="C358" s="465"/>
      <c r="D358" s="922" t="s">
        <v>523</v>
      </c>
      <c r="E358" s="847" t="s">
        <v>648</v>
      </c>
      <c r="F358" s="239"/>
      <c r="G358" s="194" t="s">
        <v>1380</v>
      </c>
      <c r="H358" s="188"/>
      <c r="I358" s="194" t="s">
        <v>1381</v>
      </c>
      <c r="J358" s="41"/>
      <c r="K358" s="194" t="s">
        <v>1397</v>
      </c>
      <c r="L358" s="188"/>
      <c r="M358" s="194" t="s">
        <v>1382</v>
      </c>
      <c r="N358" s="884"/>
      <c r="O358" s="884"/>
      <c r="P358" s="612"/>
      <c r="Q358" s="1125"/>
    </row>
    <row r="359" spans="1:17" s="180" customFormat="1" ht="29.25" hidden="1" customHeight="1" thickBot="1" x14ac:dyDescent="0.3">
      <c r="A359" s="243"/>
      <c r="B359" s="243"/>
      <c r="C359" s="465"/>
      <c r="D359" s="829" t="s">
        <v>1383</v>
      </c>
      <c r="E359" s="1355" t="s">
        <v>1384</v>
      </c>
      <c r="F359" s="196"/>
      <c r="G359" s="1356" t="str">
        <f>IF(E358="Yes","Program","")</f>
        <v/>
      </c>
      <c r="H359" s="188"/>
      <c r="I359" s="1357"/>
      <c r="J359" s="884"/>
      <c r="K359" s="1356" t="str">
        <f>IF(E358="Yes","Corporate Office","")</f>
        <v/>
      </c>
      <c r="L359" s="188"/>
      <c r="M359" s="1358"/>
      <c r="N359" s="884"/>
      <c r="O359" s="884"/>
      <c r="P359" s="612"/>
      <c r="Q359" s="1125"/>
    </row>
    <row r="360" spans="1:17" s="180" customFormat="1" ht="19.5" hidden="1" customHeight="1" thickBot="1" x14ac:dyDescent="0.3">
      <c r="A360" s="243"/>
      <c r="B360" s="243"/>
      <c r="C360" s="465"/>
      <c r="D360" s="7"/>
      <c r="E360" s="597"/>
      <c r="F360" s="843"/>
      <c r="G360" s="843"/>
      <c r="H360" s="884"/>
      <c r="I360" s="188"/>
      <c r="J360" s="188"/>
      <c r="K360" s="188"/>
      <c r="L360" s="884"/>
      <c r="M360" s="884"/>
      <c r="N360" s="884"/>
      <c r="O360" s="884"/>
      <c r="P360" s="612"/>
      <c r="Q360" s="1125"/>
    </row>
    <row r="361" spans="1:17" s="180" customFormat="1" ht="19.5" hidden="1" customHeight="1" thickBot="1" x14ac:dyDescent="0.3">
      <c r="A361" s="243"/>
      <c r="B361" s="243"/>
      <c r="C361" s="465"/>
      <c r="D361" s="836" t="s">
        <v>1385</v>
      </c>
      <c r="E361" s="1451" t="str">
        <f>IF(E358="Yes",IFERROR(VLOOKUP(G365,'Required Info to Submit'!$E$23:'Required Info to Submit'!$M$32,7, FALSE),""),"")</f>
        <v/>
      </c>
      <c r="F361" s="239"/>
      <c r="G361" s="228" t="s">
        <v>1396</v>
      </c>
      <c r="H361" s="188"/>
      <c r="I361" s="1359"/>
      <c r="J361" s="1359"/>
      <c r="K361" s="194" t="s">
        <v>1389</v>
      </c>
      <c r="L361" s="1359"/>
      <c r="M361" s="1870" t="str">
        <f>IF(C363="Yes","Retro Accrual will be posted to the GL.  Please provide business rational and ADF pre-approval is required","")</f>
        <v/>
      </c>
      <c r="N361" s="188"/>
      <c r="O361" s="6" t="s">
        <v>490</v>
      </c>
      <c r="P361" s="612"/>
      <c r="Q361" s="1125"/>
    </row>
    <row r="362" spans="1:17" s="180" customFormat="1" ht="19.5" hidden="1" customHeight="1" thickBot="1" x14ac:dyDescent="0.3">
      <c r="A362" s="243"/>
      <c r="B362" s="243"/>
      <c r="C362" s="465" t="str">
        <f ca="1">IF(C361="Yes",IF('Agreement Worksheet'!$K$5&gt;TODAY(),"Yes",""),"")</f>
        <v/>
      </c>
      <c r="D362" s="836" t="s">
        <v>1386</v>
      </c>
      <c r="E362" s="1451" t="str">
        <f>IF(E358="Yes",'Agreement Worksheet'!$K$5,"")</f>
        <v/>
      </c>
      <c r="F362" s="196"/>
      <c r="G362" s="1518" t="str">
        <f>IF(E358="Yes",IFERROR(K365*K362,""),"")</f>
        <v/>
      </c>
      <c r="H362" s="188"/>
      <c r="I362" s="1360"/>
      <c r="J362" s="1360"/>
      <c r="K362" s="1520" t="str">
        <f>IF(E270="Yes",IFERROR($K$222,""),"")</f>
        <v/>
      </c>
      <c r="L362" s="1359"/>
      <c r="M362" s="1870"/>
      <c r="N362" s="188"/>
      <c r="O362" s="914">
        <f>IF(Incentives!E362&lt;Welcome!D56,0,IF(E358="Yes",IFERROR(ROUND((G362/E365),0)*52,0),0))</f>
        <v>0</v>
      </c>
      <c r="P362" s="612"/>
      <c r="Q362" s="1125"/>
    </row>
    <row r="363" spans="1:17" s="180" customFormat="1" ht="19.5" hidden="1" customHeight="1" thickBot="1" x14ac:dyDescent="0.3">
      <c r="A363" s="243"/>
      <c r="B363" s="243"/>
      <c r="C363" s="465">
        <f>IF(AND($E$317&lt;&gt;"",$E$317&lt;E364),"Yes",)</f>
        <v>0</v>
      </c>
      <c r="D363" s="884"/>
      <c r="E363" s="884"/>
      <c r="F363" s="196"/>
      <c r="G363" s="1359"/>
      <c r="H363" s="1359"/>
      <c r="I363" s="1359"/>
      <c r="J363" s="1359"/>
      <c r="K363" s="1359"/>
      <c r="L363" s="1359"/>
      <c r="M363" s="1870"/>
      <c r="N363" s="1359"/>
      <c r="O363" s="1359"/>
      <c r="P363" s="612"/>
      <c r="Q363" s="1125"/>
    </row>
    <row r="364" spans="1:17" s="180" customFormat="1" ht="27" hidden="1" customHeight="1" thickBot="1" x14ac:dyDescent="0.3">
      <c r="A364" s="243"/>
      <c r="B364" s="243"/>
      <c r="C364" s="465"/>
      <c r="D364" s="1361" t="s">
        <v>2004</v>
      </c>
      <c r="E364" s="1452" t="str">
        <f>IF(E358="Yes",IF(Welcome!D52&lt;&gt;"",Welcome!D52,""),"")</f>
        <v/>
      </c>
      <c r="F364" s="196"/>
      <c r="G364" s="228" t="s">
        <v>2005</v>
      </c>
      <c r="H364" s="1359"/>
      <c r="I364" s="228" t="s">
        <v>2006</v>
      </c>
      <c r="J364" s="1359"/>
      <c r="K364" s="228" t="s">
        <v>1482</v>
      </c>
      <c r="L364" s="1359"/>
      <c r="M364" s="1870"/>
      <c r="N364" s="1359"/>
      <c r="O364" s="1359"/>
      <c r="P364" s="612"/>
      <c r="Q364" s="1125"/>
    </row>
    <row r="365" spans="1:17" s="180" customFormat="1" ht="19.5" hidden="1" customHeight="1" thickBot="1" x14ac:dyDescent="0.3">
      <c r="A365" s="243"/>
      <c r="B365" s="243"/>
      <c r="C365" s="465"/>
      <c r="D365" s="1361" t="s">
        <v>2007</v>
      </c>
      <c r="E365" s="1392" t="str">
        <f>IFERROR(('Agreement Worksheet'!$K$5-E361)/7,"")</f>
        <v/>
      </c>
      <c r="F365" s="196"/>
      <c r="G365" s="1362"/>
      <c r="H365" s="1359"/>
      <c r="I365" s="1518" t="str">
        <f>IF(E358="Yes",IFERROR(VLOOKUP(G365,'Customer Inputs'!$G$6:'Customer Inputs'!$P$25,10),""),"")</f>
        <v/>
      </c>
      <c r="J365" s="1359"/>
      <c r="K365" s="1518" t="str">
        <f>IFERROR((I365/52)*E365,"")</f>
        <v/>
      </c>
      <c r="L365" s="1359"/>
      <c r="M365" s="1359"/>
      <c r="N365" s="1359"/>
      <c r="O365" s="1359"/>
      <c r="P365" s="612"/>
      <c r="Q365" s="1125"/>
    </row>
    <row r="366" spans="1:17" s="180" customFormat="1" ht="19.5" hidden="1" customHeight="1" x14ac:dyDescent="0.25">
      <c r="A366" s="245"/>
      <c r="B366" s="245"/>
      <c r="C366" s="661"/>
      <c r="D366" s="481"/>
      <c r="E366" s="202"/>
      <c r="F366" s="202"/>
      <c r="G366" s="668"/>
      <c r="H366" s="202"/>
      <c r="I366" s="202"/>
      <c r="J366" s="202"/>
      <c r="K366" s="1073"/>
      <c r="L366" s="202"/>
      <c r="M366" s="202"/>
      <c r="N366" s="202"/>
      <c r="O366" s="202"/>
      <c r="P366" s="250"/>
      <c r="Q366" s="1125"/>
    </row>
    <row r="367" spans="1:17" s="180" customFormat="1" ht="9" hidden="1" customHeight="1" x14ac:dyDescent="0.25">
      <c r="C367" s="1376"/>
      <c r="Q367" s="1125"/>
    </row>
    <row r="368" spans="1:17" s="180" customFormat="1" ht="19.5" hidden="1" customHeight="1" thickBot="1" x14ac:dyDescent="0.3">
      <c r="A368" s="248"/>
      <c r="B368" s="248"/>
      <c r="C368" s="1374"/>
      <c r="D368" s="1868" t="s">
        <v>1775</v>
      </c>
      <c r="E368" s="1869"/>
      <c r="F368" s="892"/>
      <c r="G368" s="184"/>
      <c r="H368" s="184"/>
      <c r="I368" s="184"/>
      <c r="J368" s="184"/>
      <c r="K368" s="184"/>
      <c r="L368" s="184"/>
      <c r="M368" s="184"/>
      <c r="N368" s="184"/>
      <c r="O368" s="184"/>
      <c r="P368" s="611"/>
      <c r="Q368" s="1125"/>
    </row>
    <row r="369" spans="1:17" s="180" customFormat="1" ht="19.5" hidden="1" customHeight="1" thickBot="1" x14ac:dyDescent="0.3">
      <c r="A369" s="243"/>
      <c r="B369" s="243"/>
      <c r="C369" s="465"/>
      <c r="D369" s="922" t="s">
        <v>523</v>
      </c>
      <c r="E369" s="847" t="s">
        <v>648</v>
      </c>
      <c r="F369" s="239"/>
      <c r="G369" s="194" t="s">
        <v>1380</v>
      </c>
      <c r="H369" s="188"/>
      <c r="I369" s="194" t="s">
        <v>1381</v>
      </c>
      <c r="J369" s="41"/>
      <c r="K369" s="194" t="s">
        <v>1397</v>
      </c>
      <c r="L369" s="188"/>
      <c r="M369" s="194" t="s">
        <v>1382</v>
      </c>
      <c r="N369" s="884"/>
      <c r="O369" s="884"/>
      <c r="P369" s="612"/>
      <c r="Q369" s="1125"/>
    </row>
    <row r="370" spans="1:17" s="180" customFormat="1" ht="29.25" hidden="1" customHeight="1" thickBot="1" x14ac:dyDescent="0.3">
      <c r="A370" s="243"/>
      <c r="B370" s="243"/>
      <c r="C370" s="465"/>
      <c r="D370" s="829" t="s">
        <v>1383</v>
      </c>
      <c r="E370" s="1355" t="s">
        <v>1384</v>
      </c>
      <c r="F370" s="196"/>
      <c r="G370" s="1356" t="str">
        <f>IF(E369="Yes","Program","")</f>
        <v/>
      </c>
      <c r="H370" s="188"/>
      <c r="I370" s="1357"/>
      <c r="J370" s="884"/>
      <c r="K370" s="1356" t="str">
        <f>IF(E369="Yes","Corporate Office","")</f>
        <v/>
      </c>
      <c r="L370" s="188"/>
      <c r="M370" s="1358"/>
      <c r="N370" s="884"/>
      <c r="O370" s="884"/>
      <c r="P370" s="612"/>
      <c r="Q370" s="1125"/>
    </row>
    <row r="371" spans="1:17" s="180" customFormat="1" ht="19.5" hidden="1" customHeight="1" thickBot="1" x14ac:dyDescent="0.3">
      <c r="A371" s="243"/>
      <c r="B371" s="243"/>
      <c r="C371" s="465"/>
      <c r="D371" s="7"/>
      <c r="E371" s="597"/>
      <c r="F371" s="843"/>
      <c r="G371" s="843"/>
      <c r="H371" s="884"/>
      <c r="I371" s="188"/>
      <c r="J371" s="188"/>
      <c r="K371" s="188"/>
      <c r="L371" s="884"/>
      <c r="M371" s="884"/>
      <c r="N371" s="884"/>
      <c r="O371" s="884"/>
      <c r="P371" s="612"/>
      <c r="Q371" s="1125"/>
    </row>
    <row r="372" spans="1:17" s="180" customFormat="1" ht="19.5" hidden="1" customHeight="1" thickBot="1" x14ac:dyDescent="0.3">
      <c r="A372" s="243"/>
      <c r="B372" s="243"/>
      <c r="C372" s="465"/>
      <c r="D372" s="836" t="s">
        <v>1385</v>
      </c>
      <c r="E372" s="1451" t="str">
        <f>IF(E369="Yes",IFERROR(VLOOKUP(G376,'Required Info to Submit'!$E$23:'Required Info to Submit'!$M$32,7, FALSE),""),"")</f>
        <v/>
      </c>
      <c r="F372" s="239"/>
      <c r="G372" s="228" t="s">
        <v>1396</v>
      </c>
      <c r="H372" s="188"/>
      <c r="I372" s="1359"/>
      <c r="J372" s="1359"/>
      <c r="K372" s="194" t="s">
        <v>1389</v>
      </c>
      <c r="L372" s="1359"/>
      <c r="M372" s="1870" t="str">
        <f>IF(C374="Yes","Retro Accrual will be posted to the GL.  Please provide business rational and ADF pre-approval is required","")</f>
        <v/>
      </c>
      <c r="N372" s="188"/>
      <c r="O372" s="6" t="s">
        <v>490</v>
      </c>
      <c r="P372" s="612"/>
      <c r="Q372" s="1125"/>
    </row>
    <row r="373" spans="1:17" s="180" customFormat="1" ht="19.5" hidden="1" customHeight="1" thickBot="1" x14ac:dyDescent="0.3">
      <c r="A373" s="243"/>
      <c r="B373" s="243"/>
      <c r="C373" s="465" t="str">
        <f ca="1">IF(C372="Yes",IF('Agreement Worksheet'!$K$5&gt;TODAY(),"Yes",""),"")</f>
        <v/>
      </c>
      <c r="D373" s="836" t="s">
        <v>1386</v>
      </c>
      <c r="E373" s="1451" t="str">
        <f>IF(E369="Yes",'Agreement Worksheet'!$K$5,"")</f>
        <v/>
      </c>
      <c r="F373" s="196"/>
      <c r="G373" s="1518" t="str">
        <f>IF(E369="Yes",IFERROR(K376*K373,""),"")</f>
        <v/>
      </c>
      <c r="H373" s="188"/>
      <c r="I373" s="1360"/>
      <c r="J373" s="1360"/>
      <c r="K373" s="1520" t="str">
        <f>IF(E281="Yes",IFERROR($K$222,""),"")</f>
        <v/>
      </c>
      <c r="L373" s="1359"/>
      <c r="M373" s="1870"/>
      <c r="N373" s="188"/>
      <c r="O373" s="914">
        <f>IF(Incentives!E373&lt;Welcome!D67,0,IF(E369="Yes",IFERROR(ROUND((G373/E376),0)*52,0),0))</f>
        <v>0</v>
      </c>
      <c r="P373" s="612"/>
      <c r="Q373" s="1125"/>
    </row>
    <row r="374" spans="1:17" s="180" customFormat="1" ht="19.5" hidden="1" customHeight="1" thickBot="1" x14ac:dyDescent="0.3">
      <c r="A374" s="243"/>
      <c r="B374" s="243"/>
      <c r="C374" s="465">
        <f>IF(AND($E$317&lt;&gt;"",$E$317&lt;E375),"Yes",)</f>
        <v>0</v>
      </c>
      <c r="D374" s="884"/>
      <c r="E374" s="884"/>
      <c r="F374" s="196"/>
      <c r="G374" s="1359"/>
      <c r="H374" s="1359"/>
      <c r="I374" s="1359"/>
      <c r="J374" s="1359"/>
      <c r="K374" s="1359"/>
      <c r="L374" s="1359"/>
      <c r="M374" s="1870"/>
      <c r="N374" s="1359"/>
      <c r="O374" s="1359"/>
      <c r="P374" s="612"/>
      <c r="Q374" s="1125"/>
    </row>
    <row r="375" spans="1:17" s="180" customFormat="1" ht="27" hidden="1" customHeight="1" thickBot="1" x14ac:dyDescent="0.3">
      <c r="A375" s="243"/>
      <c r="B375" s="243"/>
      <c r="C375" s="465"/>
      <c r="D375" s="1361" t="s">
        <v>2004</v>
      </c>
      <c r="E375" s="1452" t="str">
        <f>IF(E369="Yes",IF(Welcome!D63&lt;&gt;"",Welcome!D63,""),"")</f>
        <v/>
      </c>
      <c r="F375" s="196"/>
      <c r="G375" s="228" t="s">
        <v>2005</v>
      </c>
      <c r="H375" s="1359"/>
      <c r="I375" s="228" t="s">
        <v>2006</v>
      </c>
      <c r="J375" s="1359"/>
      <c r="K375" s="228" t="s">
        <v>1482</v>
      </c>
      <c r="L375" s="1359"/>
      <c r="M375" s="1870"/>
      <c r="N375" s="1359"/>
      <c r="O375" s="1359"/>
      <c r="P375" s="612"/>
      <c r="Q375" s="1125"/>
    </row>
    <row r="376" spans="1:17" s="180" customFormat="1" ht="19.5" hidden="1" customHeight="1" thickBot="1" x14ac:dyDescent="0.3">
      <c r="A376" s="243"/>
      <c r="B376" s="243"/>
      <c r="C376" s="465"/>
      <c r="D376" s="1361" t="s">
        <v>2007</v>
      </c>
      <c r="E376" s="1392" t="str">
        <f>IFERROR(('Agreement Worksheet'!$K$5-E372)/7,"")</f>
        <v/>
      </c>
      <c r="F376" s="196"/>
      <c r="G376" s="1362"/>
      <c r="H376" s="1359"/>
      <c r="I376" s="1518" t="str">
        <f>IF(E369="Yes",IFERROR(VLOOKUP(G376,'Customer Inputs'!$G$6:'Customer Inputs'!$P$25,10),""),"")</f>
        <v/>
      </c>
      <c r="J376" s="1359"/>
      <c r="K376" s="1518" t="str">
        <f>IFERROR((I376/52)*E376,"")</f>
        <v/>
      </c>
      <c r="L376" s="1359"/>
      <c r="M376" s="1359"/>
      <c r="N376" s="1359"/>
      <c r="O376" s="1359"/>
      <c r="P376" s="612"/>
      <c r="Q376" s="1125"/>
    </row>
    <row r="377" spans="1:17" s="180" customFormat="1" ht="19.5" hidden="1" customHeight="1" x14ac:dyDescent="0.25">
      <c r="A377" s="245"/>
      <c r="B377" s="245"/>
      <c r="C377" s="661"/>
      <c r="D377" s="481"/>
      <c r="E377" s="202"/>
      <c r="F377" s="202"/>
      <c r="G377" s="668"/>
      <c r="H377" s="202"/>
      <c r="I377" s="202"/>
      <c r="J377" s="202"/>
      <c r="K377" s="1073"/>
      <c r="L377" s="202"/>
      <c r="M377" s="202"/>
      <c r="N377" s="202"/>
      <c r="O377" s="202"/>
      <c r="P377" s="250"/>
      <c r="Q377" s="1125"/>
    </row>
    <row r="378" spans="1:17" s="180" customFormat="1" ht="9" hidden="1" customHeight="1" x14ac:dyDescent="0.25">
      <c r="C378" s="1376"/>
      <c r="Q378" s="1125"/>
    </row>
    <row r="379" spans="1:17" s="180" customFormat="1" ht="19.5" hidden="1" customHeight="1" thickBot="1" x14ac:dyDescent="0.3">
      <c r="A379" s="248"/>
      <c r="B379" s="248"/>
      <c r="C379" s="1374"/>
      <c r="D379" s="1868" t="s">
        <v>1775</v>
      </c>
      <c r="E379" s="1869"/>
      <c r="F379" s="892"/>
      <c r="G379" s="184"/>
      <c r="H379" s="184"/>
      <c r="I379" s="184"/>
      <c r="J379" s="184"/>
      <c r="K379" s="184"/>
      <c r="L379" s="184"/>
      <c r="M379" s="184"/>
      <c r="N379" s="184"/>
      <c r="O379" s="184"/>
      <c r="P379" s="611"/>
      <c r="Q379" s="1125"/>
    </row>
    <row r="380" spans="1:17" s="180" customFormat="1" ht="19.5" hidden="1" customHeight="1" thickBot="1" x14ac:dyDescent="0.3">
      <c r="A380" s="243"/>
      <c r="B380" s="243"/>
      <c r="C380" s="465"/>
      <c r="D380" s="922" t="s">
        <v>523</v>
      </c>
      <c r="E380" s="847" t="s">
        <v>648</v>
      </c>
      <c r="F380" s="239"/>
      <c r="G380" s="194" t="s">
        <v>1380</v>
      </c>
      <c r="H380" s="188"/>
      <c r="I380" s="194" t="s">
        <v>1381</v>
      </c>
      <c r="J380" s="41"/>
      <c r="K380" s="194" t="s">
        <v>1397</v>
      </c>
      <c r="L380" s="188"/>
      <c r="M380" s="194" t="s">
        <v>1382</v>
      </c>
      <c r="N380" s="884"/>
      <c r="O380" s="884"/>
      <c r="P380" s="612"/>
      <c r="Q380" s="1125"/>
    </row>
    <row r="381" spans="1:17" s="180" customFormat="1" ht="29.25" hidden="1" customHeight="1" thickBot="1" x14ac:dyDescent="0.3">
      <c r="A381" s="243"/>
      <c r="B381" s="243"/>
      <c r="C381" s="465"/>
      <c r="D381" s="829" t="s">
        <v>1383</v>
      </c>
      <c r="E381" s="1355" t="s">
        <v>1384</v>
      </c>
      <c r="F381" s="196"/>
      <c r="G381" s="1356" t="str">
        <f>IF(E380="Yes","Program","")</f>
        <v/>
      </c>
      <c r="H381" s="188"/>
      <c r="I381" s="1357"/>
      <c r="J381" s="884"/>
      <c r="K381" s="1356" t="str">
        <f>IF(E380="Yes","Corporate Office","")</f>
        <v/>
      </c>
      <c r="L381" s="188"/>
      <c r="M381" s="1358"/>
      <c r="N381" s="884"/>
      <c r="O381" s="884"/>
      <c r="P381" s="612"/>
      <c r="Q381" s="1125"/>
    </row>
    <row r="382" spans="1:17" s="180" customFormat="1" ht="19.5" hidden="1" customHeight="1" thickBot="1" x14ac:dyDescent="0.3">
      <c r="A382" s="243"/>
      <c r="B382" s="243"/>
      <c r="C382" s="465"/>
      <c r="D382" s="7"/>
      <c r="E382" s="597"/>
      <c r="F382" s="843"/>
      <c r="G382" s="843"/>
      <c r="H382" s="884"/>
      <c r="I382" s="188"/>
      <c r="J382" s="188"/>
      <c r="K382" s="188"/>
      <c r="L382" s="884"/>
      <c r="M382" s="884"/>
      <c r="N382" s="884"/>
      <c r="O382" s="884"/>
      <c r="P382" s="612"/>
      <c r="Q382" s="1125"/>
    </row>
    <row r="383" spans="1:17" s="180" customFormat="1" ht="19.5" hidden="1" customHeight="1" thickBot="1" x14ac:dyDescent="0.3">
      <c r="A383" s="243"/>
      <c r="B383" s="243"/>
      <c r="C383" s="465"/>
      <c r="D383" s="836" t="s">
        <v>1385</v>
      </c>
      <c r="E383" s="1451" t="str">
        <f>IF(E380="Yes",IFERROR(VLOOKUP(G387,'Required Info to Submit'!$E$23:'Required Info to Submit'!$M$32,7, FALSE),""),"")</f>
        <v/>
      </c>
      <c r="F383" s="239"/>
      <c r="G383" s="228" t="s">
        <v>1396</v>
      </c>
      <c r="H383" s="188"/>
      <c r="I383" s="1359"/>
      <c r="J383" s="1359"/>
      <c r="K383" s="194" t="s">
        <v>1389</v>
      </c>
      <c r="L383" s="1359"/>
      <c r="M383" s="1870" t="str">
        <f>IF(C385="Yes","Retro Accrual will be posted to the GL.  Please provide business rational and ADF pre-approval is required","")</f>
        <v/>
      </c>
      <c r="N383" s="188"/>
      <c r="O383" s="6" t="s">
        <v>490</v>
      </c>
      <c r="P383" s="612"/>
      <c r="Q383" s="1125"/>
    </row>
    <row r="384" spans="1:17" s="180" customFormat="1" ht="19.5" hidden="1" customHeight="1" thickBot="1" x14ac:dyDescent="0.3">
      <c r="A384" s="243"/>
      <c r="B384" s="243"/>
      <c r="C384" s="465" t="str">
        <f ca="1">IF(C383="Yes",IF('Agreement Worksheet'!$K$5&gt;TODAY(),"Yes",""),"")</f>
        <v/>
      </c>
      <c r="D384" s="836" t="s">
        <v>1386</v>
      </c>
      <c r="E384" s="1451" t="str">
        <f>IF(E380="Yes",'Agreement Worksheet'!$K$5,"")</f>
        <v/>
      </c>
      <c r="F384" s="196"/>
      <c r="G384" s="1518" t="str">
        <f>IF(E380="Yes",IFERROR(K387*K384,""),"")</f>
        <v/>
      </c>
      <c r="H384" s="188"/>
      <c r="I384" s="1360"/>
      <c r="J384" s="1360"/>
      <c r="K384" s="1520" t="str">
        <f>IF(E292="Yes",IFERROR($K$222,""),"")</f>
        <v/>
      </c>
      <c r="L384" s="1359"/>
      <c r="M384" s="1870"/>
      <c r="N384" s="188"/>
      <c r="O384" s="914">
        <f>IF(Incentives!E384&lt;Welcome!D78,0,IF(E380="Yes",IFERROR(ROUND((G384/E387),0)*52,0),0))</f>
        <v>0</v>
      </c>
      <c r="P384" s="612"/>
      <c r="Q384" s="1125"/>
    </row>
    <row r="385" spans="1:17" s="180" customFormat="1" ht="19.5" hidden="1" customHeight="1" thickBot="1" x14ac:dyDescent="0.3">
      <c r="A385" s="243"/>
      <c r="B385" s="243"/>
      <c r="C385" s="465">
        <f>IF(AND($E$317&lt;&gt;"",$E$317&lt;E386),"Yes",)</f>
        <v>0</v>
      </c>
      <c r="D385" s="884"/>
      <c r="E385" s="884"/>
      <c r="F385" s="196"/>
      <c r="G385" s="1359"/>
      <c r="H385" s="1359"/>
      <c r="I385" s="1359"/>
      <c r="J385" s="1359"/>
      <c r="K385" s="1359"/>
      <c r="L385" s="1359"/>
      <c r="M385" s="1870"/>
      <c r="N385" s="1359"/>
      <c r="O385" s="1359"/>
      <c r="P385" s="612"/>
      <c r="Q385" s="1125"/>
    </row>
    <row r="386" spans="1:17" s="180" customFormat="1" ht="27" hidden="1" customHeight="1" thickBot="1" x14ac:dyDescent="0.3">
      <c r="A386" s="243"/>
      <c r="B386" s="243"/>
      <c r="C386" s="465"/>
      <c r="D386" s="1361" t="s">
        <v>2004</v>
      </c>
      <c r="E386" s="1452" t="str">
        <f>IF(E380="Yes",IF(Welcome!D74&lt;&gt;"",Welcome!D74,""),"")</f>
        <v/>
      </c>
      <c r="F386" s="196"/>
      <c r="G386" s="228" t="s">
        <v>2005</v>
      </c>
      <c r="H386" s="1359"/>
      <c r="I386" s="228" t="s">
        <v>2006</v>
      </c>
      <c r="J386" s="1359"/>
      <c r="K386" s="228" t="s">
        <v>1482</v>
      </c>
      <c r="L386" s="1359"/>
      <c r="M386" s="1870"/>
      <c r="N386" s="1359"/>
      <c r="O386" s="1359"/>
      <c r="P386" s="612"/>
      <c r="Q386" s="1125"/>
    </row>
    <row r="387" spans="1:17" s="180" customFormat="1" ht="19.5" hidden="1" customHeight="1" thickBot="1" x14ac:dyDescent="0.3">
      <c r="A387" s="243"/>
      <c r="B387" s="243"/>
      <c r="C387" s="465"/>
      <c r="D387" s="1361" t="s">
        <v>2007</v>
      </c>
      <c r="E387" s="1392" t="str">
        <f>IFERROR(('Agreement Worksheet'!$K$5-E383)/7,"")</f>
        <v/>
      </c>
      <c r="F387" s="196"/>
      <c r="G387" s="1362"/>
      <c r="H387" s="1359"/>
      <c r="I387" s="1518" t="str">
        <f>IF(E380="Yes",IFERROR(VLOOKUP(G387,'Customer Inputs'!$G$6:'Customer Inputs'!$P$25,10),""),"")</f>
        <v/>
      </c>
      <c r="J387" s="1359"/>
      <c r="K387" s="1518" t="str">
        <f>IFERROR((I387/52)*E387,"")</f>
        <v/>
      </c>
      <c r="L387" s="1359"/>
      <c r="M387" s="1359"/>
      <c r="N387" s="1359"/>
      <c r="O387" s="1359"/>
      <c r="P387" s="612"/>
      <c r="Q387" s="1125"/>
    </row>
    <row r="388" spans="1:17" s="180" customFormat="1" ht="19.5" hidden="1" customHeight="1" x14ac:dyDescent="0.25">
      <c r="A388" s="245"/>
      <c r="B388" s="245"/>
      <c r="C388" s="661"/>
      <c r="D388" s="481"/>
      <c r="E388" s="202"/>
      <c r="F388" s="202"/>
      <c r="G388" s="668"/>
      <c r="H388" s="202"/>
      <c r="I388" s="202"/>
      <c r="J388" s="202"/>
      <c r="K388" s="1073"/>
      <c r="L388" s="202"/>
      <c r="M388" s="202"/>
      <c r="N388" s="202"/>
      <c r="O388" s="202"/>
      <c r="P388" s="250"/>
      <c r="Q388" s="1125"/>
    </row>
    <row r="389" spans="1:17" s="180" customFormat="1" ht="9" hidden="1" customHeight="1" x14ac:dyDescent="0.25">
      <c r="C389" s="1376"/>
      <c r="Q389" s="1125"/>
    </row>
    <row r="390" spans="1:17" s="180" customFormat="1" ht="19.5" hidden="1" customHeight="1" thickBot="1" x14ac:dyDescent="0.3">
      <c r="A390" s="248"/>
      <c r="B390" s="248"/>
      <c r="C390" s="1374"/>
      <c r="D390" s="1868" t="s">
        <v>1775</v>
      </c>
      <c r="E390" s="1869"/>
      <c r="F390" s="892"/>
      <c r="G390" s="184"/>
      <c r="H390" s="184"/>
      <c r="I390" s="184"/>
      <c r="J390" s="184"/>
      <c r="K390" s="184"/>
      <c r="L390" s="184"/>
      <c r="M390" s="184"/>
      <c r="N390" s="184"/>
      <c r="O390" s="184"/>
      <c r="P390" s="611"/>
      <c r="Q390" s="1125"/>
    </row>
    <row r="391" spans="1:17" s="180" customFormat="1" ht="19.5" hidden="1" customHeight="1" thickBot="1" x14ac:dyDescent="0.3">
      <c r="A391" s="243"/>
      <c r="B391" s="243"/>
      <c r="C391" s="465"/>
      <c r="D391" s="922" t="s">
        <v>523</v>
      </c>
      <c r="E391" s="847" t="s">
        <v>648</v>
      </c>
      <c r="F391" s="239"/>
      <c r="G391" s="194" t="s">
        <v>1380</v>
      </c>
      <c r="H391" s="188"/>
      <c r="I391" s="194" t="s">
        <v>1381</v>
      </c>
      <c r="J391" s="41"/>
      <c r="K391" s="194" t="s">
        <v>1397</v>
      </c>
      <c r="L391" s="188"/>
      <c r="M391" s="194" t="s">
        <v>1382</v>
      </c>
      <c r="N391" s="884"/>
      <c r="O391" s="884"/>
      <c r="P391" s="612"/>
      <c r="Q391" s="1125"/>
    </row>
    <row r="392" spans="1:17" s="180" customFormat="1" ht="29.25" hidden="1" customHeight="1" thickBot="1" x14ac:dyDescent="0.3">
      <c r="A392" s="243"/>
      <c r="B392" s="243"/>
      <c r="C392" s="465"/>
      <c r="D392" s="829" t="s">
        <v>1383</v>
      </c>
      <c r="E392" s="1355" t="s">
        <v>1384</v>
      </c>
      <c r="F392" s="196"/>
      <c r="G392" s="1356" t="str">
        <f>IF(E391="Yes","Program","")</f>
        <v/>
      </c>
      <c r="H392" s="188"/>
      <c r="I392" s="1357"/>
      <c r="J392" s="884"/>
      <c r="K392" s="1356" t="str">
        <f>IF(E391="Yes","Corporate Office","")</f>
        <v/>
      </c>
      <c r="L392" s="188"/>
      <c r="M392" s="1358"/>
      <c r="N392" s="884"/>
      <c r="O392" s="884"/>
      <c r="P392" s="612"/>
      <c r="Q392" s="1125"/>
    </row>
    <row r="393" spans="1:17" s="180" customFormat="1" ht="19.5" hidden="1" customHeight="1" thickBot="1" x14ac:dyDescent="0.3">
      <c r="A393" s="243"/>
      <c r="B393" s="243"/>
      <c r="C393" s="465"/>
      <c r="D393" s="7"/>
      <c r="E393" s="597"/>
      <c r="F393" s="843"/>
      <c r="G393" s="843"/>
      <c r="H393" s="884"/>
      <c r="I393" s="188"/>
      <c r="J393" s="188"/>
      <c r="K393" s="188"/>
      <c r="L393" s="884"/>
      <c r="M393" s="884"/>
      <c r="N393" s="884"/>
      <c r="O393" s="884"/>
      <c r="P393" s="612"/>
      <c r="Q393" s="1125"/>
    </row>
    <row r="394" spans="1:17" s="180" customFormat="1" ht="19.5" hidden="1" customHeight="1" thickBot="1" x14ac:dyDescent="0.3">
      <c r="A394" s="243"/>
      <c r="B394" s="243"/>
      <c r="C394" s="465"/>
      <c r="D394" s="836" t="s">
        <v>1385</v>
      </c>
      <c r="E394" s="1451" t="str">
        <f>IF(E391="Yes",IFERROR(VLOOKUP(G398,'Required Info to Submit'!$E$23:'Required Info to Submit'!$M$32,7, FALSE),""),"")</f>
        <v/>
      </c>
      <c r="F394" s="239"/>
      <c r="G394" s="228" t="s">
        <v>1396</v>
      </c>
      <c r="H394" s="188"/>
      <c r="I394" s="1359"/>
      <c r="J394" s="1359"/>
      <c r="K394" s="194" t="s">
        <v>1389</v>
      </c>
      <c r="L394" s="1359"/>
      <c r="M394" s="1870" t="str">
        <f>IF(C396="Yes","Retro Accrual will be posted to the GL.  Please provide business rational and ADF pre-approval is required","")</f>
        <v/>
      </c>
      <c r="N394" s="188"/>
      <c r="O394" s="6" t="s">
        <v>490</v>
      </c>
      <c r="P394" s="612"/>
      <c r="Q394" s="1125"/>
    </row>
    <row r="395" spans="1:17" s="180" customFormat="1" ht="19.5" hidden="1" customHeight="1" thickBot="1" x14ac:dyDescent="0.3">
      <c r="A395" s="243"/>
      <c r="B395" s="243"/>
      <c r="C395" s="465" t="str">
        <f ca="1">IF(C394="Yes",IF('Agreement Worksheet'!$K$5&gt;TODAY(),"Yes",""),"")</f>
        <v/>
      </c>
      <c r="D395" s="836" t="s">
        <v>1386</v>
      </c>
      <c r="E395" s="1451" t="str">
        <f>IF(E391="Yes",'Agreement Worksheet'!$K$5,"")</f>
        <v/>
      </c>
      <c r="F395" s="196"/>
      <c r="G395" s="1518" t="str">
        <f>IF(E391="Yes",IFERROR(K398*K395,""),"")</f>
        <v/>
      </c>
      <c r="H395" s="188"/>
      <c r="I395" s="1360"/>
      <c r="J395" s="1360"/>
      <c r="K395" s="1520" t="str">
        <f>IF(E303="Yes",IFERROR($K$222,""),"")</f>
        <v/>
      </c>
      <c r="L395" s="1359"/>
      <c r="M395" s="1870"/>
      <c r="N395" s="188"/>
      <c r="O395" s="914">
        <f>IF(Incentives!E395&lt;Welcome!D89,0,IF(E391="Yes",IFERROR(ROUND((G395/E398),0)*52,0),0))</f>
        <v>0</v>
      </c>
      <c r="P395" s="612"/>
      <c r="Q395" s="1125"/>
    </row>
    <row r="396" spans="1:17" s="180" customFormat="1" ht="19.5" hidden="1" customHeight="1" thickBot="1" x14ac:dyDescent="0.3">
      <c r="A396" s="243"/>
      <c r="B396" s="243"/>
      <c r="C396" s="465">
        <f>IF(AND($E$317&lt;&gt;"",$E$317&lt;E397),"Yes",)</f>
        <v>0</v>
      </c>
      <c r="D396" s="884"/>
      <c r="E396" s="884"/>
      <c r="F396" s="196"/>
      <c r="G396" s="1359"/>
      <c r="H396" s="1359"/>
      <c r="I396" s="1359"/>
      <c r="J396" s="1359"/>
      <c r="K396" s="1359"/>
      <c r="L396" s="1359"/>
      <c r="M396" s="1870"/>
      <c r="N396" s="1359"/>
      <c r="O396" s="1359"/>
      <c r="P396" s="612"/>
      <c r="Q396" s="1125"/>
    </row>
    <row r="397" spans="1:17" s="180" customFormat="1" ht="27" hidden="1" customHeight="1" thickBot="1" x14ac:dyDescent="0.3">
      <c r="A397" s="243"/>
      <c r="B397" s="243"/>
      <c r="C397" s="465"/>
      <c r="D397" s="1361" t="s">
        <v>2004</v>
      </c>
      <c r="E397" s="1452" t="str">
        <f>IF(E391="Yes",IF(Welcome!D85&lt;&gt;"",Welcome!D85,""),"")</f>
        <v/>
      </c>
      <c r="F397" s="196"/>
      <c r="G397" s="228" t="s">
        <v>2005</v>
      </c>
      <c r="H397" s="1359"/>
      <c r="I397" s="228" t="s">
        <v>2006</v>
      </c>
      <c r="J397" s="1359"/>
      <c r="K397" s="228" t="s">
        <v>1482</v>
      </c>
      <c r="L397" s="1359"/>
      <c r="M397" s="1870"/>
      <c r="N397" s="1359"/>
      <c r="O397" s="1359"/>
      <c r="P397" s="612"/>
      <c r="Q397" s="1125"/>
    </row>
    <row r="398" spans="1:17" s="180" customFormat="1" ht="19.5" hidden="1" customHeight="1" thickBot="1" x14ac:dyDescent="0.3">
      <c r="A398" s="243"/>
      <c r="B398" s="243"/>
      <c r="C398" s="465"/>
      <c r="D398" s="1361" t="s">
        <v>2007</v>
      </c>
      <c r="E398" s="1392" t="str">
        <f>IFERROR(('Agreement Worksheet'!$K$5-E394)/7,"")</f>
        <v/>
      </c>
      <c r="F398" s="196"/>
      <c r="G398" s="1362"/>
      <c r="H398" s="1359"/>
      <c r="I398" s="1518" t="str">
        <f>IF(E391="Yes",IFERROR(VLOOKUP(G398,'Customer Inputs'!$G$6:'Customer Inputs'!$P$25,10),""),"")</f>
        <v/>
      </c>
      <c r="J398" s="1359"/>
      <c r="K398" s="1518" t="str">
        <f>IFERROR((I398/52)*E398,"")</f>
        <v/>
      </c>
      <c r="L398" s="1359"/>
      <c r="M398" s="1359"/>
      <c r="N398" s="1359"/>
      <c r="O398" s="1359"/>
      <c r="P398" s="612"/>
      <c r="Q398" s="1125"/>
    </row>
    <row r="399" spans="1:17" s="180" customFormat="1" ht="19.5" hidden="1" customHeight="1" x14ac:dyDescent="0.25">
      <c r="A399" s="245"/>
      <c r="B399" s="245"/>
      <c r="C399" s="661"/>
      <c r="D399" s="481"/>
      <c r="E399" s="202"/>
      <c r="F399" s="202"/>
      <c r="G399" s="668"/>
      <c r="H399" s="202"/>
      <c r="I399" s="202"/>
      <c r="J399" s="202"/>
      <c r="K399" s="1073"/>
      <c r="L399" s="202"/>
      <c r="M399" s="202"/>
      <c r="N399" s="202"/>
      <c r="O399" s="202"/>
      <c r="P399" s="250"/>
      <c r="Q399" s="1125"/>
    </row>
    <row r="400" spans="1:17" s="180" customFormat="1" ht="9" hidden="1" customHeight="1" x14ac:dyDescent="0.25">
      <c r="C400" s="1376"/>
      <c r="Q400" s="1125"/>
    </row>
    <row r="401" spans="1:17" s="180" customFormat="1" ht="19.5" hidden="1" customHeight="1" thickBot="1" x14ac:dyDescent="0.3">
      <c r="A401" s="248"/>
      <c r="B401" s="248"/>
      <c r="C401" s="1374"/>
      <c r="D401" s="1868" t="s">
        <v>1775</v>
      </c>
      <c r="E401" s="1869"/>
      <c r="F401" s="892"/>
      <c r="G401" s="184"/>
      <c r="H401" s="184"/>
      <c r="I401" s="184"/>
      <c r="J401" s="184"/>
      <c r="K401" s="184"/>
      <c r="L401" s="184"/>
      <c r="M401" s="184"/>
      <c r="N401" s="184"/>
      <c r="O401" s="184"/>
      <c r="P401" s="611"/>
      <c r="Q401" s="1125"/>
    </row>
    <row r="402" spans="1:17" s="180" customFormat="1" ht="19.5" hidden="1" customHeight="1" thickBot="1" x14ac:dyDescent="0.3">
      <c r="A402" s="243"/>
      <c r="B402" s="243"/>
      <c r="C402" s="465"/>
      <c r="D402" s="922" t="s">
        <v>523</v>
      </c>
      <c r="E402" s="847" t="s">
        <v>648</v>
      </c>
      <c r="F402" s="239"/>
      <c r="G402" s="194" t="s">
        <v>1380</v>
      </c>
      <c r="H402" s="188"/>
      <c r="I402" s="194" t="s">
        <v>1381</v>
      </c>
      <c r="J402" s="41"/>
      <c r="K402" s="194" t="s">
        <v>1397</v>
      </c>
      <c r="L402" s="188"/>
      <c r="M402" s="194" t="s">
        <v>1382</v>
      </c>
      <c r="N402" s="884"/>
      <c r="O402" s="884"/>
      <c r="P402" s="612"/>
      <c r="Q402" s="1125"/>
    </row>
    <row r="403" spans="1:17" s="180" customFormat="1" ht="29.25" hidden="1" customHeight="1" thickBot="1" x14ac:dyDescent="0.3">
      <c r="A403" s="243"/>
      <c r="B403" s="243"/>
      <c r="C403" s="465"/>
      <c r="D403" s="829" t="s">
        <v>1383</v>
      </c>
      <c r="E403" s="1355" t="s">
        <v>1384</v>
      </c>
      <c r="F403" s="196"/>
      <c r="G403" s="1356" t="str">
        <f>IF(E402="Yes","Program","")</f>
        <v/>
      </c>
      <c r="H403" s="188"/>
      <c r="I403" s="1357"/>
      <c r="J403" s="884"/>
      <c r="K403" s="1356" t="str">
        <f>IF(E402="Yes","Corporate Office","")</f>
        <v/>
      </c>
      <c r="L403" s="188"/>
      <c r="M403" s="1358"/>
      <c r="N403" s="884"/>
      <c r="O403" s="884"/>
      <c r="P403" s="612"/>
      <c r="Q403" s="1125"/>
    </row>
    <row r="404" spans="1:17" s="180" customFormat="1" ht="19.5" hidden="1" customHeight="1" thickBot="1" x14ac:dyDescent="0.3">
      <c r="A404" s="243"/>
      <c r="B404" s="243"/>
      <c r="C404" s="465"/>
      <c r="D404" s="7"/>
      <c r="E404" s="597"/>
      <c r="F404" s="843"/>
      <c r="G404" s="843"/>
      <c r="H404" s="884"/>
      <c r="I404" s="188"/>
      <c r="J404" s="188"/>
      <c r="K404" s="188"/>
      <c r="L404" s="884"/>
      <c r="M404" s="884"/>
      <c r="N404" s="884"/>
      <c r="O404" s="884"/>
      <c r="P404" s="612"/>
      <c r="Q404" s="1125"/>
    </row>
    <row r="405" spans="1:17" s="180" customFormat="1" ht="19.5" hidden="1" customHeight="1" thickBot="1" x14ac:dyDescent="0.3">
      <c r="A405" s="243"/>
      <c r="B405" s="243"/>
      <c r="C405" s="465"/>
      <c r="D405" s="836" t="s">
        <v>1385</v>
      </c>
      <c r="E405" s="1451" t="str">
        <f>IF(E402="Yes",IFERROR(VLOOKUP(G409,'Required Info to Submit'!$E$23:'Required Info to Submit'!$M$32,7, FALSE),""),"")</f>
        <v/>
      </c>
      <c r="F405" s="239"/>
      <c r="G405" s="228" t="s">
        <v>1396</v>
      </c>
      <c r="H405" s="188"/>
      <c r="I405" s="1359"/>
      <c r="J405" s="1359"/>
      <c r="K405" s="194" t="s">
        <v>1389</v>
      </c>
      <c r="L405" s="1359"/>
      <c r="M405" s="1870" t="str">
        <f>IF(C407="Yes","Retro Accrual will be posted to the GL.  Please provide business rational and ADF pre-approval is required","")</f>
        <v/>
      </c>
      <c r="N405" s="188"/>
      <c r="O405" s="6" t="s">
        <v>490</v>
      </c>
      <c r="P405" s="612"/>
      <c r="Q405" s="1125"/>
    </row>
    <row r="406" spans="1:17" s="180" customFormat="1" ht="19.5" hidden="1" customHeight="1" thickBot="1" x14ac:dyDescent="0.3">
      <c r="A406" s="243"/>
      <c r="B406" s="243"/>
      <c r="C406" s="465" t="str">
        <f ca="1">IF(C405="Yes",IF('Agreement Worksheet'!$K$5&gt;TODAY(),"Yes",""),"")</f>
        <v/>
      </c>
      <c r="D406" s="836" t="s">
        <v>1386</v>
      </c>
      <c r="E406" s="1451" t="str">
        <f>IF(E402="Yes",'Agreement Worksheet'!$K$5,"")</f>
        <v/>
      </c>
      <c r="F406" s="196"/>
      <c r="G406" s="1518" t="str">
        <f>IF(E402="Yes",IFERROR(K409*K406,""),"")</f>
        <v/>
      </c>
      <c r="H406" s="188"/>
      <c r="I406" s="1360"/>
      <c r="J406" s="1360"/>
      <c r="K406" s="1520" t="str">
        <f>IF(E314="Yes",IFERROR($K$222,""),"")</f>
        <v/>
      </c>
      <c r="L406" s="1359"/>
      <c r="M406" s="1870"/>
      <c r="N406" s="188"/>
      <c r="O406" s="914">
        <f>IF(Incentives!E406&lt;Welcome!D100,0,IF(E402="Yes",IFERROR(ROUND((G406/E409),0)*52,0),0))</f>
        <v>0</v>
      </c>
      <c r="P406" s="612"/>
      <c r="Q406" s="1125"/>
    </row>
    <row r="407" spans="1:17" s="180" customFormat="1" ht="19.5" hidden="1" customHeight="1" thickBot="1" x14ac:dyDescent="0.3">
      <c r="A407" s="243"/>
      <c r="B407" s="243"/>
      <c r="C407" s="465">
        <f>IF(AND($E$317&lt;&gt;"",$E$317&lt;E408),"Yes",)</f>
        <v>0</v>
      </c>
      <c r="D407" s="884"/>
      <c r="E407" s="884"/>
      <c r="F407" s="196"/>
      <c r="G407" s="1359"/>
      <c r="H407" s="1359"/>
      <c r="I407" s="1359"/>
      <c r="J407" s="1359"/>
      <c r="K407" s="1359"/>
      <c r="L407" s="1359"/>
      <c r="M407" s="1870"/>
      <c r="N407" s="1359"/>
      <c r="O407" s="1359"/>
      <c r="P407" s="612"/>
      <c r="Q407" s="1125"/>
    </row>
    <row r="408" spans="1:17" s="180" customFormat="1" ht="27" hidden="1" customHeight="1" thickBot="1" x14ac:dyDescent="0.3">
      <c r="A408" s="243"/>
      <c r="B408" s="243"/>
      <c r="C408" s="465"/>
      <c r="D408" s="1361" t="s">
        <v>2004</v>
      </c>
      <c r="E408" s="1452" t="str">
        <f>IF(E402="Yes",IF(Welcome!D96&lt;&gt;"",Welcome!D96,""),"")</f>
        <v/>
      </c>
      <c r="F408" s="196"/>
      <c r="G408" s="228" t="s">
        <v>2005</v>
      </c>
      <c r="H408" s="1359"/>
      <c r="I408" s="228" t="s">
        <v>2006</v>
      </c>
      <c r="J408" s="1359"/>
      <c r="K408" s="228" t="s">
        <v>1482</v>
      </c>
      <c r="L408" s="1359"/>
      <c r="M408" s="1870"/>
      <c r="N408" s="1359"/>
      <c r="O408" s="1359"/>
      <c r="P408" s="612"/>
      <c r="Q408" s="1125"/>
    </row>
    <row r="409" spans="1:17" s="180" customFormat="1" ht="19.5" hidden="1" customHeight="1" thickBot="1" x14ac:dyDescent="0.3">
      <c r="A409" s="243"/>
      <c r="B409" s="243"/>
      <c r="C409" s="465"/>
      <c r="D409" s="1361" t="s">
        <v>2007</v>
      </c>
      <c r="E409" s="1392" t="str">
        <f>IFERROR(('Agreement Worksheet'!$K$5-E405)/7,"")</f>
        <v/>
      </c>
      <c r="F409" s="196"/>
      <c r="G409" s="1362"/>
      <c r="H409" s="1359"/>
      <c r="I409" s="1518" t="str">
        <f>IF(E402="Yes",IFERROR(VLOOKUP(G409,'Customer Inputs'!$G$6:'Customer Inputs'!$P$25,10),""),"")</f>
        <v/>
      </c>
      <c r="J409" s="1359"/>
      <c r="K409" s="1518" t="str">
        <f>IFERROR((I409/52)*E409,"")</f>
        <v/>
      </c>
      <c r="L409" s="1359"/>
      <c r="M409" s="1359"/>
      <c r="N409" s="1359"/>
      <c r="O409" s="1359"/>
      <c r="P409" s="612"/>
      <c r="Q409" s="1125"/>
    </row>
    <row r="410" spans="1:17" s="180" customFormat="1" ht="19.5" hidden="1" customHeight="1" x14ac:dyDescent="0.25">
      <c r="A410" s="245"/>
      <c r="B410" s="245"/>
      <c r="C410" s="661"/>
      <c r="D410" s="481"/>
      <c r="E410" s="202"/>
      <c r="F410" s="202"/>
      <c r="G410" s="668"/>
      <c r="H410" s="202"/>
      <c r="I410" s="202"/>
      <c r="J410" s="202"/>
      <c r="K410" s="1073"/>
      <c r="L410" s="202"/>
      <c r="M410" s="202"/>
      <c r="N410" s="202"/>
      <c r="O410" s="202"/>
      <c r="P410" s="250"/>
      <c r="Q410" s="1125"/>
    </row>
    <row r="411" spans="1:17" s="180" customFormat="1" ht="9" hidden="1" customHeight="1" x14ac:dyDescent="0.25">
      <c r="C411" s="1376"/>
      <c r="Q411" s="1125"/>
    </row>
    <row r="412" spans="1:17" s="180" customFormat="1" ht="19.5" hidden="1" customHeight="1" thickBot="1" x14ac:dyDescent="0.3">
      <c r="A412" s="248"/>
      <c r="B412" s="248"/>
      <c r="C412" s="1374"/>
      <c r="D412" s="1868" t="s">
        <v>1775</v>
      </c>
      <c r="E412" s="1869"/>
      <c r="F412" s="892"/>
      <c r="G412" s="184"/>
      <c r="H412" s="184"/>
      <c r="I412" s="184"/>
      <c r="J412" s="184"/>
      <c r="K412" s="184"/>
      <c r="L412" s="184"/>
      <c r="M412" s="184"/>
      <c r="N412" s="184"/>
      <c r="O412" s="184"/>
      <c r="P412" s="611"/>
      <c r="Q412" s="1125"/>
    </row>
    <row r="413" spans="1:17" s="180" customFormat="1" ht="19.5" hidden="1" customHeight="1" thickBot="1" x14ac:dyDescent="0.3">
      <c r="A413" s="243"/>
      <c r="B413" s="243"/>
      <c r="C413" s="465"/>
      <c r="D413" s="922" t="s">
        <v>523</v>
      </c>
      <c r="E413" s="847" t="s">
        <v>648</v>
      </c>
      <c r="F413" s="239"/>
      <c r="G413" s="194" t="s">
        <v>1380</v>
      </c>
      <c r="H413" s="188"/>
      <c r="I413" s="194" t="s">
        <v>1381</v>
      </c>
      <c r="J413" s="41"/>
      <c r="K413" s="194" t="s">
        <v>1397</v>
      </c>
      <c r="L413" s="188"/>
      <c r="M413" s="194" t="s">
        <v>1382</v>
      </c>
      <c r="N413" s="884"/>
      <c r="O413" s="884"/>
      <c r="P413" s="612"/>
      <c r="Q413" s="1125"/>
    </row>
    <row r="414" spans="1:17" s="180" customFormat="1" ht="29.25" hidden="1" customHeight="1" thickBot="1" x14ac:dyDescent="0.3">
      <c r="A414" s="243"/>
      <c r="B414" s="243"/>
      <c r="C414" s="465"/>
      <c r="D414" s="829" t="s">
        <v>1383</v>
      </c>
      <c r="E414" s="1355" t="s">
        <v>1384</v>
      </c>
      <c r="F414" s="196"/>
      <c r="G414" s="1356" t="str">
        <f>IF(E413="Yes","Program","")</f>
        <v/>
      </c>
      <c r="H414" s="188"/>
      <c r="I414" s="1357"/>
      <c r="J414" s="884"/>
      <c r="K414" s="1356" t="str">
        <f>IF(E413="Yes","Corporate Office","")</f>
        <v/>
      </c>
      <c r="L414" s="188"/>
      <c r="M414" s="1358"/>
      <c r="N414" s="884"/>
      <c r="O414" s="884"/>
      <c r="P414" s="612"/>
      <c r="Q414" s="1125"/>
    </row>
    <row r="415" spans="1:17" s="180" customFormat="1" ht="19.5" hidden="1" customHeight="1" thickBot="1" x14ac:dyDescent="0.3">
      <c r="A415" s="243"/>
      <c r="B415" s="243"/>
      <c r="C415" s="465"/>
      <c r="D415" s="7"/>
      <c r="E415" s="597"/>
      <c r="F415" s="843"/>
      <c r="G415" s="843"/>
      <c r="H415" s="884"/>
      <c r="I415" s="188"/>
      <c r="J415" s="188"/>
      <c r="K415" s="188"/>
      <c r="L415" s="884"/>
      <c r="M415" s="884"/>
      <c r="N415" s="884"/>
      <c r="O415" s="884"/>
      <c r="P415" s="612"/>
      <c r="Q415" s="1125"/>
    </row>
    <row r="416" spans="1:17" s="180" customFormat="1" ht="19.5" hidden="1" customHeight="1" thickBot="1" x14ac:dyDescent="0.3">
      <c r="A416" s="243"/>
      <c r="B416" s="243"/>
      <c r="C416" s="465"/>
      <c r="D416" s="836" t="s">
        <v>1385</v>
      </c>
      <c r="E416" s="1451" t="str">
        <f>IF(E413="Yes",IFERROR(VLOOKUP(G420,'Required Info to Submit'!$E$23:'Required Info to Submit'!$M$32,7, FALSE),""),"")</f>
        <v/>
      </c>
      <c r="F416" s="239"/>
      <c r="G416" s="228" t="s">
        <v>1396</v>
      </c>
      <c r="H416" s="188"/>
      <c r="I416" s="1359"/>
      <c r="J416" s="1359"/>
      <c r="K416" s="194" t="s">
        <v>1389</v>
      </c>
      <c r="L416" s="1359"/>
      <c r="M416" s="1870" t="str">
        <f>IF(C418="Yes","Retro Accrual will be posted to the GL.  Please provide business rational and ADF pre-approval is required","")</f>
        <v/>
      </c>
      <c r="N416" s="188"/>
      <c r="O416" s="6" t="s">
        <v>490</v>
      </c>
      <c r="P416" s="612"/>
      <c r="Q416" s="1125"/>
    </row>
    <row r="417" spans="1:17" s="180" customFormat="1" ht="19.5" hidden="1" customHeight="1" thickBot="1" x14ac:dyDescent="0.3">
      <c r="A417" s="243"/>
      <c r="B417" s="243"/>
      <c r="C417" s="465" t="str">
        <f ca="1">IF(C416="Yes",IF('Agreement Worksheet'!$K$5&gt;TODAY(),"Yes",""),"")</f>
        <v/>
      </c>
      <c r="D417" s="836" t="s">
        <v>1386</v>
      </c>
      <c r="E417" s="1451" t="str">
        <f>IF(E413="Yes",'Agreement Worksheet'!$K$5,"")</f>
        <v/>
      </c>
      <c r="F417" s="196"/>
      <c r="G417" s="1518" t="str">
        <f>IF(E413="Yes",IFERROR(K420*K417,""),"")</f>
        <v/>
      </c>
      <c r="H417" s="188"/>
      <c r="I417" s="1360"/>
      <c r="J417" s="1360"/>
      <c r="K417" s="1520" t="str">
        <f>IF(E325="Yes",IFERROR($K$222,""),"")</f>
        <v/>
      </c>
      <c r="L417" s="1359"/>
      <c r="M417" s="1870"/>
      <c r="N417" s="188"/>
      <c r="O417" s="914">
        <f>IF(Incentives!E417&lt;Welcome!D111,0,IF(E413="Yes",IFERROR(ROUND((G417/E420),0)*52,0),0))</f>
        <v>0</v>
      </c>
      <c r="P417" s="612"/>
      <c r="Q417" s="1125"/>
    </row>
    <row r="418" spans="1:17" s="180" customFormat="1" ht="19.5" hidden="1" customHeight="1" thickBot="1" x14ac:dyDescent="0.3">
      <c r="A418" s="243"/>
      <c r="B418" s="243"/>
      <c r="C418" s="465">
        <f>IF(AND($E$317&lt;&gt;"",$E$317&lt;E419),"Yes",)</f>
        <v>0</v>
      </c>
      <c r="D418" s="884"/>
      <c r="E418" s="884"/>
      <c r="F418" s="196"/>
      <c r="G418" s="1359"/>
      <c r="H418" s="1359"/>
      <c r="I418" s="1359"/>
      <c r="J418" s="1359"/>
      <c r="K418" s="1359"/>
      <c r="L418" s="1359"/>
      <c r="M418" s="1870"/>
      <c r="N418" s="1359"/>
      <c r="O418" s="1359"/>
      <c r="P418" s="612"/>
      <c r="Q418" s="1125"/>
    </row>
    <row r="419" spans="1:17" s="180" customFormat="1" ht="27" hidden="1" customHeight="1" thickBot="1" x14ac:dyDescent="0.3">
      <c r="A419" s="243"/>
      <c r="B419" s="243"/>
      <c r="C419" s="465"/>
      <c r="D419" s="1361" t="s">
        <v>2004</v>
      </c>
      <c r="E419" s="1452" t="str">
        <f>IF(E413="Yes",IF(Welcome!D107&lt;&gt;"",Welcome!D107,""),"")</f>
        <v/>
      </c>
      <c r="F419" s="196"/>
      <c r="G419" s="228" t="s">
        <v>2005</v>
      </c>
      <c r="H419" s="1359"/>
      <c r="I419" s="228" t="s">
        <v>2006</v>
      </c>
      <c r="J419" s="1359"/>
      <c r="K419" s="228" t="s">
        <v>1482</v>
      </c>
      <c r="L419" s="1359"/>
      <c r="M419" s="1870"/>
      <c r="N419" s="1359"/>
      <c r="O419" s="1359"/>
      <c r="P419" s="612"/>
      <c r="Q419" s="1125"/>
    </row>
    <row r="420" spans="1:17" s="180" customFormat="1" ht="19.5" hidden="1" customHeight="1" thickBot="1" x14ac:dyDescent="0.3">
      <c r="A420" s="243"/>
      <c r="B420" s="243"/>
      <c r="C420" s="465"/>
      <c r="D420" s="1361" t="s">
        <v>2007</v>
      </c>
      <c r="E420" s="1392" t="str">
        <f>IFERROR(('Agreement Worksheet'!$K$5-E416)/7,"")</f>
        <v/>
      </c>
      <c r="F420" s="196"/>
      <c r="G420" s="1362"/>
      <c r="H420" s="1359"/>
      <c r="I420" s="1518" t="str">
        <f>IF(E413="Yes",IFERROR(VLOOKUP(G420,'Customer Inputs'!$G$6:'Customer Inputs'!$P$25,10),""),"")</f>
        <v/>
      </c>
      <c r="J420" s="1359"/>
      <c r="K420" s="1518" t="str">
        <f>IFERROR((I420/52)*E420,"")</f>
        <v/>
      </c>
      <c r="L420" s="1359"/>
      <c r="M420" s="1359"/>
      <c r="N420" s="1359"/>
      <c r="O420" s="1359"/>
      <c r="P420" s="612"/>
      <c r="Q420" s="1125"/>
    </row>
    <row r="421" spans="1:17" s="180" customFormat="1" ht="19.5" hidden="1" customHeight="1" x14ac:dyDescent="0.25">
      <c r="A421" s="245"/>
      <c r="B421" s="245"/>
      <c r="C421" s="661"/>
      <c r="D421" s="481"/>
      <c r="E421" s="202"/>
      <c r="F421" s="202"/>
      <c r="G421" s="668"/>
      <c r="H421" s="202"/>
      <c r="I421" s="202"/>
      <c r="J421" s="202"/>
      <c r="K421" s="1073"/>
      <c r="L421" s="202"/>
      <c r="M421" s="202"/>
      <c r="N421" s="202"/>
      <c r="O421" s="202"/>
      <c r="P421" s="250"/>
      <c r="Q421" s="1125"/>
    </row>
    <row r="422" spans="1:17" s="180" customFormat="1" ht="9" hidden="1" customHeight="1" x14ac:dyDescent="0.25">
      <c r="C422" s="1376"/>
      <c r="Q422" s="1125"/>
    </row>
    <row r="423" spans="1:17" s="180" customFormat="1" ht="19.5" hidden="1" customHeight="1" thickBot="1" x14ac:dyDescent="0.3">
      <c r="A423" s="248"/>
      <c r="B423" s="248"/>
      <c r="C423" s="1374"/>
      <c r="D423" s="1868" t="s">
        <v>1775</v>
      </c>
      <c r="E423" s="1869"/>
      <c r="F423" s="892"/>
      <c r="G423" s="184"/>
      <c r="H423" s="184"/>
      <c r="I423" s="184"/>
      <c r="J423" s="184"/>
      <c r="K423" s="184"/>
      <c r="L423" s="184"/>
      <c r="M423" s="184"/>
      <c r="N423" s="184"/>
      <c r="O423" s="184"/>
      <c r="P423" s="611"/>
      <c r="Q423" s="1125"/>
    </row>
    <row r="424" spans="1:17" s="180" customFormat="1" ht="19.5" hidden="1" customHeight="1" thickBot="1" x14ac:dyDescent="0.3">
      <c r="A424" s="243"/>
      <c r="B424" s="243"/>
      <c r="C424" s="465"/>
      <c r="D424" s="922" t="s">
        <v>523</v>
      </c>
      <c r="E424" s="847" t="s">
        <v>648</v>
      </c>
      <c r="F424" s="239"/>
      <c r="G424" s="194" t="s">
        <v>1380</v>
      </c>
      <c r="H424" s="188"/>
      <c r="I424" s="194" t="s">
        <v>1381</v>
      </c>
      <c r="J424" s="41"/>
      <c r="K424" s="194" t="s">
        <v>1397</v>
      </c>
      <c r="L424" s="188"/>
      <c r="M424" s="194" t="s">
        <v>1382</v>
      </c>
      <c r="N424" s="884"/>
      <c r="O424" s="884"/>
      <c r="P424" s="612"/>
      <c r="Q424" s="1125"/>
    </row>
    <row r="425" spans="1:17" s="180" customFormat="1" ht="29.25" hidden="1" customHeight="1" thickBot="1" x14ac:dyDescent="0.3">
      <c r="A425" s="243"/>
      <c r="B425" s="243"/>
      <c r="C425" s="465"/>
      <c r="D425" s="829" t="s">
        <v>1383</v>
      </c>
      <c r="E425" s="1355" t="s">
        <v>1384</v>
      </c>
      <c r="F425" s="196"/>
      <c r="G425" s="1356" t="str">
        <f>IF(E424="Yes","Program","")</f>
        <v/>
      </c>
      <c r="H425" s="188"/>
      <c r="I425" s="1357"/>
      <c r="J425" s="884"/>
      <c r="K425" s="1356" t="str">
        <f>IF(E424="Yes","Corporate Office","")</f>
        <v/>
      </c>
      <c r="L425" s="188"/>
      <c r="M425" s="1358"/>
      <c r="N425" s="884"/>
      <c r="O425" s="884"/>
      <c r="P425" s="612"/>
      <c r="Q425" s="1125"/>
    </row>
    <row r="426" spans="1:17" s="180" customFormat="1" ht="19.5" hidden="1" customHeight="1" thickBot="1" x14ac:dyDescent="0.3">
      <c r="A426" s="243"/>
      <c r="B426" s="243"/>
      <c r="C426" s="465"/>
      <c r="D426" s="7"/>
      <c r="E426" s="597"/>
      <c r="F426" s="843"/>
      <c r="G426" s="843"/>
      <c r="H426" s="884"/>
      <c r="I426" s="188"/>
      <c r="J426" s="188"/>
      <c r="K426" s="188"/>
      <c r="L426" s="884"/>
      <c r="M426" s="884"/>
      <c r="N426" s="884"/>
      <c r="O426" s="884"/>
      <c r="P426" s="612"/>
      <c r="Q426" s="1125"/>
    </row>
    <row r="427" spans="1:17" s="180" customFormat="1" ht="19.5" hidden="1" customHeight="1" thickBot="1" x14ac:dyDescent="0.3">
      <c r="A427" s="243"/>
      <c r="B427" s="243"/>
      <c r="C427" s="465"/>
      <c r="D427" s="836" t="s">
        <v>1385</v>
      </c>
      <c r="E427" s="1451" t="str">
        <f>IF(E424="Yes",IFERROR(VLOOKUP(G431,'Required Info to Submit'!$E$23:'Required Info to Submit'!$M$32,7, FALSE),""),"")</f>
        <v/>
      </c>
      <c r="F427" s="239"/>
      <c r="G427" s="228" t="s">
        <v>1396</v>
      </c>
      <c r="H427" s="188"/>
      <c r="I427" s="1359"/>
      <c r="J427" s="1359"/>
      <c r="K427" s="194" t="s">
        <v>1389</v>
      </c>
      <c r="L427" s="1359"/>
      <c r="M427" s="1870" t="str">
        <f>IF(C429="Yes","Retro Accrual will be posted to the GL.  Please provide business rational and ADF pre-approval is required","")</f>
        <v/>
      </c>
      <c r="N427" s="188"/>
      <c r="O427" s="6" t="s">
        <v>490</v>
      </c>
      <c r="P427" s="612"/>
      <c r="Q427" s="1125"/>
    </row>
    <row r="428" spans="1:17" s="180" customFormat="1" ht="19.5" hidden="1" customHeight="1" thickBot="1" x14ac:dyDescent="0.3">
      <c r="A428" s="243"/>
      <c r="B428" s="243"/>
      <c r="C428" s="465" t="str">
        <f ca="1">IF(C427="Yes",IF('Agreement Worksheet'!$K$5&gt;TODAY(),"Yes",""),"")</f>
        <v/>
      </c>
      <c r="D428" s="836" t="s">
        <v>1386</v>
      </c>
      <c r="E428" s="1451" t="str">
        <f>IF(E424="Yes",'Agreement Worksheet'!$K$5,"")</f>
        <v/>
      </c>
      <c r="F428" s="196"/>
      <c r="G428" s="1518" t="str">
        <f>IF(E424="Yes",IFERROR(K431*K428,""),"")</f>
        <v/>
      </c>
      <c r="H428" s="188"/>
      <c r="I428" s="1360"/>
      <c r="J428" s="1360"/>
      <c r="K428" s="1520" t="str">
        <f>IF(E336="Yes",IFERROR($K$222,""),"")</f>
        <v/>
      </c>
      <c r="L428" s="1359"/>
      <c r="M428" s="1870"/>
      <c r="N428" s="188"/>
      <c r="O428" s="914">
        <f>IF(Incentives!E428&lt;Welcome!D122,0,IF(E424="Yes",IFERROR(ROUND((G428/E431),0)*52,0),0))</f>
        <v>0</v>
      </c>
      <c r="P428" s="612"/>
      <c r="Q428" s="1125"/>
    </row>
    <row r="429" spans="1:17" s="180" customFormat="1" ht="19.5" hidden="1" customHeight="1" thickBot="1" x14ac:dyDescent="0.3">
      <c r="A429" s="243"/>
      <c r="B429" s="243"/>
      <c r="C429" s="465">
        <f>IF(AND($E$317&lt;&gt;"",$E$317&lt;E430),"Yes",)</f>
        <v>0</v>
      </c>
      <c r="D429" s="884"/>
      <c r="E429" s="884"/>
      <c r="F429" s="196"/>
      <c r="G429" s="1359"/>
      <c r="H429" s="1359"/>
      <c r="I429" s="1359"/>
      <c r="J429" s="1359"/>
      <c r="K429" s="1359"/>
      <c r="L429" s="1359"/>
      <c r="M429" s="1870"/>
      <c r="N429" s="1359"/>
      <c r="O429" s="1359"/>
      <c r="P429" s="612"/>
      <c r="Q429" s="1125"/>
    </row>
    <row r="430" spans="1:17" s="180" customFormat="1" ht="27" hidden="1" customHeight="1" thickBot="1" x14ac:dyDescent="0.3">
      <c r="A430" s="243"/>
      <c r="B430" s="243"/>
      <c r="C430" s="465"/>
      <c r="D430" s="1361" t="s">
        <v>2004</v>
      </c>
      <c r="E430" s="1452" t="str">
        <f>IF(E424="Yes",IF(Welcome!D118&lt;&gt;"",Welcome!D118,""),"")</f>
        <v/>
      </c>
      <c r="F430" s="196"/>
      <c r="G430" s="228" t="s">
        <v>2005</v>
      </c>
      <c r="H430" s="1359"/>
      <c r="I430" s="228" t="s">
        <v>2006</v>
      </c>
      <c r="J430" s="1359"/>
      <c r="K430" s="228" t="s">
        <v>1482</v>
      </c>
      <c r="L430" s="1359"/>
      <c r="M430" s="1870"/>
      <c r="N430" s="1359"/>
      <c r="O430" s="1359"/>
      <c r="P430" s="612"/>
      <c r="Q430" s="1125"/>
    </row>
    <row r="431" spans="1:17" s="180" customFormat="1" ht="19.5" hidden="1" customHeight="1" thickBot="1" x14ac:dyDescent="0.3">
      <c r="A431" s="243"/>
      <c r="B431" s="243"/>
      <c r="C431" s="465"/>
      <c r="D431" s="1361" t="s">
        <v>2007</v>
      </c>
      <c r="E431" s="1392" t="str">
        <f>IFERROR(('Agreement Worksheet'!$K$5-E427)/7,"")</f>
        <v/>
      </c>
      <c r="F431" s="196"/>
      <c r="G431" s="1362"/>
      <c r="H431" s="1359"/>
      <c r="I431" s="1518" t="str">
        <f>IF(E424="Yes",IFERROR(VLOOKUP(G431,'Customer Inputs'!$G$6:'Customer Inputs'!$P$25,10),""),"")</f>
        <v/>
      </c>
      <c r="J431" s="1359"/>
      <c r="K431" s="1518" t="str">
        <f>IFERROR((I431/52)*E431,"")</f>
        <v/>
      </c>
      <c r="L431" s="1359"/>
      <c r="M431" s="1359"/>
      <c r="N431" s="1359"/>
      <c r="O431" s="1359"/>
      <c r="P431" s="612"/>
      <c r="Q431" s="1125"/>
    </row>
    <row r="432" spans="1:17" s="180" customFormat="1" ht="19.5" hidden="1" customHeight="1" x14ac:dyDescent="0.25">
      <c r="A432" s="245"/>
      <c r="B432" s="245"/>
      <c r="C432" s="661"/>
      <c r="D432" s="481"/>
      <c r="E432" s="202"/>
      <c r="F432" s="202"/>
      <c r="G432" s="668"/>
      <c r="H432" s="202"/>
      <c r="I432" s="202"/>
      <c r="J432" s="202"/>
      <c r="K432" s="1073"/>
      <c r="L432" s="202"/>
      <c r="M432" s="202"/>
      <c r="N432" s="202"/>
      <c r="O432" s="202"/>
      <c r="P432" s="250"/>
      <c r="Q432" s="1125"/>
    </row>
    <row r="433" spans="1:19" s="180" customFormat="1" ht="9.75" hidden="1" customHeight="1" x14ac:dyDescent="0.25">
      <c r="C433" s="1376"/>
      <c r="Q433" s="1125"/>
    </row>
    <row r="434" spans="1:19" s="176" customFormat="1" ht="33" hidden="1" customHeight="1" thickBot="1" x14ac:dyDescent="0.3">
      <c r="A434" s="1637"/>
      <c r="B434" s="1637"/>
      <c r="C434" s="1638"/>
      <c r="D434" s="1871" t="s">
        <v>2141</v>
      </c>
      <c r="E434" s="1871"/>
      <c r="F434" s="1639"/>
      <c r="G434" s="1639"/>
      <c r="H434" s="1639"/>
      <c r="I434" s="1639"/>
      <c r="J434" s="1640"/>
      <c r="K434" s="1640"/>
      <c r="L434" s="1640"/>
      <c r="M434" s="1640"/>
      <c r="N434" s="1640"/>
      <c r="O434" s="1815" t="str">
        <f>IF(K439&gt;0.03,"***Warning:You have entered an Rate % of Sales above the recommended 3%***","")</f>
        <v/>
      </c>
      <c r="P434" s="1816"/>
      <c r="Q434" s="251"/>
    </row>
    <row r="435" spans="1:19" s="176" customFormat="1" ht="18" hidden="1" customHeight="1" thickBot="1" x14ac:dyDescent="0.3">
      <c r="A435" s="1642"/>
      <c r="B435" s="1642"/>
      <c r="C435" s="1643"/>
      <c r="D435" s="1644" t="s">
        <v>523</v>
      </c>
      <c r="E435" s="847" t="s">
        <v>648</v>
      </c>
      <c r="F435" s="1645"/>
      <c r="G435" s="1625" t="s">
        <v>1380</v>
      </c>
      <c r="H435" s="986"/>
      <c r="I435" s="1625" t="s">
        <v>1381</v>
      </c>
      <c r="J435" s="1646"/>
      <c r="K435" s="1625" t="s">
        <v>833</v>
      </c>
      <c r="L435" s="1335"/>
      <c r="M435" s="953" t="s">
        <v>1382</v>
      </c>
      <c r="N435" s="1335"/>
      <c r="O435" s="1817"/>
      <c r="P435" s="1818"/>
      <c r="Q435" s="251"/>
    </row>
    <row r="436" spans="1:19" s="176" customFormat="1" ht="18" hidden="1" customHeight="1" thickBot="1" x14ac:dyDescent="0.3">
      <c r="A436" s="1642"/>
      <c r="B436" s="1642"/>
      <c r="C436" s="1643"/>
      <c r="D436" s="1648" t="s">
        <v>1383</v>
      </c>
      <c r="E436" s="1370" t="s">
        <v>1384</v>
      </c>
      <c r="F436" s="1649"/>
      <c r="G436" s="1517"/>
      <c r="H436" s="622"/>
      <c r="I436" s="1517"/>
      <c r="J436" s="884"/>
      <c r="K436" s="1586"/>
      <c r="L436" s="884"/>
      <c r="M436" s="1541"/>
      <c r="N436" s="1335"/>
      <c r="O436" s="1817"/>
      <c r="P436" s="1818"/>
      <c r="Q436" s="251"/>
    </row>
    <row r="437" spans="1:19" s="176" customFormat="1" ht="18" hidden="1" customHeight="1" thickBot="1" x14ac:dyDescent="0.3">
      <c r="A437" s="1642"/>
      <c r="B437" s="1642"/>
      <c r="C437" s="1643"/>
      <c r="D437" s="1650"/>
      <c r="E437" s="1651"/>
      <c r="F437" s="1652"/>
      <c r="G437" s="1652"/>
      <c r="H437" s="1335"/>
      <c r="I437" s="1335"/>
      <c r="J437" s="1335"/>
      <c r="K437" s="1335"/>
      <c r="L437" s="1335"/>
      <c r="M437" s="1641"/>
      <c r="N437" s="1335"/>
      <c r="O437" s="1817"/>
      <c r="P437" s="1818"/>
      <c r="Q437" s="251"/>
      <c r="S437" s="593" t="str">
        <f>IF($D$476=0,"",IF($E437="NO","",IF($I436="Select Payment Method","X","")))</f>
        <v/>
      </c>
    </row>
    <row r="438" spans="1:19" s="176" customFormat="1" ht="18" hidden="1" customHeight="1" thickBot="1" x14ac:dyDescent="0.3">
      <c r="A438" s="1642"/>
      <c r="B438" s="1642"/>
      <c r="C438" s="1643" t="str" cm="1">
        <f t="array" aca="1" ref="C438" ca="1">IF(INDIRECT("'Incentives'!C"&amp;'Configurable Tab'!C168+1) = "Yes",IF(INDIRECT("'Incentives'!E"&amp;'Configurable Tab'!C168+5)&lt;Welcome!$D$12,"Yes",IF(INDIRECT("'Incentives'!E"&amp;'Configurable Tab'!C168+5)='Required Info to Submit'!$F$17,"No","")),"")</f>
        <v/>
      </c>
      <c r="D438" s="1653" t="s">
        <v>1385</v>
      </c>
      <c r="E438" s="1450" t="str">
        <f>IF(E435="Yes",IF(Welcome!$D$6="New",IF('Required Info to Submit'!F$14="","",'Required Info to Submit'!F$14),""),"")</f>
        <v/>
      </c>
      <c r="F438" s="1645"/>
      <c r="G438" s="1335"/>
      <c r="H438" s="1335"/>
      <c r="I438" s="1335"/>
      <c r="J438" s="1335"/>
      <c r="K438" s="953" t="s">
        <v>1389</v>
      </c>
      <c r="L438" s="1654"/>
      <c r="M438" s="1647"/>
      <c r="N438" s="1335"/>
      <c r="O438" s="1817"/>
      <c r="P438" s="1818"/>
      <c r="Q438" s="251"/>
    </row>
    <row r="439" spans="1:19" s="176" customFormat="1" ht="18" hidden="1" customHeight="1" thickBot="1" x14ac:dyDescent="0.3">
      <c r="A439" s="1642"/>
      <c r="B439" s="1642"/>
      <c r="C439" s="1643"/>
      <c r="D439" s="1653" t="s">
        <v>1386</v>
      </c>
      <c r="E439" s="1450" t="str">
        <f>IF(E435="Yes",IF(Welcome!$D$6="New",IF('Required Info to Submit'!F$17="","",'Required Info to Submit'!F$17),""),"")</f>
        <v/>
      </c>
      <c r="F439" s="1649"/>
      <c r="G439" s="1335"/>
      <c r="H439" s="1335"/>
      <c r="I439" s="1335"/>
      <c r="J439" s="1335"/>
      <c r="K439" s="997"/>
      <c r="L439" s="1654"/>
      <c r="M439" s="1647"/>
      <c r="N439" s="1335"/>
      <c r="O439" s="1647"/>
      <c r="P439" s="612"/>
      <c r="Q439" s="251"/>
    </row>
    <row r="440" spans="1:19" s="176" customFormat="1" ht="27" hidden="1" customHeight="1" x14ac:dyDescent="0.25">
      <c r="A440" s="1655"/>
      <c r="B440" s="1655"/>
      <c r="C440" s="1656"/>
      <c r="D440" s="1657"/>
      <c r="E440" s="1658"/>
      <c r="F440" s="1658"/>
      <c r="G440" s="1659"/>
      <c r="H440" s="1658"/>
      <c r="I440" s="1658"/>
      <c r="J440" s="1658"/>
      <c r="K440" s="1658"/>
      <c r="L440" s="1658"/>
      <c r="M440" s="1660"/>
      <c r="N440" s="1658"/>
      <c r="O440" s="1658"/>
      <c r="P440" s="250"/>
      <c r="Q440" s="251"/>
    </row>
    <row r="441" spans="1:19" s="180" customFormat="1" ht="9" hidden="1" customHeight="1" x14ac:dyDescent="0.25">
      <c r="C441" s="1376"/>
      <c r="K441" s="1661"/>
      <c r="Q441" s="1125"/>
    </row>
    <row r="442" spans="1:19" s="176" customFormat="1" ht="33" hidden="1" customHeight="1" thickBot="1" x14ac:dyDescent="0.3">
      <c r="A442" s="1637"/>
      <c r="B442" s="1637"/>
      <c r="C442" s="1638"/>
      <c r="D442" s="1871" t="s">
        <v>2141</v>
      </c>
      <c r="E442" s="1871"/>
      <c r="F442" s="1639"/>
      <c r="G442" s="1639"/>
      <c r="H442" s="1639"/>
      <c r="I442" s="1639"/>
      <c r="J442" s="1640"/>
      <c r="K442" s="1640"/>
      <c r="L442" s="1640"/>
      <c r="M442" s="1640"/>
      <c r="N442" s="1640"/>
      <c r="O442" s="1815" t="str">
        <f>IF(K447&gt;0.03,"***Warning:You have entered an Rate % of Sales above the recommended 3%***","")</f>
        <v/>
      </c>
      <c r="P442" s="1816"/>
      <c r="Q442" s="251"/>
    </row>
    <row r="443" spans="1:19" s="176" customFormat="1" ht="18" hidden="1" customHeight="1" thickBot="1" x14ac:dyDescent="0.3">
      <c r="A443" s="1642"/>
      <c r="B443" s="1642"/>
      <c r="C443" s="1643"/>
      <c r="D443" s="1644" t="s">
        <v>523</v>
      </c>
      <c r="E443" s="847" t="s">
        <v>648</v>
      </c>
      <c r="F443" s="1645"/>
      <c r="G443" s="1695" t="s">
        <v>1380</v>
      </c>
      <c r="H443" s="986"/>
      <c r="I443" s="1695" t="s">
        <v>1381</v>
      </c>
      <c r="J443" s="1646"/>
      <c r="K443" s="1695" t="s">
        <v>833</v>
      </c>
      <c r="L443" s="1335"/>
      <c r="M443" s="953" t="s">
        <v>1382</v>
      </c>
      <c r="N443" s="1335"/>
      <c r="O443" s="1817"/>
      <c r="P443" s="1818"/>
      <c r="Q443" s="251"/>
    </row>
    <row r="444" spans="1:19" s="176" customFormat="1" ht="18" hidden="1" customHeight="1" thickBot="1" x14ac:dyDescent="0.3">
      <c r="A444" s="1642"/>
      <c r="B444" s="1642"/>
      <c r="C444" s="1643"/>
      <c r="D444" s="1648" t="s">
        <v>1383</v>
      </c>
      <c r="E444" s="1370" t="s">
        <v>1384</v>
      </c>
      <c r="F444" s="1649"/>
      <c r="G444" s="1517"/>
      <c r="H444" s="622"/>
      <c r="I444" s="1517"/>
      <c r="J444" s="884"/>
      <c r="K444" s="1586"/>
      <c r="L444" s="884"/>
      <c r="M444" s="1541"/>
      <c r="N444" s="1335"/>
      <c r="O444" s="1817"/>
      <c r="P444" s="1818"/>
      <c r="Q444" s="251"/>
    </row>
    <row r="445" spans="1:19" s="176" customFormat="1" ht="18" hidden="1" customHeight="1" thickBot="1" x14ac:dyDescent="0.3">
      <c r="A445" s="1642"/>
      <c r="B445" s="1642"/>
      <c r="C445" s="1643"/>
      <c r="D445" s="1650"/>
      <c r="E445" s="1651"/>
      <c r="F445" s="1652"/>
      <c r="G445" s="1652"/>
      <c r="H445" s="1335"/>
      <c r="I445" s="1335"/>
      <c r="J445" s="1335"/>
      <c r="K445" s="1335"/>
      <c r="L445" s="1335"/>
      <c r="M445" s="1641"/>
      <c r="N445" s="1335"/>
      <c r="O445" s="1817"/>
      <c r="P445" s="1818"/>
      <c r="Q445" s="251"/>
      <c r="S445" s="593" t="str">
        <f>IF($D$476=0,"",IF($E445="NO","",IF($I444="Select Payment Method","X","")))</f>
        <v/>
      </c>
    </row>
    <row r="446" spans="1:19" s="176" customFormat="1" ht="18" hidden="1" customHeight="1" thickBot="1" x14ac:dyDescent="0.3">
      <c r="A446" s="1642"/>
      <c r="B446" s="1642"/>
      <c r="C446" s="1643" t="str" cm="1">
        <f t="array" aca="1" ref="C446" ca="1">IF(INDIRECT("'Incentives'!C"&amp;'Configurable Tab'!C176+1) = "Yes",IF(INDIRECT("'Incentives'!E"&amp;'Configurable Tab'!C176+5)&lt;Welcome!$D$12,"Yes",IF(INDIRECT("'Incentives'!E"&amp;'Configurable Tab'!C176+5)='Required Info to Submit'!$F$17,"No","")),"")</f>
        <v/>
      </c>
      <c r="D446" s="1653" t="s">
        <v>1385</v>
      </c>
      <c r="E446" s="1450" t="str">
        <f>IF(E443="Yes",IF(Welcome!$D$6="New",IF('Required Info to Submit'!F$14="","",'Required Info to Submit'!F$14),""),"")</f>
        <v/>
      </c>
      <c r="F446" s="1645"/>
      <c r="G446" s="1335"/>
      <c r="H446" s="1335"/>
      <c r="I446" s="1335"/>
      <c r="J446" s="1335"/>
      <c r="K446" s="953" t="s">
        <v>1389</v>
      </c>
      <c r="L446" s="1654"/>
      <c r="M446" s="1647"/>
      <c r="N446" s="1335"/>
      <c r="O446" s="1817"/>
      <c r="P446" s="1818"/>
      <c r="Q446" s="251"/>
    </row>
    <row r="447" spans="1:19" s="176" customFormat="1" ht="18" hidden="1" customHeight="1" thickBot="1" x14ac:dyDescent="0.3">
      <c r="A447" s="1642"/>
      <c r="B447" s="1642"/>
      <c r="C447" s="1643"/>
      <c r="D447" s="1653" t="s">
        <v>1386</v>
      </c>
      <c r="E447" s="1450" t="str">
        <f>IF(E443="Yes",IF(Welcome!$D$6="New",IF('Required Info to Submit'!F$17="","",'Required Info to Submit'!F$17),""),"")</f>
        <v/>
      </c>
      <c r="F447" s="1649"/>
      <c r="G447" s="1335"/>
      <c r="H447" s="1335"/>
      <c r="I447" s="1335"/>
      <c r="J447" s="1335"/>
      <c r="K447" s="997"/>
      <c r="L447" s="1654"/>
      <c r="M447" s="1647"/>
      <c r="N447" s="1335"/>
      <c r="O447" s="1647"/>
      <c r="P447" s="612"/>
      <c r="Q447" s="251"/>
    </row>
    <row r="448" spans="1:19" s="176" customFormat="1" ht="27" hidden="1" customHeight="1" x14ac:dyDescent="0.25">
      <c r="A448" s="1655"/>
      <c r="B448" s="1655"/>
      <c r="C448" s="1656"/>
      <c r="D448" s="1657"/>
      <c r="E448" s="1658"/>
      <c r="F448" s="1658"/>
      <c r="G448" s="1659"/>
      <c r="H448" s="1658"/>
      <c r="I448" s="1658"/>
      <c r="J448" s="1658"/>
      <c r="K448" s="1658"/>
      <c r="L448" s="1658"/>
      <c r="M448" s="1660"/>
      <c r="N448" s="1658"/>
      <c r="O448" s="1658"/>
      <c r="P448" s="250"/>
      <c r="Q448" s="251"/>
    </row>
    <row r="449" spans="1:19" s="180" customFormat="1" ht="9" hidden="1" customHeight="1" x14ac:dyDescent="0.25">
      <c r="C449" s="1376"/>
      <c r="K449" s="1661"/>
      <c r="Q449" s="1125"/>
    </row>
    <row r="450" spans="1:19" s="176" customFormat="1" ht="33" hidden="1" customHeight="1" thickBot="1" x14ac:dyDescent="0.3">
      <c r="A450" s="1637"/>
      <c r="B450" s="1637"/>
      <c r="C450" s="1638"/>
      <c r="D450" s="1871" t="s">
        <v>2141</v>
      </c>
      <c r="E450" s="1871"/>
      <c r="F450" s="1639"/>
      <c r="G450" s="1639"/>
      <c r="H450" s="1639"/>
      <c r="I450" s="1639"/>
      <c r="J450" s="1640"/>
      <c r="K450" s="1640"/>
      <c r="L450" s="1640"/>
      <c r="M450" s="1640"/>
      <c r="N450" s="1640"/>
      <c r="O450" s="1815" t="str">
        <f>IF(K455&gt;0.03,"***Warning:You have entered an Rate % of Sales above the recommended 3%***","")</f>
        <v/>
      </c>
      <c r="P450" s="1816"/>
      <c r="Q450" s="251"/>
    </row>
    <row r="451" spans="1:19" s="176" customFormat="1" ht="18" hidden="1" customHeight="1" thickBot="1" x14ac:dyDescent="0.3">
      <c r="A451" s="1642"/>
      <c r="B451" s="1642"/>
      <c r="C451" s="1643"/>
      <c r="D451" s="1644" t="s">
        <v>523</v>
      </c>
      <c r="E451" s="847" t="s">
        <v>648</v>
      </c>
      <c r="F451" s="1645"/>
      <c r="G451" s="1695" t="s">
        <v>1380</v>
      </c>
      <c r="H451" s="986"/>
      <c r="I451" s="1695" t="s">
        <v>1381</v>
      </c>
      <c r="J451" s="1646"/>
      <c r="K451" s="1695" t="s">
        <v>833</v>
      </c>
      <c r="L451" s="1335"/>
      <c r="M451" s="953" t="s">
        <v>1382</v>
      </c>
      <c r="N451" s="1335"/>
      <c r="O451" s="1817"/>
      <c r="P451" s="1818"/>
      <c r="Q451" s="251"/>
    </row>
    <row r="452" spans="1:19" s="176" customFormat="1" ht="18" hidden="1" customHeight="1" thickBot="1" x14ac:dyDescent="0.3">
      <c r="A452" s="1642"/>
      <c r="B452" s="1642"/>
      <c r="C452" s="1643"/>
      <c r="D452" s="1648" t="s">
        <v>1383</v>
      </c>
      <c r="E452" s="1370" t="s">
        <v>1384</v>
      </c>
      <c r="F452" s="1649"/>
      <c r="G452" s="1517"/>
      <c r="H452" s="622"/>
      <c r="I452" s="1517"/>
      <c r="J452" s="884"/>
      <c r="K452" s="1586"/>
      <c r="L452" s="884"/>
      <c r="M452" s="1541"/>
      <c r="N452" s="1335"/>
      <c r="O452" s="1817"/>
      <c r="P452" s="1818"/>
      <c r="Q452" s="251"/>
    </row>
    <row r="453" spans="1:19" s="176" customFormat="1" ht="18" hidden="1" customHeight="1" thickBot="1" x14ac:dyDescent="0.3">
      <c r="A453" s="1642"/>
      <c r="B453" s="1642"/>
      <c r="C453" s="1643"/>
      <c r="D453" s="1650"/>
      <c r="E453" s="1651"/>
      <c r="F453" s="1652"/>
      <c r="G453" s="1652"/>
      <c r="H453" s="1335"/>
      <c r="I453" s="1335"/>
      <c r="J453" s="1335"/>
      <c r="K453" s="1335"/>
      <c r="L453" s="1335"/>
      <c r="M453" s="1641"/>
      <c r="N453" s="1335"/>
      <c r="O453" s="1817"/>
      <c r="P453" s="1818"/>
      <c r="Q453" s="251"/>
      <c r="S453" s="593" t="str">
        <f>IF($D$476=0,"",IF($E453="NO","",IF($I452="Select Payment Method","X","")))</f>
        <v/>
      </c>
    </row>
    <row r="454" spans="1:19" s="176" customFormat="1" ht="18" hidden="1" customHeight="1" thickBot="1" x14ac:dyDescent="0.3">
      <c r="A454" s="1642"/>
      <c r="B454" s="1642"/>
      <c r="C454" s="1643" t="str" cm="1">
        <f t="array" aca="1" ref="C454" ca="1">IF(INDIRECT("'Incentives'!C"&amp;'Configurable Tab'!C184+1) = "Yes",IF(INDIRECT("'Incentives'!E"&amp;'Configurable Tab'!C184+5)&lt;Welcome!$D$12,"Yes",IF(INDIRECT("'Incentives'!E"&amp;'Configurable Tab'!C184+5)='Required Info to Submit'!$F$17,"No","")),"")</f>
        <v/>
      </c>
      <c r="D454" s="1653" t="s">
        <v>1385</v>
      </c>
      <c r="E454" s="1450" t="str">
        <f>IF(E451="Yes",IF(Welcome!$D$6="New",IF('Required Info to Submit'!F$14="","",'Required Info to Submit'!F$14),""),"")</f>
        <v/>
      </c>
      <c r="F454" s="1645"/>
      <c r="G454" s="1335"/>
      <c r="H454" s="1335"/>
      <c r="I454" s="1335"/>
      <c r="J454" s="1335"/>
      <c r="K454" s="953" t="s">
        <v>1389</v>
      </c>
      <c r="L454" s="1654"/>
      <c r="M454" s="1647"/>
      <c r="N454" s="1335"/>
      <c r="O454" s="1817"/>
      <c r="P454" s="1818"/>
      <c r="Q454" s="251"/>
    </row>
    <row r="455" spans="1:19" s="176" customFormat="1" ht="18" hidden="1" customHeight="1" thickBot="1" x14ac:dyDescent="0.3">
      <c r="A455" s="1642"/>
      <c r="B455" s="1642"/>
      <c r="C455" s="1643"/>
      <c r="D455" s="1653" t="s">
        <v>1386</v>
      </c>
      <c r="E455" s="1450" t="str">
        <f>IF(E451="Yes",IF(Welcome!$D$6="New",IF('Required Info to Submit'!F$17="","",'Required Info to Submit'!F$17),""),"")</f>
        <v/>
      </c>
      <c r="F455" s="1649"/>
      <c r="G455" s="1335"/>
      <c r="H455" s="1335"/>
      <c r="I455" s="1335"/>
      <c r="J455" s="1335"/>
      <c r="K455" s="997"/>
      <c r="L455" s="1654"/>
      <c r="M455" s="1647"/>
      <c r="N455" s="1335"/>
      <c r="O455" s="1647"/>
      <c r="P455" s="612"/>
      <c r="Q455" s="251"/>
    </row>
    <row r="456" spans="1:19" s="176" customFormat="1" ht="27" hidden="1" customHeight="1" x14ac:dyDescent="0.25">
      <c r="A456" s="1655"/>
      <c r="B456" s="1655"/>
      <c r="C456" s="1656"/>
      <c r="D456" s="1657"/>
      <c r="E456" s="1658"/>
      <c r="F456" s="1658"/>
      <c r="G456" s="1659"/>
      <c r="H456" s="1658"/>
      <c r="I456" s="1658"/>
      <c r="J456" s="1658"/>
      <c r="K456" s="1658"/>
      <c r="L456" s="1658"/>
      <c r="M456" s="1660"/>
      <c r="N456" s="1658"/>
      <c r="O456" s="1658"/>
      <c r="P456" s="250"/>
      <c r="Q456" s="251"/>
    </row>
    <row r="457" spans="1:19" s="180" customFormat="1" ht="9" hidden="1" customHeight="1" x14ac:dyDescent="0.25">
      <c r="C457" s="1376"/>
      <c r="K457" s="1661"/>
      <c r="Q457" s="1125"/>
    </row>
    <row r="458" spans="1:19" s="176" customFormat="1" ht="33" hidden="1" customHeight="1" thickBot="1" x14ac:dyDescent="0.3">
      <c r="A458" s="1637"/>
      <c r="B458" s="1637"/>
      <c r="C458" s="1638"/>
      <c r="D458" s="1871" t="s">
        <v>2141</v>
      </c>
      <c r="E458" s="1871"/>
      <c r="F458" s="1639"/>
      <c r="G458" s="1639"/>
      <c r="H458" s="1639"/>
      <c r="I458" s="1639"/>
      <c r="J458" s="1640"/>
      <c r="K458" s="1640"/>
      <c r="L458" s="1640"/>
      <c r="M458" s="1640"/>
      <c r="N458" s="1640"/>
      <c r="O458" s="1815" t="str">
        <f>IF(K463&gt;0.03,"***Warning:You have entered an Rate % of Sales above the recommended 3%***","")</f>
        <v/>
      </c>
      <c r="P458" s="1816"/>
      <c r="Q458" s="251"/>
    </row>
    <row r="459" spans="1:19" s="176" customFormat="1" ht="18" hidden="1" customHeight="1" thickBot="1" x14ac:dyDescent="0.3">
      <c r="A459" s="1642"/>
      <c r="B459" s="1642"/>
      <c r="C459" s="1643"/>
      <c r="D459" s="1644" t="s">
        <v>523</v>
      </c>
      <c r="E459" s="847" t="s">
        <v>648</v>
      </c>
      <c r="F459" s="1645"/>
      <c r="G459" s="1695" t="s">
        <v>1380</v>
      </c>
      <c r="H459" s="986"/>
      <c r="I459" s="1695" t="s">
        <v>1381</v>
      </c>
      <c r="J459" s="1646"/>
      <c r="K459" s="1695" t="s">
        <v>833</v>
      </c>
      <c r="L459" s="1335"/>
      <c r="M459" s="953" t="s">
        <v>1382</v>
      </c>
      <c r="N459" s="1335"/>
      <c r="O459" s="1817"/>
      <c r="P459" s="1818"/>
      <c r="Q459" s="251"/>
    </row>
    <row r="460" spans="1:19" s="176" customFormat="1" ht="18" hidden="1" customHeight="1" thickBot="1" x14ac:dyDescent="0.3">
      <c r="A460" s="1642"/>
      <c r="B460" s="1642"/>
      <c r="C460" s="1643"/>
      <c r="D460" s="1648" t="s">
        <v>1383</v>
      </c>
      <c r="E460" s="1370" t="s">
        <v>1384</v>
      </c>
      <c r="F460" s="1649"/>
      <c r="G460" s="1517"/>
      <c r="H460" s="622"/>
      <c r="I460" s="1517"/>
      <c r="J460" s="884"/>
      <c r="K460" s="1586"/>
      <c r="L460" s="884"/>
      <c r="M460" s="1541"/>
      <c r="N460" s="1335"/>
      <c r="O460" s="1817"/>
      <c r="P460" s="1818"/>
      <c r="Q460" s="251"/>
    </row>
    <row r="461" spans="1:19" s="176" customFormat="1" ht="18" hidden="1" customHeight="1" thickBot="1" x14ac:dyDescent="0.3">
      <c r="A461" s="1642"/>
      <c r="B461" s="1642"/>
      <c r="C461" s="1643"/>
      <c r="D461" s="1650"/>
      <c r="E461" s="1651"/>
      <c r="F461" s="1652"/>
      <c r="G461" s="1652"/>
      <c r="H461" s="1335"/>
      <c r="I461" s="1335"/>
      <c r="J461" s="1335"/>
      <c r="K461" s="1335"/>
      <c r="L461" s="1335"/>
      <c r="M461" s="1641"/>
      <c r="N461" s="1335"/>
      <c r="O461" s="1817"/>
      <c r="P461" s="1818"/>
      <c r="Q461" s="251"/>
      <c r="S461" s="593" t="str">
        <f>IF($D$476=0,"",IF($E461="NO","",IF($I460="Select Payment Method","X","")))</f>
        <v/>
      </c>
    </row>
    <row r="462" spans="1:19" s="176" customFormat="1" ht="18" hidden="1" customHeight="1" thickBot="1" x14ac:dyDescent="0.3">
      <c r="A462" s="1642"/>
      <c r="B462" s="1642"/>
      <c r="C462" s="1643" t="str" cm="1">
        <f t="array" aca="1" ref="C462" ca="1">IF(INDIRECT("'Incentives'!C"&amp;'Configurable Tab'!C192+1) = "Yes",IF(INDIRECT("'Incentives'!E"&amp;'Configurable Tab'!C192+5)&lt;Welcome!$D$12,"Yes",IF(INDIRECT("'Incentives'!E"&amp;'Configurable Tab'!C192+5)='Required Info to Submit'!$F$17,"No","")),"")</f>
        <v/>
      </c>
      <c r="D462" s="1653" t="s">
        <v>1385</v>
      </c>
      <c r="E462" s="1450" t="str">
        <f>IF(E459="Yes",IF(Welcome!$D$6="New",IF('Required Info to Submit'!F$14="","",'Required Info to Submit'!F$14),""),"")</f>
        <v/>
      </c>
      <c r="F462" s="1645"/>
      <c r="G462" s="1335"/>
      <c r="H462" s="1335"/>
      <c r="I462" s="1335"/>
      <c r="J462" s="1335"/>
      <c r="K462" s="953" t="s">
        <v>1389</v>
      </c>
      <c r="L462" s="1654"/>
      <c r="M462" s="1647"/>
      <c r="N462" s="1335"/>
      <c r="O462" s="1817"/>
      <c r="P462" s="1818"/>
      <c r="Q462" s="251"/>
    </row>
    <row r="463" spans="1:19" s="176" customFormat="1" ht="18" hidden="1" customHeight="1" thickBot="1" x14ac:dyDescent="0.3">
      <c r="A463" s="1642"/>
      <c r="B463" s="1642"/>
      <c r="C463" s="1643"/>
      <c r="D463" s="1653" t="s">
        <v>1386</v>
      </c>
      <c r="E463" s="1450" t="str">
        <f>IF(E459="Yes",IF(Welcome!$D$6="New",IF('Required Info to Submit'!F$17="","",'Required Info to Submit'!F$17),""),"")</f>
        <v/>
      </c>
      <c r="F463" s="1649"/>
      <c r="G463" s="1335"/>
      <c r="H463" s="1335"/>
      <c r="I463" s="1335"/>
      <c r="J463" s="1335"/>
      <c r="K463" s="997"/>
      <c r="L463" s="1654"/>
      <c r="M463" s="1647"/>
      <c r="N463" s="1335"/>
      <c r="O463" s="1647"/>
      <c r="P463" s="612"/>
      <c r="Q463" s="251"/>
    </row>
    <row r="464" spans="1:19" s="176" customFormat="1" ht="27" hidden="1" customHeight="1" x14ac:dyDescent="0.25">
      <c r="A464" s="1655"/>
      <c r="B464" s="1655"/>
      <c r="C464" s="1656"/>
      <c r="D464" s="1657"/>
      <c r="E464" s="1658"/>
      <c r="F464" s="1658"/>
      <c r="G464" s="1659"/>
      <c r="H464" s="1658"/>
      <c r="I464" s="1658"/>
      <c r="J464" s="1658"/>
      <c r="K464" s="1658"/>
      <c r="L464" s="1658"/>
      <c r="M464" s="1660"/>
      <c r="N464" s="1658"/>
      <c r="O464" s="1658"/>
      <c r="P464" s="250"/>
      <c r="Q464" s="251"/>
    </row>
    <row r="465" spans="1:22" s="180" customFormat="1" ht="9" hidden="1" customHeight="1" x14ac:dyDescent="0.25">
      <c r="C465" s="1376"/>
      <c r="K465" s="1661"/>
      <c r="Q465" s="1125"/>
    </row>
    <row r="466" spans="1:22" s="176" customFormat="1" ht="33" hidden="1" customHeight="1" thickBot="1" x14ac:dyDescent="0.3">
      <c r="A466" s="1637"/>
      <c r="B466" s="1637"/>
      <c r="C466" s="1638"/>
      <c r="D466" s="1871" t="s">
        <v>2141</v>
      </c>
      <c r="E466" s="1871"/>
      <c r="F466" s="1639"/>
      <c r="G466" s="1639"/>
      <c r="H466" s="1639"/>
      <c r="I466" s="1639"/>
      <c r="J466" s="1640"/>
      <c r="K466" s="1640"/>
      <c r="L466" s="1640"/>
      <c r="M466" s="1640"/>
      <c r="N466" s="1640"/>
      <c r="O466" s="1815" t="str">
        <f>IF(K471&gt;0.03,"***Warning:You have entered an Rate % of Sales above the recommended 3%***","")</f>
        <v/>
      </c>
      <c r="P466" s="1816"/>
      <c r="Q466" s="251"/>
    </row>
    <row r="467" spans="1:22" s="176" customFormat="1" ht="18" hidden="1" customHeight="1" thickBot="1" x14ac:dyDescent="0.3">
      <c r="A467" s="1642"/>
      <c r="B467" s="1642"/>
      <c r="C467" s="1643"/>
      <c r="D467" s="1644" t="s">
        <v>523</v>
      </c>
      <c r="E467" s="847" t="s">
        <v>648</v>
      </c>
      <c r="F467" s="1645"/>
      <c r="G467" s="1695" t="s">
        <v>1380</v>
      </c>
      <c r="H467" s="986"/>
      <c r="I467" s="1695" t="s">
        <v>1381</v>
      </c>
      <c r="J467" s="1646"/>
      <c r="K467" s="1695" t="s">
        <v>833</v>
      </c>
      <c r="L467" s="1335"/>
      <c r="M467" s="953" t="s">
        <v>1382</v>
      </c>
      <c r="N467" s="1335"/>
      <c r="O467" s="1817"/>
      <c r="P467" s="1818"/>
      <c r="Q467" s="251"/>
    </row>
    <row r="468" spans="1:22" s="176" customFormat="1" ht="18" hidden="1" customHeight="1" thickBot="1" x14ac:dyDescent="0.3">
      <c r="A468" s="1642"/>
      <c r="B468" s="1642"/>
      <c r="C468" s="1643"/>
      <c r="D468" s="1648" t="s">
        <v>1383</v>
      </c>
      <c r="E468" s="1370" t="s">
        <v>1384</v>
      </c>
      <c r="F468" s="1649"/>
      <c r="G468" s="1517"/>
      <c r="H468" s="622"/>
      <c r="I468" s="1517"/>
      <c r="J468" s="884"/>
      <c r="K468" s="1586"/>
      <c r="L468" s="884"/>
      <c r="M468" s="1541"/>
      <c r="N468" s="1335"/>
      <c r="O468" s="1817"/>
      <c r="P468" s="1818"/>
      <c r="Q468" s="251"/>
    </row>
    <row r="469" spans="1:22" s="176" customFormat="1" ht="18" hidden="1" customHeight="1" thickBot="1" x14ac:dyDescent="0.3">
      <c r="A469" s="1642"/>
      <c r="B469" s="1642"/>
      <c r="C469" s="1643"/>
      <c r="D469" s="1650"/>
      <c r="E469" s="1651"/>
      <c r="F469" s="1652"/>
      <c r="G469" s="1652"/>
      <c r="H469" s="1335"/>
      <c r="I469" s="1335"/>
      <c r="J469" s="1335"/>
      <c r="K469" s="1335"/>
      <c r="L469" s="1335"/>
      <c r="M469" s="1641"/>
      <c r="N469" s="1335"/>
      <c r="O469" s="1817"/>
      <c r="P469" s="1818"/>
      <c r="Q469" s="251"/>
      <c r="S469" s="593" t="str">
        <f>IF($D$476=0,"",IF($E469="NO","",IF($I468="Select Payment Method","X","")))</f>
        <v/>
      </c>
    </row>
    <row r="470" spans="1:22" s="176" customFormat="1" ht="18" hidden="1" customHeight="1" thickBot="1" x14ac:dyDescent="0.3">
      <c r="A470" s="1642"/>
      <c r="B470" s="1642"/>
      <c r="C470" s="1643" t="str" cm="1">
        <f t="array" aca="1" ref="C470" ca="1">IF(INDIRECT("'Incentives'!C"&amp;'Configurable Tab'!C200+1) = "Yes",IF(INDIRECT("'Incentives'!E"&amp;'Configurable Tab'!C200+5)&lt;Welcome!$D$12,"Yes",IF(INDIRECT("'Incentives'!E"&amp;'Configurable Tab'!C200+5)='Required Info to Submit'!$F$17,"No","")),"")</f>
        <v/>
      </c>
      <c r="D470" s="1653" t="s">
        <v>1385</v>
      </c>
      <c r="E470" s="1450" t="str">
        <f>IF(E467="Yes",IF(Welcome!$D$6="New",IF('Required Info to Submit'!F$14="","",'Required Info to Submit'!F$14),""),"")</f>
        <v/>
      </c>
      <c r="F470" s="1645"/>
      <c r="G470" s="1335"/>
      <c r="H470" s="1335"/>
      <c r="I470" s="1335"/>
      <c r="J470" s="1335"/>
      <c r="K470" s="953" t="s">
        <v>1389</v>
      </c>
      <c r="L470" s="1654"/>
      <c r="M470" s="1647"/>
      <c r="N470" s="1335"/>
      <c r="O470" s="1817"/>
      <c r="P470" s="1818"/>
      <c r="Q470" s="251"/>
    </row>
    <row r="471" spans="1:22" s="176" customFormat="1" ht="18" hidden="1" customHeight="1" thickBot="1" x14ac:dyDescent="0.3">
      <c r="A471" s="1642"/>
      <c r="B471" s="1642"/>
      <c r="C471" s="1643"/>
      <c r="D471" s="1653" t="s">
        <v>1386</v>
      </c>
      <c r="E471" s="1450" t="str">
        <f>IF(E467="Yes",IF(Welcome!$D$6="New",IF('Required Info to Submit'!F$17="","",'Required Info to Submit'!F$17),""),"")</f>
        <v/>
      </c>
      <c r="F471" s="1649"/>
      <c r="G471" s="1335"/>
      <c r="H471" s="1335"/>
      <c r="I471" s="1335"/>
      <c r="J471" s="1335"/>
      <c r="K471" s="997"/>
      <c r="L471" s="1654"/>
      <c r="M471" s="1647"/>
      <c r="N471" s="1335"/>
      <c r="O471" s="1647"/>
      <c r="P471" s="612"/>
      <c r="Q471" s="251"/>
    </row>
    <row r="472" spans="1:22" s="176" customFormat="1" ht="27" hidden="1" customHeight="1" x14ac:dyDescent="0.25">
      <c r="A472" s="1655"/>
      <c r="B472" s="1655"/>
      <c r="C472" s="1656"/>
      <c r="D472" s="1657"/>
      <c r="E472" s="1658"/>
      <c r="F472" s="1658"/>
      <c r="G472" s="1659"/>
      <c r="H472" s="1658"/>
      <c r="I472" s="1658"/>
      <c r="J472" s="1658"/>
      <c r="K472" s="1658"/>
      <c r="L472" s="1658"/>
      <c r="M472" s="1660"/>
      <c r="N472" s="1658"/>
      <c r="O472" s="1658"/>
      <c r="P472" s="250"/>
      <c r="Q472" s="251"/>
    </row>
    <row r="473" spans="1:22" s="180" customFormat="1" ht="9" customHeight="1" thickBot="1" x14ac:dyDescent="0.3">
      <c r="C473" s="1376"/>
      <c r="K473" s="1661"/>
      <c r="Q473" s="1125"/>
    </row>
    <row r="474" spans="1:22" s="176" customFormat="1" ht="24" customHeight="1" thickBot="1" x14ac:dyDescent="0.3">
      <c r="C474" s="1376"/>
      <c r="D474" s="455"/>
      <c r="E474" s="180"/>
      <c r="F474" s="180"/>
      <c r="G474" s="180"/>
      <c r="H474" s="180"/>
      <c r="I474" s="180"/>
      <c r="J474" s="180"/>
      <c r="K474" s="180"/>
      <c r="L474" s="180"/>
      <c r="M474" s="845"/>
      <c r="N474" s="253" t="s">
        <v>1727</v>
      </c>
      <c r="O474" s="1067"/>
      <c r="P474" s="180"/>
      <c r="Q474" s="251"/>
      <c r="R474" s="180"/>
      <c r="S474" s="180"/>
      <c r="T474" s="180"/>
    </row>
    <row r="475" spans="1:22" s="176" customFormat="1" ht="24" customHeight="1" thickBot="1" x14ac:dyDescent="0.3">
      <c r="C475" s="1376"/>
      <c r="D475" s="455"/>
      <c r="E475" s="180"/>
      <c r="F475" s="180"/>
      <c r="G475" s="180"/>
      <c r="H475" s="180"/>
      <c r="I475" s="180"/>
      <c r="J475" s="180"/>
      <c r="K475" s="180"/>
      <c r="L475" s="180"/>
      <c r="M475" s="845"/>
      <c r="N475" s="180"/>
      <c r="O475" s="180"/>
      <c r="P475" s="180"/>
      <c r="Q475" s="251"/>
      <c r="R475" s="180"/>
      <c r="S475" s="180"/>
      <c r="T475" s="180"/>
    </row>
    <row r="476" spans="1:22" s="252" customFormat="1" ht="24" customHeight="1" thickBot="1" x14ac:dyDescent="0.35">
      <c r="C476" s="1381"/>
      <c r="D476" s="930">
        <f>'Customer Inputs'!$K$17</f>
        <v>0</v>
      </c>
      <c r="M476" s="846"/>
      <c r="N476" s="253" t="s">
        <v>226</v>
      </c>
      <c r="O476" s="1058">
        <f>IFERROR(O19+O33+O47+O61+O75+O89+O103+O115+O123+O131+O139+O147+O155+O163+O171+O179+O187+O198+O210+O230+O241+O252+O263+O274+O285+O296+O307+O318+O474,0)</f>
        <v>0</v>
      </c>
      <c r="Q476" s="254"/>
      <c r="T476" s="328"/>
      <c r="U476" s="328"/>
      <c r="V476" s="329"/>
    </row>
    <row r="477" spans="1:22" s="252" customFormat="1" ht="27.6" customHeight="1" thickBot="1" x14ac:dyDescent="0.35">
      <c r="C477" s="1381"/>
      <c r="D477" s="931"/>
      <c r="L477" s="253"/>
      <c r="M477" s="591" t="str">
        <f>IF(M479&gt;0,"**Select Payment Method Above**","")</f>
        <v/>
      </c>
      <c r="N477" s="591"/>
      <c r="O477" s="591"/>
      <c r="P477" s="400" t="s">
        <v>202</v>
      </c>
      <c r="Q477" s="254"/>
    </row>
    <row r="478" spans="1:22" ht="24" customHeight="1" thickBot="1" x14ac:dyDescent="0.3">
      <c r="N478" s="253" t="s">
        <v>227</v>
      </c>
      <c r="O478" s="1059">
        <f>IFERROR($O$476/'PIM Model'!$G$31,0)</f>
        <v>0</v>
      </c>
      <c r="P478" s="401">
        <v>0.05</v>
      </c>
      <c r="Q478" s="138"/>
      <c r="R478" s="821"/>
    </row>
    <row r="479" spans="1:22" ht="24" customHeight="1" thickBot="1" x14ac:dyDescent="0.3">
      <c r="A479" s="256"/>
      <c r="B479" s="256"/>
      <c r="C479" s="1382"/>
      <c r="D479" s="932"/>
      <c r="E479" s="256"/>
      <c r="F479" s="256"/>
      <c r="G479" s="256"/>
      <c r="H479" s="256"/>
      <c r="I479" s="256"/>
      <c r="J479" s="256"/>
      <c r="K479" s="256"/>
      <c r="L479" s="566"/>
      <c r="M479" s="592">
        <f>COUNTIF($S$14:$S$223,"X")</f>
        <v>0</v>
      </c>
      <c r="N479" s="592"/>
      <c r="O479" s="592"/>
      <c r="P479" s="567"/>
      <c r="Q479" s="257"/>
      <c r="R479" s="821"/>
    </row>
    <row r="480" spans="1:22" ht="48.6" customHeight="1" x14ac:dyDescent="0.25">
      <c r="C480" s="1866"/>
      <c r="D480" s="1866"/>
      <c r="I480" s="565"/>
      <c r="L480" s="822"/>
      <c r="M480" s="1867"/>
      <c r="N480" s="1867"/>
      <c r="O480" s="1867"/>
      <c r="P480" s="1867"/>
      <c r="R480" s="821"/>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YFZY3QgzYHUpuPtTCn/lbffUrnXKYfchfweRm7zMFh54zbhmoNnklY6k7TPH0S87TAk3wd1sqqWMEblK99rzLw==" saltValue="mK0Pg5ifQ5TXv26YCBlpaA==" spinCount="100000" sheet="1" objects="1" scenarios="1"/>
  <mergeCells count="136">
    <mergeCell ref="M383:M386"/>
    <mergeCell ref="D390:E390"/>
    <mergeCell ref="M394:M397"/>
    <mergeCell ref="D401:E401"/>
    <mergeCell ref="M405:M408"/>
    <mergeCell ref="D412:E412"/>
    <mergeCell ref="M416:M419"/>
    <mergeCell ref="D423:E423"/>
    <mergeCell ref="M427:M430"/>
    <mergeCell ref="D335:E335"/>
    <mergeCell ref="M339:M342"/>
    <mergeCell ref="D346:E346"/>
    <mergeCell ref="M350:M353"/>
    <mergeCell ref="D357:E357"/>
    <mergeCell ref="M361:M364"/>
    <mergeCell ref="D368:E368"/>
    <mergeCell ref="M372:M375"/>
    <mergeCell ref="D379:E379"/>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478">
    <cfRule type="expression" dxfId="1286" priority="1267">
      <formula>$M$479&gt;0</formula>
    </cfRule>
    <cfRule type="cellIs" dxfId="1285" priority="1270" operator="lessThan">
      <formula>$P$478</formula>
    </cfRule>
    <cfRule type="cellIs" dxfId="1284" priority="1271" operator="greaterThan">
      <formula>$P$478</formula>
    </cfRule>
  </conditionalFormatting>
  <conditionalFormatting sqref="I14">
    <cfRule type="expression" dxfId="1283" priority="786">
      <formula>AND($C$13="Yes",$C$16="No")</formula>
    </cfRule>
    <cfRule type="expression" dxfId="1282" priority="1269">
      <formula>AND($C$13&lt;&gt;"Yes",$E$14&lt;&gt;"Please Select")</formula>
    </cfRule>
  </conditionalFormatting>
  <conditionalFormatting sqref="G61 K61">
    <cfRule type="expression" dxfId="1281" priority="1268">
      <formula>AND($C$55&lt;&gt;"Yes",OR($E56="DS Tiered Average Invoice Dollar Qualifier",$E56="DS Threshold Average Invoice Dollar Qualifier"))</formula>
    </cfRule>
  </conditionalFormatting>
  <conditionalFormatting sqref="G14">
    <cfRule type="expression" dxfId="1280" priority="787">
      <formula>AND($C$13="Yes",$C$16="No")</formula>
    </cfRule>
    <cfRule type="expression" dxfId="1279" priority="1265">
      <formula>AND($C$13&lt;&gt;"Yes",$E$14&lt;&gt;"Please Select")</formula>
    </cfRule>
  </conditionalFormatting>
  <conditionalFormatting sqref="G17">
    <cfRule type="expression" dxfId="1278" priority="1258">
      <formula>$E$15="YES"</formula>
    </cfRule>
  </conditionalFormatting>
  <conditionalFormatting sqref="G31">
    <cfRule type="expression" dxfId="1277" priority="1257">
      <formula>$E$15="YES"</formula>
    </cfRule>
  </conditionalFormatting>
  <conditionalFormatting sqref="G45">
    <cfRule type="expression" dxfId="1276" priority="1255">
      <formula>$E$15="YES"</formula>
    </cfRule>
  </conditionalFormatting>
  <conditionalFormatting sqref="E14">
    <cfRule type="expression" dxfId="1275" priority="1253">
      <formula>OR(AND($C$13&lt;&gt;"Yes",$E$13="No"),$C$13="Yes")</formula>
    </cfRule>
    <cfRule type="expression" dxfId="1274" priority="1254">
      <formula>AND($E$13="Yes",$C$13&lt;&gt;"Yes")</formula>
    </cfRule>
  </conditionalFormatting>
  <conditionalFormatting sqref="E28">
    <cfRule type="expression" dxfId="1273" priority="1251">
      <formula>OR($C$27="Yes",AND($E$27="No",$C$27&lt;&gt;"Yes"))</formula>
    </cfRule>
    <cfRule type="expression" dxfId="1272" priority="1252">
      <formula>AND($C$27&lt;&gt;"Yes",$E$27="Yes")</formula>
    </cfRule>
  </conditionalFormatting>
  <conditionalFormatting sqref="E42">
    <cfRule type="expression" dxfId="1271" priority="1249">
      <formula>OR($C$41="Yes",AND($E$41="No",$C$41&lt;&gt;"Yes"))</formula>
    </cfRule>
    <cfRule type="expression" dxfId="1270" priority="1250">
      <formula>AND($E$41="Yes",$C$41&lt;&gt;"Yes")</formula>
    </cfRule>
  </conditionalFormatting>
  <conditionalFormatting sqref="M14">
    <cfRule type="expression" dxfId="1269" priority="377">
      <formula>AND($K14="Corporate Office",$C13="Yes",$C16="No")</formula>
    </cfRule>
    <cfRule type="expression" dxfId="1268" priority="1246">
      <formula>OR(AND($K14&lt;&gt;"Corporate Office",$C13&lt;&gt;"Yes"),AND($C13="Yes",$C16&lt;&gt;"No"))</formula>
    </cfRule>
    <cfRule type="expression" dxfId="1267" priority="1247">
      <formula>$I14="Check"</formula>
    </cfRule>
    <cfRule type="expression" dxfId="1266" priority="1248">
      <formula>AND($I14="Credit Memo",$K14="Corporate Office",$C13&lt;&gt;"Yes")</formula>
    </cfRule>
  </conditionalFormatting>
  <conditionalFormatting sqref="E56">
    <cfRule type="expression" dxfId="1265" priority="1237">
      <formula>AND($C$55&lt;&gt;"Yes",$E$55="Yes")</formula>
    </cfRule>
    <cfRule type="expression" dxfId="1264" priority="1238">
      <formula>OR(AND($C$55&lt;&gt;"Yes",$E$55="No"),$C$55="Yes")</formula>
    </cfRule>
  </conditionalFormatting>
  <conditionalFormatting sqref="E70">
    <cfRule type="expression" dxfId="1263" priority="1235">
      <formula>AND($C$69&lt;&gt;"Yes",$E$69="Yes")</formula>
    </cfRule>
    <cfRule type="expression" dxfId="1262" priority="1236">
      <formula>OR(AND($E$69="No",$C$69&lt;&gt;"Yes"),$C$69="Yes")</formula>
    </cfRule>
  </conditionalFormatting>
  <conditionalFormatting sqref="K14">
    <cfRule type="expression" dxfId="1261" priority="785">
      <formula>AND($C13="Yes",AND($C16="No",$I14&lt;&gt;"Check"))</formula>
    </cfRule>
    <cfRule type="expression" dxfId="1260" priority="1234">
      <formula>AND($E14&lt;&gt;"Please Select",$I14&lt;&gt;"Check",$C$13&lt;&gt;"Yes")</formula>
    </cfRule>
  </conditionalFormatting>
  <conditionalFormatting sqref="I56">
    <cfRule type="expression" dxfId="1259" priority="797">
      <formula>AND($C$55="Yes",$C$58="No")</formula>
    </cfRule>
    <cfRule type="expression" dxfId="1258" priority="1233">
      <formula>AND($C$55&lt;&gt;"Yes",$E$56&lt;&gt;"Please Select")</formula>
    </cfRule>
  </conditionalFormatting>
  <conditionalFormatting sqref="G56">
    <cfRule type="expression" dxfId="1257" priority="798">
      <formula>AND($C$55="Yes",$C$58="No")</formula>
    </cfRule>
    <cfRule type="expression" dxfId="1256" priority="1231">
      <formula>AND($C$55&lt;&gt;"Yes",$E$56&lt;&gt;"Please Select")</formula>
    </cfRule>
  </conditionalFormatting>
  <conditionalFormatting sqref="I28">
    <cfRule type="expression" dxfId="1255" priority="780">
      <formula>AND($C$27="Yes",$C$30="No")</formula>
    </cfRule>
    <cfRule type="expression" dxfId="1254" priority="1230">
      <formula>AND($C$27&lt;&gt;"Yes",$E$28&lt;&gt;"Please Select")</formula>
    </cfRule>
  </conditionalFormatting>
  <conditionalFormatting sqref="G28">
    <cfRule type="expression" dxfId="1253" priority="781">
      <formula>AND($C$27="Yes",$C$30="No")</formula>
    </cfRule>
    <cfRule type="expression" dxfId="1252" priority="1229">
      <formula>AND($C$27&lt;&gt;"Yes",$E$28&lt;&gt;"Please Select")</formula>
    </cfRule>
  </conditionalFormatting>
  <conditionalFormatting sqref="I42">
    <cfRule type="expression" dxfId="1251" priority="777">
      <formula>AND($C$41="Yes",$C$44="No")</formula>
    </cfRule>
    <cfRule type="expression" dxfId="1250" priority="1227">
      <formula>AND($C$41&lt;&gt;"Yes",$E$42&lt;&gt;"Please Select")</formula>
    </cfRule>
  </conditionalFormatting>
  <conditionalFormatting sqref="G42">
    <cfRule type="expression" dxfId="1249" priority="778">
      <formula>AND($C$41="Yes",$C$44="No")</formula>
    </cfRule>
    <cfRule type="expression" dxfId="1248" priority="1226">
      <formula>AND($C$41&lt;&gt;"Yes",$E$42&lt;&gt;"Please Select")</formula>
    </cfRule>
  </conditionalFormatting>
  <conditionalFormatting sqref="I70">
    <cfRule type="expression" dxfId="1247" priority="792">
      <formula>AND($C$69="Yes",$C$72="No")</formula>
    </cfRule>
    <cfRule type="expression" dxfId="1246" priority="1224">
      <formula>AND($C$69&lt;&gt;"Yes",$E$70&lt;&gt;"Please Select")</formula>
    </cfRule>
  </conditionalFormatting>
  <conditionalFormatting sqref="I84">
    <cfRule type="expression" dxfId="1245" priority="811">
      <formula>AND($C$83="Yes",$C$86="No")</formula>
    </cfRule>
    <cfRule type="expression" dxfId="1244" priority="1210">
      <formula>AND($C$83&lt;&gt;"Yes",$E$84&lt;&gt;"Please Select")</formula>
    </cfRule>
  </conditionalFormatting>
  <conditionalFormatting sqref="G84">
    <cfRule type="expression" dxfId="1243" priority="812">
      <formula>AND($C$83="Yes",$C$86="No")</formula>
    </cfRule>
    <cfRule type="expression" dxfId="1242" priority="1208">
      <formula>AND($C$83&lt;&gt;"Yes",$E$84&lt;&gt;"Please Select")</formula>
    </cfRule>
  </conditionalFormatting>
  <conditionalFormatting sqref="I98">
    <cfRule type="expression" dxfId="1241" priority="804">
      <formula>AND($C$97="Yes",$C$100="No")</formula>
    </cfRule>
    <cfRule type="expression" dxfId="1240" priority="1204">
      <formula>AND($C$97&lt;&gt;"Yes",$E$98&lt;&gt;"Please Select")</formula>
    </cfRule>
  </conditionalFormatting>
  <conditionalFormatting sqref="G98">
    <cfRule type="expression" dxfId="1239" priority="805">
      <formula>AND($C$97="Yes",$C$100="No")</formula>
    </cfRule>
    <cfRule type="expression" dxfId="1238" priority="1202">
      <formula>AND($C$97&lt;&gt;"Yes",$E$98&lt;&gt;"Please Select")</formula>
    </cfRule>
  </conditionalFormatting>
  <conditionalFormatting sqref="E98">
    <cfRule type="expression" dxfId="1237" priority="1197">
      <formula>AND($C$97&lt;&gt;"Yes",$E$97="Yes")</formula>
    </cfRule>
    <cfRule type="expression" dxfId="1236" priority="1198">
      <formula>OR(AND($C$97&lt;&gt;"Yes",$E$97="No"),$C$97="Yes")</formula>
    </cfRule>
  </conditionalFormatting>
  <conditionalFormatting sqref="E84">
    <cfRule type="expression" dxfId="1235" priority="1195">
      <formula>AND($C$83&lt;&gt;"Yes",$E$83="Yes")</formula>
    </cfRule>
    <cfRule type="expression" dxfId="1234" priority="1196">
      <formula>OR($C$83="Yes",AND($C$83&lt;&gt;"Yes",$E$83="No"))</formula>
    </cfRule>
  </conditionalFormatting>
  <conditionalFormatting sqref="G33">
    <cfRule type="expression" dxfId="1233" priority="775">
      <formula>AND(OR($E28="Volume Incentive Threshold",$E28="Volume Incentive Tiered",$C$27="Yes"),$C$30="No")</formula>
    </cfRule>
    <cfRule type="expression" dxfId="1232" priority="1194">
      <formula>AND(OR($E28="Volume Incentive Threshold",$E28="Volume Incentive Tiered"),$C$27&lt;&gt;"Yes")</formula>
    </cfRule>
  </conditionalFormatting>
  <conditionalFormatting sqref="G47">
    <cfRule type="expression" dxfId="1231" priority="770">
      <formula>AND(OR($E42="Volume Incentive Threshold",$E42="Volume Incentive Tiered"),$C$41="Yes",$C$44="No")</formula>
    </cfRule>
    <cfRule type="expression" dxfId="1230" priority="1192">
      <formula>AND(OR($E42="Volume Incentive Threshold",$E42="Volume Incentive Tiered"),$C$41&lt;&gt;"Yes")</formula>
    </cfRule>
  </conditionalFormatting>
  <conditionalFormatting sqref="G19">
    <cfRule type="expression" dxfId="1229" priority="784">
      <formula>AND(OR($E14="Volume Incentive Threshold",$E14="Volume Incentive Tiered"),$C$13="Yes",$C$16="No")</formula>
    </cfRule>
    <cfRule type="expression" dxfId="1228" priority="1190">
      <formula>AND($C$13&lt;&gt;"Yes",OR($E14="Volume Incentive Threshold",$E14="Volume Incentive Tiered"))</formula>
    </cfRule>
  </conditionalFormatting>
  <conditionalFormatting sqref="G20 K20">
    <cfRule type="expression" dxfId="1227" priority="782">
      <formula>AND($C$13="Yes",$C$16="No",$E14="Volume Incentive Tiered")</formula>
    </cfRule>
    <cfRule type="expression" dxfId="1226" priority="1189">
      <formula>AND($C$13&lt;&gt;"Yes",$E14="Volume Incentive Tiered")</formula>
    </cfRule>
  </conditionalFormatting>
  <conditionalFormatting sqref="G62 K62">
    <cfRule type="expression" dxfId="1225" priority="794">
      <formula>AND($E56="DS Tiered Average Invoice Dollar Qualifier",$C$55="Yes",$C$58="No")</formula>
    </cfRule>
    <cfRule type="expression" dxfId="1224" priority="1188">
      <formula>AND($C$55&lt;&gt;"Yes",$E56="DS Tiered Average Invoice Dollar Qualifier")</formula>
    </cfRule>
  </conditionalFormatting>
  <conditionalFormatting sqref="G89">
    <cfRule type="expression" dxfId="1223" priority="809">
      <formula>AND($C$8="Yes",$C$86="No",OR($E$84="EB Threshold Percent Qualifier",$E$84="EB Tiered Percent Qualifier"))</formula>
    </cfRule>
    <cfRule type="expression" dxfId="1222" priority="1185">
      <formula>AND(OR($E$84="EB Threshold Percent Qualifier",$E$84="EB Tiered Percent Qualifier"),$C$83&lt;&gt;"Yes")</formula>
    </cfRule>
  </conditionalFormatting>
  <conditionalFormatting sqref="K90">
    <cfRule type="expression" dxfId="1221" priority="806">
      <formula>AND($C$83="Yes",$C$86="No",$E84="EB Tiered Percent Qualifier")</formula>
    </cfRule>
    <cfRule type="expression" dxfId="1220" priority="1184">
      <formula>AND($C$83&lt;&gt;"Yes",$E84="EB Tiered Percent Qualifier")</formula>
    </cfRule>
  </conditionalFormatting>
  <conditionalFormatting sqref="G103">
    <cfRule type="expression" dxfId="1219" priority="802">
      <formula>AND($C$97="Yes",$C$100="No",OR($E$98="EB Threshold Percent Qualifier",$E$98="EB Tiered Percent Qualifier"))</formula>
    </cfRule>
    <cfRule type="expression" dxfId="1218" priority="1183">
      <formula>AND(OR($E$98="EB Threshold Percent Qualifier",$E$98="EB Tiered Percent Qualifier"),$C$97&lt;&gt;"Yes")</formula>
    </cfRule>
  </conditionalFormatting>
  <conditionalFormatting sqref="I112">
    <cfRule type="expression" dxfId="1217" priority="847">
      <formula>AND($C$111="Yes",$C$114="No")</formula>
    </cfRule>
    <cfRule type="expression" dxfId="1216" priority="1179">
      <formula>AND($E$112&lt;&gt;"Please Select",$C$111&lt;&gt;"Yes")</formula>
    </cfRule>
  </conditionalFormatting>
  <conditionalFormatting sqref="G112">
    <cfRule type="expression" dxfId="1215" priority="848">
      <formula>AND($C$111="Yes",$C$114="No")</formula>
    </cfRule>
    <cfRule type="expression" dxfId="1214" priority="1177">
      <formula>AND($E$112&lt;&gt;"Please Select",$C$111&lt;&gt;"Yes")</formula>
    </cfRule>
  </conditionalFormatting>
  <conditionalFormatting sqref="E112">
    <cfRule type="expression" dxfId="1213" priority="1173">
      <formula>AND($C$111&lt;&gt;"Yes",$E$111="Yes")</formula>
    </cfRule>
  </conditionalFormatting>
  <conditionalFormatting sqref="G115">
    <cfRule type="expression" dxfId="1212" priority="845">
      <formula>AND($C$111="Yes",$C$114="No")</formula>
    </cfRule>
    <cfRule type="expression" dxfId="1211" priority="1172">
      <formula>AND($C$111&lt;&gt;"Yes",$E$112="Growth Incentive Single Rate")</formula>
    </cfRule>
  </conditionalFormatting>
  <conditionalFormatting sqref="K115">
    <cfRule type="expression" dxfId="1210" priority="844">
      <formula>AND($C$111="Yes",$C$114="No")</formula>
    </cfRule>
    <cfRule type="expression" dxfId="1209" priority="1171">
      <formula>AND($E$112&lt;&gt;"Please Select",$C$111&lt;&gt;"Yes")</formula>
    </cfRule>
  </conditionalFormatting>
  <conditionalFormatting sqref="I152">
    <cfRule type="expression" dxfId="1208" priority="822">
      <formula>AND($C$151="Yes",$C$154="No")</formula>
    </cfRule>
    <cfRule type="expression" dxfId="1207" priority="1170">
      <formula>AND($E$152&lt;&gt;"Please Select",$C$151&lt;&gt;"Yes")</formula>
    </cfRule>
  </conditionalFormatting>
  <conditionalFormatting sqref="G152">
    <cfRule type="expression" dxfId="1206" priority="823">
      <formula>AND($C$151="Yes",$C$154="No")</formula>
    </cfRule>
    <cfRule type="expression" dxfId="1205" priority="1168">
      <formula>AND($E$152&lt;&gt;"Please Select",$C$151&lt;&gt;"Yes")</formula>
    </cfRule>
  </conditionalFormatting>
  <conditionalFormatting sqref="G155">
    <cfRule type="expression" dxfId="1204" priority="820">
      <formula>AND($C$151="Yes",$C$154="No")</formula>
    </cfRule>
    <cfRule type="expression" dxfId="1203" priority="1164">
      <formula>AND($E$152="E-Commerce Incentive Threshold",$C$151&lt;&gt;"Yes")</formula>
    </cfRule>
  </conditionalFormatting>
  <conditionalFormatting sqref="E152">
    <cfRule type="expression" dxfId="1202" priority="1162">
      <formula>AND($C$151&lt;&gt;"Yes",$E$151="Yes")</formula>
    </cfRule>
  </conditionalFormatting>
  <conditionalFormatting sqref="I160">
    <cfRule type="expression" dxfId="1201" priority="1161">
      <formula>AND($E$160&lt;&gt;"Please Select",$C$159&lt;&gt;"Yes")</formula>
    </cfRule>
  </conditionalFormatting>
  <conditionalFormatting sqref="M160">
    <cfRule type="expression" dxfId="1200" priority="1158">
      <formula>OR(AND($K160&lt;&gt;"Corporate Office",$C159&lt;&gt;"Yes"),$C159="Yes")</formula>
    </cfRule>
    <cfRule type="expression" dxfId="1199" priority="1159">
      <formula>$I160="Check"</formula>
    </cfRule>
    <cfRule type="expression" dxfId="1198" priority="1160">
      <formula>AND($I160="Credit Memo",$K160="Corporate Office",$C159&lt;&gt;"Yes")</formula>
    </cfRule>
  </conditionalFormatting>
  <conditionalFormatting sqref="E160">
    <cfRule type="expression" dxfId="1197" priority="1157">
      <formula>AND($E$159="Yes",$C$159&lt;&gt;"Yes")</formula>
    </cfRule>
  </conditionalFormatting>
  <conditionalFormatting sqref="G163">
    <cfRule type="expression" dxfId="1196" priority="1156">
      <formula>AND($C$159&lt;&gt;"Yes",$E$160&lt;&gt;"Please Select")</formula>
    </cfRule>
  </conditionalFormatting>
  <conditionalFormatting sqref="E168">
    <cfRule type="expression" dxfId="1195" priority="1155">
      <formula>AND($E$167="Yes",$C$167&lt;&gt;"Yes")</formula>
    </cfRule>
  </conditionalFormatting>
  <conditionalFormatting sqref="I168">
    <cfRule type="expression" dxfId="1194" priority="1154">
      <formula>AND($E$168&lt;&gt;"Please Select",$C$167&lt;&gt;"Yes")</formula>
    </cfRule>
  </conditionalFormatting>
  <conditionalFormatting sqref="G171">
    <cfRule type="expression" dxfId="1193" priority="1150">
      <formula>AND($C$167&lt;&gt;"Yes",$E$168&lt;&gt;"Please Select")</formula>
    </cfRule>
  </conditionalFormatting>
  <conditionalFormatting sqref="I176">
    <cfRule type="expression" dxfId="1192" priority="1148">
      <formula>AND($C$175&lt;&gt;"Yes",$E$176&lt;&gt;"Please Select")</formula>
    </cfRule>
  </conditionalFormatting>
  <conditionalFormatting sqref="G176">
    <cfRule type="expression" dxfId="1191" priority="1146">
      <formula>AND($E$176&lt;&gt;"Please Select",$C$175&lt;&gt;"Yes")</formula>
    </cfRule>
  </conditionalFormatting>
  <conditionalFormatting sqref="M176">
    <cfRule type="expression" dxfId="1190" priority="328">
      <formula>AND($K$176="Corporate Office",$C$175="Yes",$C$178="No")</formula>
    </cfRule>
    <cfRule type="expression" dxfId="1189" priority="1143">
      <formula>OR(AND($K$176&lt;&gt;"Corporate Office",$C$175&lt;&gt;"Yes"),AND($C$175="Yes",$C$178&lt;&gt;"No"))</formula>
    </cfRule>
    <cfRule type="expression" dxfId="1188" priority="1144">
      <formula>AND($I$176="Check",$C$175&lt;&gt;"Yes")</formula>
    </cfRule>
    <cfRule type="expression" dxfId="1187" priority="1145">
      <formula>AND($I$176="Credit Memo",$K$176="Corporate Office",$C$175&lt;&gt;"Yes")</formula>
    </cfRule>
  </conditionalFormatting>
  <conditionalFormatting sqref="E176">
    <cfRule type="expression" dxfId="1186" priority="1142">
      <formula>AND($E$175="Yes",$C$175&lt;&gt;"Yes")</formula>
    </cfRule>
  </conditionalFormatting>
  <conditionalFormatting sqref="K155">
    <cfRule type="expression" dxfId="1185" priority="819">
      <formula>AND($C$151="Yes",$C$154="No")</formula>
    </cfRule>
    <cfRule type="expression" dxfId="1184" priority="1140">
      <formula>AND($E$152&lt;&gt;"Please Select",$C$151&lt;&gt;"Yes")</formula>
    </cfRule>
  </conditionalFormatting>
  <conditionalFormatting sqref="K179">
    <cfRule type="expression" dxfId="1183" priority="1139">
      <formula>AND($C$175&lt;&gt;"Yes",$E$176&lt;&gt;"Please Select")</formula>
    </cfRule>
  </conditionalFormatting>
  <conditionalFormatting sqref="I184">
    <cfRule type="expression" dxfId="1182" priority="1133">
      <formula>AND($C$183&lt;&gt;"Yes",$E184&lt;&gt;"Please Select")</formula>
    </cfRule>
  </conditionalFormatting>
  <conditionalFormatting sqref="M184">
    <cfRule type="expression" dxfId="1181" priority="1130">
      <formula>OR(AND($K184&lt;&gt;"Corporate Office",$C$183&lt;&gt;"Yes"),$C$183="Yes")</formula>
    </cfRule>
    <cfRule type="expression" dxfId="1180" priority="1131">
      <formula>AND($I184="Check")</formula>
    </cfRule>
    <cfRule type="expression" dxfId="1179" priority="1132">
      <formula>AND($I184="Credit Memo",$K184="Corporate Office",$C$183&lt;&gt;"Yes")</formula>
    </cfRule>
  </conditionalFormatting>
  <conditionalFormatting sqref="E184">
    <cfRule type="expression" dxfId="1178" priority="1129">
      <formula>AND($C$183&lt;&gt;"Yes",$E$183="Yes")</formula>
    </cfRule>
  </conditionalFormatting>
  <conditionalFormatting sqref="G190">
    <cfRule type="expression" dxfId="1177" priority="1128">
      <formula>AND($C$183&lt;&gt;"Yes",$E184&lt;&gt;"Please Select")</formula>
    </cfRule>
  </conditionalFormatting>
  <conditionalFormatting sqref="I190">
    <cfRule type="expression" dxfId="1176" priority="1124">
      <formula>AND($C$183&lt;&gt;"Yes",COUNT(SEARCH("ICM", $G190))=1)</formula>
    </cfRule>
    <cfRule type="expression" dxfId="1175" priority="1127">
      <formula>AND($C$183&lt;&gt;"Yes",$E184&lt;&gt;"Please Select")</formula>
    </cfRule>
  </conditionalFormatting>
  <conditionalFormatting sqref="K187">
    <cfRule type="expression" dxfId="1174" priority="1123">
      <formula>AND($E184 = "Prepaid Rollover",$C$183&lt;&gt;"Yes")</formula>
    </cfRule>
  </conditionalFormatting>
  <conditionalFormatting sqref="M190">
    <cfRule type="expression" dxfId="1173" priority="1121">
      <formula>AND($C$183&lt;&gt;"Yes",$E184&lt;&gt;"Please Select")</formula>
    </cfRule>
  </conditionalFormatting>
  <conditionalFormatting sqref="M187">
    <cfRule type="expression" dxfId="1172" priority="1120">
      <formula>AND($E184&lt;&gt;"Please Select",$C$183&lt;&gt;"Yes")</formula>
    </cfRule>
  </conditionalFormatting>
  <conditionalFormatting sqref="K190">
    <cfRule type="expression" dxfId="1171" priority="1119">
      <formula>AND($C$183&lt;&gt;"Yes",$E184&lt;&gt;"Please Select")</formula>
    </cfRule>
  </conditionalFormatting>
  <conditionalFormatting sqref="N182:P185">
    <cfRule type="expression" dxfId="1170" priority="1117">
      <formula>AND($G$187&lt;100000,$G187&gt;=10000)</formula>
    </cfRule>
    <cfRule type="expression" dxfId="1169" priority="1118">
      <formula>$G187&gt;=100000</formula>
    </cfRule>
  </conditionalFormatting>
  <conditionalFormatting sqref="O190">
    <cfRule type="expression" dxfId="1168" priority="1116">
      <formula>AND($E184&lt;&gt;"Please Select",$C$183&lt;&gt;"Yes")</formula>
    </cfRule>
  </conditionalFormatting>
  <conditionalFormatting sqref="G195">
    <cfRule type="expression" dxfId="1167" priority="1097">
      <formula>AND($C$194&lt;&gt;"Yes",$E195="Prepay Multi Yr Under")</formula>
    </cfRule>
  </conditionalFormatting>
  <conditionalFormatting sqref="G207">
    <cfRule type="expression" dxfId="1166" priority="1096">
      <formula>AND($C$206&lt;&gt;"Yes",$E207="Prepay Multi Yr Under")</formula>
    </cfRule>
  </conditionalFormatting>
  <conditionalFormatting sqref="I195">
    <cfRule type="expression" dxfId="1165" priority="1095">
      <formula>AND($C$194&lt;&gt;"Yes",$E195&lt;&gt;"Please Select")</formula>
    </cfRule>
  </conditionalFormatting>
  <conditionalFormatting sqref="I207">
    <cfRule type="expression" dxfId="1164" priority="1094">
      <formula>AND($C$206&lt;&gt;"Yes",$E207&lt;&gt;"Please Select")</formula>
    </cfRule>
  </conditionalFormatting>
  <conditionalFormatting sqref="M195">
    <cfRule type="expression" dxfId="1163" priority="327">
      <formula>OR(AND($K195&lt;&gt;"Corporate Office",$C194&lt;&gt;"Yes"),$C194="Yes")</formula>
    </cfRule>
    <cfRule type="expression" dxfId="1162" priority="1091">
      <formula>$I195="Check"</formula>
    </cfRule>
    <cfRule type="expression" dxfId="1161" priority="1092">
      <formula>AND($K195="Corporate Office",$I195="Check",$C194&lt;&gt;"Yes")</formula>
    </cfRule>
    <cfRule type="expression" dxfId="1160" priority="1093">
      <formula>AND($I195="Credit Memo",$K195="Corporate Office",$C194&lt;&gt;"Yes")</formula>
    </cfRule>
  </conditionalFormatting>
  <conditionalFormatting sqref="N193:P196">
    <cfRule type="expression" dxfId="1159" priority="1086">
      <formula>AND($G$198&lt;100000,$G198&gt;=10000)</formula>
    </cfRule>
    <cfRule type="expression" dxfId="1158" priority="1087">
      <formula>$G198&gt;=100000</formula>
    </cfRule>
  </conditionalFormatting>
  <conditionalFormatting sqref="N205:P208">
    <cfRule type="expression" dxfId="1157" priority="1084">
      <formula>AND($G$210&lt;100000,$G210&gt;=10000)</formula>
    </cfRule>
    <cfRule type="expression" dxfId="1156" priority="1085">
      <formula>$G210&gt;=100000</formula>
    </cfRule>
  </conditionalFormatting>
  <conditionalFormatting sqref="I219">
    <cfRule type="expression" dxfId="1155" priority="1056">
      <formula>AND($C$218&lt;&gt;"Yes",$E219&lt;&gt;"Please Select")</formula>
    </cfRule>
  </conditionalFormatting>
  <conditionalFormatting sqref="E219">
    <cfRule type="expression" dxfId="1154" priority="1055">
      <formula>AND($C$218&lt;&gt;"Yes",$E$218="Yes")</formula>
    </cfRule>
  </conditionalFormatting>
  <conditionalFormatting sqref="K222">
    <cfRule type="expression" dxfId="1153" priority="1053">
      <formula>AND($C$218&lt;&gt;"Yes",$E$219&lt;&gt;"Please Select")</formula>
    </cfRule>
  </conditionalFormatting>
  <conditionalFormatting sqref="E195">
    <cfRule type="expression" dxfId="1152" priority="1033">
      <formula>AND($C$194&lt;&gt;"Yes",$E$194="Yes")</formula>
    </cfRule>
  </conditionalFormatting>
  <conditionalFormatting sqref="K21:K23 G21:G23">
    <cfRule type="expression" dxfId="1151" priority="1032">
      <formula>OR(AND($E$14="Volume Incentive Tiered",$C$13&lt;&gt;"Yes"),AND($C$13="Yes",$C$16="No",$E$14="Volume Incentive Tiered"))</formula>
    </cfRule>
  </conditionalFormatting>
  <conditionalFormatting sqref="K63:K65">
    <cfRule type="expression" dxfId="1150" priority="1021">
      <formula>OR(AND($E$56="DS Tiered Average Invoice Dollar Qualifier",$C$55&lt;&gt;"Yes"),AND($C$55="Yes",$C$58="No",$E$56="DS Tiered Average Invoice Dollar Qualifier"))</formula>
    </cfRule>
  </conditionalFormatting>
  <conditionalFormatting sqref="K91:K93">
    <cfRule type="expression" dxfId="1149" priority="1020">
      <formula>OR(AND($C$83&lt;&gt;"Yes",$E$84="EB Tiered Percent Qualifier"),AND($C$83="Yes",$C$86="No",,$E$84="EB Tiered Percent Qualifier"))</formula>
    </cfRule>
  </conditionalFormatting>
  <conditionalFormatting sqref="K77:K79">
    <cfRule type="expression" dxfId="1148" priority="1010">
      <formula>OR(AND($E$70="DS Tiered Average Invoice Dollar Qualifier",$C$69&lt;&gt;"Yes"),AND($C$69="Yes",$C$58="72",$E$70="DS Tiered Average Invoice Dollar Qualifier"))</formula>
    </cfRule>
  </conditionalFormatting>
  <conditionalFormatting sqref="K104">
    <cfRule type="expression" dxfId="1147" priority="800">
      <formula>AND($C$97="Yes",$C$100="No",$E98="EB Tiered Percent Qualifier")</formula>
    </cfRule>
    <cfRule type="expression" dxfId="1146" priority="1008">
      <formula>AND($E98="EB Tiered Percent Qualifier",$C$97&lt;&gt;"Yes")</formula>
    </cfRule>
  </conditionalFormatting>
  <conditionalFormatting sqref="K105:K107">
    <cfRule type="expression" dxfId="1145" priority="1007">
      <formula>OR(AND($C$97&lt;&gt;"Yes",$E$98="EB Tiered Percent Qualifier"),AND($C$97="Yes",$C$100="No",$E$98="EB Tiered Percent Qualifier"))</formula>
    </cfRule>
  </conditionalFormatting>
  <conditionalFormatting sqref="T12:T14">
    <cfRule type="cellIs" dxfId="1144" priority="1006" operator="equal">
      <formula>"Yes"</formula>
    </cfRule>
  </conditionalFormatting>
  <conditionalFormatting sqref="K19">
    <cfRule type="expression" dxfId="1143" priority="783">
      <formula>AND($C$13="Yes",$C$16="No")</formula>
    </cfRule>
    <cfRule type="expression" dxfId="1142" priority="1003">
      <formula>AND($E$14&lt;&gt;"Please Select",$C$13&lt;&gt;"Yes")</formula>
    </cfRule>
  </conditionalFormatting>
  <conditionalFormatting sqref="K33">
    <cfRule type="expression" dxfId="1141" priority="774">
      <formula>AND($C$27="Yes",$C$30="No")</formula>
    </cfRule>
    <cfRule type="expression" dxfId="1140" priority="1002">
      <formula>AND($C$27&lt;&gt;"Yes",$E$28&lt;&gt;"Please Select")</formula>
    </cfRule>
  </conditionalFormatting>
  <conditionalFormatting sqref="K47">
    <cfRule type="expression" dxfId="1139" priority="769">
      <formula>AND($C$41="Yes",$C$44="No")</formula>
    </cfRule>
    <cfRule type="expression" dxfId="1138" priority="1001">
      <formula>AND($C$41&lt;&gt;"Yes",$E$42&lt;&gt;"Please Select")</formula>
    </cfRule>
  </conditionalFormatting>
  <conditionalFormatting sqref="K89">
    <cfRule type="expression" dxfId="1137" priority="807">
      <formula>AND($C$83="Yes",$C$86="No")</formula>
    </cfRule>
    <cfRule type="expression" dxfId="1136" priority="1000">
      <formula>AND($C$83&lt;&gt;"Yes",$E$84&lt;&gt;"Please Select")</formula>
    </cfRule>
  </conditionalFormatting>
  <conditionalFormatting sqref="K103">
    <cfRule type="expression" dxfId="1135" priority="799">
      <formula>AND($C$97="Yes",$C$100="No")</formula>
    </cfRule>
    <cfRule type="expression" dxfId="1134" priority="999">
      <formula>AND($C$97&lt;&gt;"Yes",$E$98&lt;&gt;"Please Select")</formula>
    </cfRule>
  </conditionalFormatting>
  <conditionalFormatting sqref="K176">
    <cfRule type="expression" dxfId="1133" priority="378">
      <formula>AND($C175="Yes",AND($C178="No",$I176&lt;&gt;"Check"))</formula>
    </cfRule>
    <cfRule type="expression" dxfId="1132" priority="982">
      <formula>AND($E176&lt;&gt;"Please Select",$I176&lt;&gt;"Check",$C$175&lt;&gt;"Yes")</formula>
    </cfRule>
  </conditionalFormatting>
  <conditionalFormatting sqref="I187">
    <cfRule type="expression" dxfId="1131" priority="961">
      <formula>AND($C$183&lt;&gt;"Yes",$E$184&lt;&gt;"Please Select")</formula>
    </cfRule>
  </conditionalFormatting>
  <conditionalFormatting sqref="G198">
    <cfRule type="expression" dxfId="1130" priority="959">
      <formula>AND($C$194&lt;&gt;"Yes",$E$195="Prepaid Single Payment")</formula>
    </cfRule>
  </conditionalFormatting>
  <conditionalFormatting sqref="G210">
    <cfRule type="expression" dxfId="1129" priority="958">
      <formula>AND($C$206&lt;&gt;"Yes",$E$207="Prepaid Single Payment")</formula>
    </cfRule>
  </conditionalFormatting>
  <conditionalFormatting sqref="G105:G107">
    <cfRule type="expression" dxfId="1128" priority="957">
      <formula>OR(AND($C$97&lt;&gt;"Yes",$E$98="EB Tiered Percent Qualifier"),AND($C$97="Yes",$C$100="No",$E$98="EB Tiered Percent Qualifier"))</formula>
    </cfRule>
  </conditionalFormatting>
  <conditionalFormatting sqref="G91:G93">
    <cfRule type="expression" dxfId="1127" priority="956">
      <formula>OR(AND($C$83&lt;&gt;"Yes",$E$84="EB Tiered Percent Qualifier"),AND($C$83="Yes",$C$86="No",$E$84="EB Tiered Percent Qualifier"))</formula>
    </cfRule>
  </conditionalFormatting>
  <conditionalFormatting sqref="G90">
    <cfRule type="expression" dxfId="1126" priority="808">
      <formula>AND($C$83="Yes",$C$86="No",$E$84="EB Tiered Percent Qualifier")</formula>
    </cfRule>
    <cfRule type="expression" dxfId="1125" priority="955">
      <formula>AND($C$83&lt;&gt;"Yes",$E$84="EB Tiered Percent Qualifier")</formula>
    </cfRule>
  </conditionalFormatting>
  <conditionalFormatting sqref="G104">
    <cfRule type="expression" dxfId="1124" priority="801">
      <formula>AND($E$98="EB Tiered Percent Qualifier",$C$97="Yes",$C$100="No")</formula>
    </cfRule>
    <cfRule type="expression" dxfId="1123" priority="954">
      <formula>AND($C$97&lt;&gt;"Yes",$E$98="EB Tiered Percent Qualifier")</formula>
    </cfRule>
  </conditionalFormatting>
  <conditionalFormatting sqref="I89:I93">
    <cfRule type="cellIs" dxfId="1122" priority="953" operator="equal">
      <formula>0</formula>
    </cfRule>
  </conditionalFormatting>
  <conditionalFormatting sqref="I103:I107">
    <cfRule type="cellIs" dxfId="1121" priority="952" operator="equal">
      <formula>0</formula>
    </cfRule>
  </conditionalFormatting>
  <conditionalFormatting sqref="K198:K202">
    <cfRule type="expression" dxfId="1120" priority="941">
      <formula>OR(AND($C$194&lt;&gt;"Yes",$E$195="Prepaid Single Payment"),$C$194="Yes")</formula>
    </cfRule>
  </conditionalFormatting>
  <conditionalFormatting sqref="K210:K214">
    <cfRule type="expression" dxfId="1119" priority="940">
      <formula>AND($C$206&lt;&gt;"Yes",$E$207="Prepaid Single Payment")</formula>
    </cfRule>
  </conditionalFormatting>
  <conditionalFormatting sqref="E207">
    <cfRule type="expression" dxfId="1118" priority="939">
      <formula>AND($E$206="Yes",$C$206&lt;&gt;"Yes")</formula>
    </cfRule>
  </conditionalFormatting>
  <conditionalFormatting sqref="I120">
    <cfRule type="expression" dxfId="1117" priority="842">
      <formula>AND($C$119="Yes",$C$122="No")</formula>
    </cfRule>
    <cfRule type="expression" dxfId="1116" priority="937">
      <formula>AND($C$119&lt;&gt;"Yes",$E$120&lt;&gt;"Please Select")</formula>
    </cfRule>
  </conditionalFormatting>
  <conditionalFormatting sqref="G120">
    <cfRule type="expression" dxfId="1115" priority="843">
      <formula>AND($C$119="Yes",$C$122="No")</formula>
    </cfRule>
    <cfRule type="expression" dxfId="1114" priority="936">
      <formula>AND($C$119&lt;&gt;"Yes",$E$120&lt;&gt;"Please Select")</formula>
    </cfRule>
  </conditionalFormatting>
  <conditionalFormatting sqref="E120">
    <cfRule type="expression" dxfId="1113" priority="932">
      <formula>AND($C$119&lt;&gt;"Yes",$E$119="Yes")</formula>
    </cfRule>
  </conditionalFormatting>
  <conditionalFormatting sqref="G123">
    <cfRule type="expression" dxfId="1112" priority="840">
      <formula>AND($C$119="Yes",$C$122="No")</formula>
    </cfRule>
    <cfRule type="expression" dxfId="1111" priority="931">
      <formula>AND($C$119&lt;&gt;"Yes",$E$120="Growth Incentive Single Rate")</formula>
    </cfRule>
  </conditionalFormatting>
  <conditionalFormatting sqref="K123">
    <cfRule type="expression" dxfId="1110" priority="839">
      <formula>AND($C$119="Yes",$C$122="No")</formula>
    </cfRule>
    <cfRule type="expression" dxfId="1109" priority="930">
      <formula>AND($C$119&lt;&gt;"Yes",$E$120&lt;&gt;"Please Select")</formula>
    </cfRule>
  </conditionalFormatting>
  <conditionalFormatting sqref="I128">
    <cfRule type="expression" dxfId="1108" priority="837">
      <formula>AND($C$127="Yes",$C$130="No")</formula>
    </cfRule>
    <cfRule type="expression" dxfId="1107" priority="928">
      <formula>AND($E$128&lt;&gt;"Please Select",$C$127&lt;&gt;"Yes")</formula>
    </cfRule>
  </conditionalFormatting>
  <conditionalFormatting sqref="G128">
    <cfRule type="expression" dxfId="1106" priority="838">
      <formula>AND($C$127="Yes",$C$130="No")</formula>
    </cfRule>
    <cfRule type="expression" dxfId="1105" priority="927">
      <formula>AND($E$128&lt;&gt;"Please Select",$C$127&lt;&gt;"Yes")</formula>
    </cfRule>
  </conditionalFormatting>
  <conditionalFormatting sqref="E128">
    <cfRule type="expression" dxfId="1104" priority="923">
      <formula>AND($C$135&lt;&gt;"Yes",$E$127="Yes")</formula>
    </cfRule>
  </conditionalFormatting>
  <conditionalFormatting sqref="G131">
    <cfRule type="expression" dxfId="1103" priority="834">
      <formula>AND($C$127="Yes",$C$130="No")</formula>
    </cfRule>
    <cfRule type="expression" dxfId="1102" priority="922">
      <formula>AND($E$128="Growth Incentive Single Rate",$C$127&lt;&gt;"Yes")</formula>
    </cfRule>
  </conditionalFormatting>
  <conditionalFormatting sqref="K131">
    <cfRule type="expression" dxfId="1101" priority="833">
      <formula>AND($C$127="Yes",$C$130="No")</formula>
    </cfRule>
    <cfRule type="expression" dxfId="1100" priority="921">
      <formula>AND($E$128&lt;&gt;"Please Select",$C$127&lt;&gt;"Yes")</formula>
    </cfRule>
  </conditionalFormatting>
  <conditionalFormatting sqref="I144">
    <cfRule type="expression" dxfId="1099" priority="827">
      <formula>AND($C$143="Yes",$C$146="No")</formula>
    </cfRule>
    <cfRule type="expression" dxfId="1098" priority="919">
      <formula>AND($E$144&lt;&gt;"Please Select",$C$143&lt;&gt;"Yes")</formula>
    </cfRule>
  </conditionalFormatting>
  <conditionalFormatting sqref="G144">
    <cfRule type="expression" dxfId="1097" priority="828">
      <formula>AND($C$143="Yes",$C$146="No")</formula>
    </cfRule>
    <cfRule type="expression" dxfId="1096" priority="918">
      <formula>AND($E$144&lt;&gt;"Please Select",$C$143&lt;&gt;"Yes")</formula>
    </cfRule>
  </conditionalFormatting>
  <conditionalFormatting sqref="E144">
    <cfRule type="expression" dxfId="1095" priority="914">
      <formula>AND($E$143="Yes",$C$143&lt;&gt;"Yes")</formula>
    </cfRule>
  </conditionalFormatting>
  <conditionalFormatting sqref="G147">
    <cfRule type="expression" dxfId="1094" priority="825">
      <formula>AND($C$143="Yes",$C$146="No")</formula>
    </cfRule>
    <cfRule type="expression" dxfId="1093" priority="913">
      <formula>AND($E$144="Growth Incentive Single Rate",$C$143&lt;&gt;"Yes")</formula>
    </cfRule>
  </conditionalFormatting>
  <conditionalFormatting sqref="K147">
    <cfRule type="expression" dxfId="1092" priority="824">
      <formula>AND($C$143="Yes",$C$146="No")</formula>
    </cfRule>
    <cfRule type="expression" dxfId="1091" priority="912">
      <formula>AND($E$144&lt;&gt;"Please Select",$C$143&lt;&gt;"Yes")</formula>
    </cfRule>
  </conditionalFormatting>
  <conditionalFormatting sqref="I136">
    <cfRule type="expression" dxfId="1090" priority="831">
      <formula>AND($C$135="Yes",$C$138="No")</formula>
    </cfRule>
    <cfRule type="expression" dxfId="1089" priority="910">
      <formula>AND($E$136&lt;&gt;"Please Select",$C$135&lt;&gt;"Yes")</formula>
    </cfRule>
  </conditionalFormatting>
  <conditionalFormatting sqref="G136">
    <cfRule type="expression" dxfId="1088" priority="832">
      <formula>AND($C$135="Yes",$C$138="No")</formula>
    </cfRule>
    <cfRule type="expression" dxfId="1087" priority="909">
      <formula>AND($C$135&lt;&gt;"Yes",$E$136&lt;&gt;"Please Select")</formula>
    </cfRule>
  </conditionalFormatting>
  <conditionalFormatting sqref="E136">
    <cfRule type="expression" dxfId="1086" priority="905">
      <formula>AND($E$135="Yes",$C$135&lt;&gt;"Yes")</formula>
    </cfRule>
  </conditionalFormatting>
  <conditionalFormatting sqref="G139">
    <cfRule type="expression" dxfId="1085" priority="835">
      <formula>AND($C$135="Yes",$C$138="No")</formula>
    </cfRule>
    <cfRule type="expression" dxfId="1084" priority="904">
      <formula>AND($E$136="Growth Incentive Single Rate",$C$135&lt;&gt;"Yes")</formula>
    </cfRule>
  </conditionalFormatting>
  <conditionalFormatting sqref="K139">
    <cfRule type="expression" dxfId="1083" priority="829">
      <formula>AND($C$135="Yes",$C$138="No")</formula>
    </cfRule>
    <cfRule type="expression" dxfId="1082" priority="903">
      <formula>AND($E$136&lt;&gt;"Please Select",$C$135&lt;&gt;"Yes")</formula>
    </cfRule>
  </conditionalFormatting>
  <conditionalFormatting sqref="K223">
    <cfRule type="cellIs" dxfId="1081" priority="899" operator="equal">
      <formula>"Rate cannot be greater than the Prepaid Rate % of Sales"</formula>
    </cfRule>
    <cfRule type="cellIs" dxfId="1080" priority="901" operator="equal">
      <formula>"Recommended New Customer Location Incentive is 1%"</formula>
    </cfRule>
  </conditionalFormatting>
  <conditionalFormatting sqref="G70">
    <cfRule type="expression" dxfId="1079" priority="793">
      <formula>AND($C$69="Yes",$C$72="No")</formula>
    </cfRule>
    <cfRule type="expression" dxfId="1078" priority="856">
      <formula>AND($C$69&lt;&gt;"Yes",$E$70&lt;&gt;"Please Select")</formula>
    </cfRule>
  </conditionalFormatting>
  <conditionalFormatting sqref="G63:G65">
    <cfRule type="expression" dxfId="1077" priority="853">
      <formula>OR(AND($E$56="DS Tiered Average Invoice Dollar Qualifier",$C$55&lt;&gt;"Yes"),AND($C$55="Yes",$C$58="No",$E$56="DS Tiered Average Invoice Dollar Qualifier"))</formula>
    </cfRule>
  </conditionalFormatting>
  <conditionalFormatting sqref="G77:G79">
    <cfRule type="expression" dxfId="1076" priority="852">
      <formula>OR(AND($E$70="DS Tiered Average Invoice Dollar Qualifier",$C$69&lt;&gt;"Yes"),AND($C$69="Yes",$C$58="72",$E$70="DS Tiered Average Invoice Dollar Qualifier"))</formula>
    </cfRule>
  </conditionalFormatting>
  <conditionalFormatting sqref="D8:D9">
    <cfRule type="expression" dxfId="1075" priority="851">
      <formula>$D$10=""</formula>
    </cfRule>
  </conditionalFormatting>
  <conditionalFormatting sqref="E8:E9">
    <cfRule type="expression" dxfId="1074" priority="849">
      <formula>$D$10=""</formula>
    </cfRule>
  </conditionalFormatting>
  <conditionalFormatting sqref="G61">
    <cfRule type="expression" dxfId="1073" priority="795">
      <formula>AND(OR($E56="DS Tiered Average Invoice Dollar Qualifier",$E56="DS Threshold Average Invoice Dollar Qualifier"),$C$55="Yes",$C$58="No")</formula>
    </cfRule>
  </conditionalFormatting>
  <conditionalFormatting sqref="G75 K75">
    <cfRule type="expression" dxfId="1072" priority="789">
      <formula>AND(OR($E70="DS Tiered Average Invoice Dollar Qualifier",$E70="DS Threshold Average Invoice Dollar Qualifier"),$C$69="Yes",$C$72="No")</formula>
    </cfRule>
    <cfRule type="expression" dxfId="1071" priority="855">
      <formula>AND(OR($E70="DS Tiered Average Invoice Dollar Qualifier",$E70="DS Threshold Average Invoice Dollar Qualifier"),$C$69&lt;&gt;"Yes")</formula>
    </cfRule>
  </conditionalFormatting>
  <conditionalFormatting sqref="G76 K76">
    <cfRule type="expression" dxfId="1070" priority="788">
      <formula>AND($C$69="Yes",$C$72="No",$E70="DS Tiered Average Invoice Dollar Qualifier")</formula>
    </cfRule>
    <cfRule type="expression" dxfId="1069" priority="854">
      <formula>AND($C$69&lt;&gt;"Yes",$E70="DS Tiered Average Invoice Dollar Qualifier")</formula>
    </cfRule>
  </conditionalFormatting>
  <conditionalFormatting sqref="G34 K34">
    <cfRule type="expression" dxfId="1068" priority="773">
      <formula>AND($E28="Volume Incentive Tiered",$C$27="Yes",$C$30="No")</formula>
    </cfRule>
    <cfRule type="expression" dxfId="1067" priority="1193">
      <formula>AND($E28="Volume Incentive Tiered",$C$27&lt;&gt;"Yes")</formula>
    </cfRule>
  </conditionalFormatting>
  <conditionalFormatting sqref="G35:G37 K35:K37">
    <cfRule type="expression" dxfId="1066" priority="772">
      <formula>OR(AND($E$28="Volume Incentive Tiered",$C$27&lt;&gt;"Yes"),AND($C$27="Yes",$C$30="No",$E$28="Volume Incentive Tiered"))</formula>
    </cfRule>
  </conditionalFormatting>
  <conditionalFormatting sqref="G48 K48">
    <cfRule type="expression" dxfId="1065" priority="768">
      <formula>AND($E42="Volume Incentive Tiered",$C$41="Yes",$C$44="No")</formula>
    </cfRule>
    <cfRule type="expression" dxfId="1064" priority="1191">
      <formula>AND($E42="Volume Incentive Tiered",$C$41&lt;&gt;"Yes")</formula>
    </cfRule>
  </conditionalFormatting>
  <conditionalFormatting sqref="G49:G51 K49:K51">
    <cfRule type="expression" dxfId="1063" priority="767">
      <formula>OR(AND($E$42="Volume Incentive Tiered",$C$41&lt;&gt;"Yes"),AND($C$41="Yes",$C$44="No",$E$42="Volume Incentive Tiered"))</formula>
    </cfRule>
  </conditionalFormatting>
  <conditionalFormatting sqref="K61">
    <cfRule type="expression" dxfId="1062" priority="766">
      <formula>AND($C$55="Yes",$C$58="No",OR($E56="DS Tiered Average Invoice Dollar Qualifier",$E56="DS Threshold Average Invoice Dollar Qualifier"))</formula>
    </cfRule>
  </conditionalFormatting>
  <conditionalFormatting sqref="K234">
    <cfRule type="cellIs" dxfId="1061" priority="764" operator="equal">
      <formula>"Rate cannot be greater than the Prepaid Rate % of Sales"</formula>
    </cfRule>
    <cfRule type="cellIs" dxfId="1060" priority="765" operator="equal">
      <formula>"Recommended NCI is 1%"</formula>
    </cfRule>
  </conditionalFormatting>
  <conditionalFormatting sqref="E226">
    <cfRule type="expression" dxfId="1059" priority="759">
      <formula>$C$229="Yes"</formula>
    </cfRule>
  </conditionalFormatting>
  <conditionalFormatting sqref="E227">
    <cfRule type="expression" dxfId="1058" priority="756">
      <formula>OR($E$226="No",$C$229="Yes")</formula>
    </cfRule>
    <cfRule type="expression" dxfId="1057" priority="757">
      <formula>$C$229=""</formula>
    </cfRule>
  </conditionalFormatting>
  <conditionalFormatting sqref="M227">
    <cfRule type="expression" dxfId="1056" priority="751">
      <formula>$E$226="No"</formula>
    </cfRule>
    <cfRule type="expression" dxfId="1055" priority="754">
      <formula>AND($C$229&lt;&gt;"Yes",$I227="Credit Memo",$K227="Corporate Office")</formula>
    </cfRule>
    <cfRule type="expression" dxfId="1054" priority="755">
      <formula>AND($C$229&lt;&gt;"Yes",$K227="Corporate Office",$I227="Check")</formula>
    </cfRule>
  </conditionalFormatting>
  <conditionalFormatting sqref="G233">
    <cfRule type="expression" dxfId="1053" priority="752">
      <formula>OR($C$229="Yes",$E$226="No")</formula>
    </cfRule>
    <cfRule type="expression" dxfId="1052" priority="753">
      <formula>$E$226="Yes"</formula>
    </cfRule>
  </conditionalFormatting>
  <conditionalFormatting sqref="K245">
    <cfRule type="cellIs" dxfId="1051" priority="614" operator="equal">
      <formula>"Rate cannot be greater than the Prepaid Rate % of Sales"</formula>
    </cfRule>
    <cfRule type="cellIs" dxfId="1050" priority="615" operator="equal">
      <formula>"Recommended NCI is 1%"</formula>
    </cfRule>
  </conditionalFormatting>
  <conditionalFormatting sqref="E237">
    <cfRule type="expression" dxfId="1049" priority="608">
      <formula>$C$240=""</formula>
    </cfRule>
    <cfRule type="expression" dxfId="1048" priority="609">
      <formula>$C$240="Yes"</formula>
    </cfRule>
  </conditionalFormatting>
  <conditionalFormatting sqref="E238">
    <cfRule type="expression" dxfId="1047" priority="606">
      <formula>OR($E$237="No",$C$240="Yes")</formula>
    </cfRule>
    <cfRule type="expression" dxfId="1046" priority="607">
      <formula>$C$240=""</formula>
    </cfRule>
  </conditionalFormatting>
  <conditionalFormatting sqref="M238">
    <cfRule type="expression" dxfId="1045" priority="601">
      <formula>$E$237="No"</formula>
    </cfRule>
    <cfRule type="expression" dxfId="1044" priority="604">
      <formula>AND($C$240&lt;&gt;"Yes",$I238="Credit Memo",$K238="Corporate Office")</formula>
    </cfRule>
    <cfRule type="expression" dxfId="1043" priority="605">
      <formula>AND($C$240&lt;&gt;"Yes",$K238="Corporate Office",$I238="Check")</formula>
    </cfRule>
  </conditionalFormatting>
  <conditionalFormatting sqref="G244">
    <cfRule type="expression" dxfId="1042" priority="602">
      <formula>OR($C$240="Yes",$E$237="No")</formula>
    </cfRule>
    <cfRule type="expression" dxfId="1041" priority="603">
      <formula>$E$237="Yes"</formula>
    </cfRule>
  </conditionalFormatting>
  <conditionalFormatting sqref="K256">
    <cfRule type="cellIs" dxfId="1040" priority="599" operator="equal">
      <formula>"Rate cannot be greater than the Prepaid Rate % of Sales"</formula>
    </cfRule>
    <cfRule type="cellIs" dxfId="1039" priority="600" operator="equal">
      <formula>"Recommended NCI is 1%"</formula>
    </cfRule>
  </conditionalFormatting>
  <conditionalFormatting sqref="E248">
    <cfRule type="expression" dxfId="1038" priority="594">
      <formula>$C$251="Yes"</formula>
    </cfRule>
  </conditionalFormatting>
  <conditionalFormatting sqref="E249">
    <cfRule type="expression" dxfId="1037" priority="591">
      <formula>OR($E$248="No",$C$251="Yes")</formula>
    </cfRule>
    <cfRule type="expression" dxfId="1036" priority="592">
      <formula>$C$251=""</formula>
    </cfRule>
  </conditionalFormatting>
  <conditionalFormatting sqref="M249">
    <cfRule type="expression" dxfId="1035" priority="586">
      <formula>$E$248="No"</formula>
    </cfRule>
    <cfRule type="expression" dxfId="1034" priority="589">
      <formula>AND($C$251&lt;&gt;"Yes",$I249="Credit Memo",$K249="Corporate Office")</formula>
    </cfRule>
    <cfRule type="expression" dxfId="1033" priority="590">
      <formula>AND($C$251&lt;&gt;"Yes",$K249="Corporate Office",$I249="Check")</formula>
    </cfRule>
  </conditionalFormatting>
  <conditionalFormatting sqref="G255">
    <cfRule type="expression" dxfId="1032" priority="587">
      <formula>OR($C$251="Yes",$E$248="No")</formula>
    </cfRule>
    <cfRule type="expression" dxfId="1031" priority="588">
      <formula>$E$248="Yes"</formula>
    </cfRule>
  </conditionalFormatting>
  <conditionalFormatting sqref="K267">
    <cfRule type="cellIs" dxfId="1030" priority="584" operator="equal">
      <formula>"Rate cannot be greater than the Prepaid Rate % of Sales"</formula>
    </cfRule>
    <cfRule type="cellIs" dxfId="1029" priority="585" operator="equal">
      <formula>"Recommended NCI is 1%"</formula>
    </cfRule>
  </conditionalFormatting>
  <conditionalFormatting sqref="E259">
    <cfRule type="expression" dxfId="1028" priority="579">
      <formula>$C$262="Yes"</formula>
    </cfRule>
  </conditionalFormatting>
  <conditionalFormatting sqref="E260">
    <cfRule type="expression" dxfId="1027" priority="576">
      <formula>OR($E$259="No",$C$262="Yes")</formula>
    </cfRule>
    <cfRule type="expression" dxfId="1026" priority="577">
      <formula>$C$262=""</formula>
    </cfRule>
  </conditionalFormatting>
  <conditionalFormatting sqref="M260">
    <cfRule type="expression" dxfId="1025" priority="571">
      <formula>$E$259="No"</formula>
    </cfRule>
    <cfRule type="expression" dxfId="1024" priority="574">
      <formula>AND($C$262&lt;&gt;"Yes",$I260="Credit Memo",$K260="Corporate Office")</formula>
    </cfRule>
    <cfRule type="expression" dxfId="1023" priority="575">
      <formula>AND($C$262&lt;&gt;"Yes",$K260="Corporate Office",$I260="Check")</formula>
    </cfRule>
  </conditionalFormatting>
  <conditionalFormatting sqref="G266">
    <cfRule type="expression" dxfId="1022" priority="572">
      <formula>OR($C$262="Yes",$E$259="No")</formula>
    </cfRule>
    <cfRule type="expression" dxfId="1021" priority="573">
      <formula>$E$259="Yes"</formula>
    </cfRule>
  </conditionalFormatting>
  <conditionalFormatting sqref="K278">
    <cfRule type="cellIs" dxfId="1020" priority="569" operator="equal">
      <formula>"Rate cannot be greater than the Prepaid Rate % of Sales"</formula>
    </cfRule>
    <cfRule type="cellIs" dxfId="1019" priority="570" operator="equal">
      <formula>"Recommended NCI is 1%"</formula>
    </cfRule>
  </conditionalFormatting>
  <conditionalFormatting sqref="E270">
    <cfRule type="expression" dxfId="1018" priority="564">
      <formula>$C$273="Yes"</formula>
    </cfRule>
  </conditionalFormatting>
  <conditionalFormatting sqref="E271">
    <cfRule type="expression" dxfId="1017" priority="561">
      <formula>OR($E$270="No",$C$273="Yes")</formula>
    </cfRule>
    <cfRule type="expression" dxfId="1016" priority="562">
      <formula>$C$273=""</formula>
    </cfRule>
  </conditionalFormatting>
  <conditionalFormatting sqref="M271">
    <cfRule type="expression" dxfId="1015" priority="556">
      <formula>$E$270="No"</formula>
    </cfRule>
    <cfRule type="expression" dxfId="1014" priority="559">
      <formula>AND($C$273&lt;&gt;"Yes",$I271="Credit Memo",$K271="Corporate Office")</formula>
    </cfRule>
    <cfRule type="expression" dxfId="1013" priority="560">
      <formula>AND($C$273&lt;&gt;"Yes",$K271="Corporate Office",$I271="Check")</formula>
    </cfRule>
  </conditionalFormatting>
  <conditionalFormatting sqref="G277">
    <cfRule type="expression" dxfId="1012" priority="557">
      <formula>OR($C$273="Yes",$E$270="No")</formula>
    </cfRule>
    <cfRule type="expression" dxfId="1011" priority="558">
      <formula>$E$270="Yes"</formula>
    </cfRule>
  </conditionalFormatting>
  <conditionalFormatting sqref="K289">
    <cfRule type="cellIs" dxfId="1010" priority="554" operator="equal">
      <formula>"Rate cannot be greater than the Prepaid Rate % of Sales"</formula>
    </cfRule>
    <cfRule type="cellIs" dxfId="1009" priority="555" operator="equal">
      <formula>"Recommended NCI is 1%"</formula>
    </cfRule>
  </conditionalFormatting>
  <conditionalFormatting sqref="E281">
    <cfRule type="expression" dxfId="1008" priority="549">
      <formula>$C$284="Yes"</formula>
    </cfRule>
  </conditionalFormatting>
  <conditionalFormatting sqref="E282">
    <cfRule type="expression" dxfId="1007" priority="546">
      <formula>OR($E$281="No",$C$284="Yes")</formula>
    </cfRule>
    <cfRule type="expression" dxfId="1006" priority="547">
      <formula>$C$284=""</formula>
    </cfRule>
  </conditionalFormatting>
  <conditionalFormatting sqref="M282">
    <cfRule type="expression" dxfId="1005" priority="541">
      <formula>$E$281="No"</formula>
    </cfRule>
    <cfRule type="expression" dxfId="1004" priority="544">
      <formula>AND($C$284&lt;&gt;"Yes",$I282="Credit Memo",$K282="Corporate Office")</formula>
    </cfRule>
    <cfRule type="expression" dxfId="1003" priority="545">
      <formula>AND($C$284&lt;&gt;"Yes",$K282="Corporate Office",$I282="Check")</formula>
    </cfRule>
  </conditionalFormatting>
  <conditionalFormatting sqref="G288">
    <cfRule type="expression" dxfId="1002" priority="542">
      <formula>OR($C$284="Yes",$E$281="No")</formula>
    </cfRule>
    <cfRule type="expression" dxfId="1001" priority="543">
      <formula>$E$281="Yes"</formula>
    </cfRule>
  </conditionalFormatting>
  <conditionalFormatting sqref="K300">
    <cfRule type="cellIs" dxfId="1000" priority="539" operator="equal">
      <formula>"Rate cannot be greater than the Prepaid Rate % of Sales"</formula>
    </cfRule>
    <cfRule type="cellIs" dxfId="999" priority="540" operator="equal">
      <formula>"Recommended NCI is 1%"</formula>
    </cfRule>
  </conditionalFormatting>
  <conditionalFormatting sqref="E292">
    <cfRule type="expression" dxfId="998" priority="534">
      <formula>$C$295="Yes"</formula>
    </cfRule>
  </conditionalFormatting>
  <conditionalFormatting sqref="E293">
    <cfRule type="expression" dxfId="997" priority="531">
      <formula>OR($E$292="No",$C$295="Yes")</formula>
    </cfRule>
    <cfRule type="expression" dxfId="996" priority="532">
      <formula>$C$295=""</formula>
    </cfRule>
  </conditionalFormatting>
  <conditionalFormatting sqref="M293">
    <cfRule type="expression" dxfId="995" priority="526">
      <formula>$E$292="No"</formula>
    </cfRule>
    <cfRule type="expression" dxfId="994" priority="529">
      <formula>AND($C$295&lt;&gt;"Yes",$I293="Credit Memo",$K293="Corporate Office")</formula>
    </cfRule>
    <cfRule type="expression" dxfId="993" priority="530">
      <formula>AND($C$295&lt;&gt;"Yes",$K293="Corporate Office",$I293="Check")</formula>
    </cfRule>
  </conditionalFormatting>
  <conditionalFormatting sqref="G299">
    <cfRule type="expression" dxfId="992" priority="527">
      <formula>OR($C$295="Yes",$E$292="No")</formula>
    </cfRule>
    <cfRule type="expression" dxfId="991" priority="528">
      <formula>$E$292="Yes"</formula>
    </cfRule>
  </conditionalFormatting>
  <conditionalFormatting sqref="K311">
    <cfRule type="cellIs" dxfId="990" priority="524" operator="equal">
      <formula>"Rate cannot be greater than the Prepaid Rate % of Sales"</formula>
    </cfRule>
    <cfRule type="cellIs" dxfId="989" priority="525" operator="equal">
      <formula>"Recommended NCI is 1%"</formula>
    </cfRule>
  </conditionalFormatting>
  <conditionalFormatting sqref="E303">
    <cfRule type="expression" dxfId="988" priority="519">
      <formula>$C$306="Yes"</formula>
    </cfRule>
  </conditionalFormatting>
  <conditionalFormatting sqref="E304">
    <cfRule type="expression" dxfId="987" priority="516">
      <formula>OR($E$303="No",$C$306="Yes")</formula>
    </cfRule>
    <cfRule type="expression" dxfId="986" priority="517">
      <formula>$C$306=""</formula>
    </cfRule>
  </conditionalFormatting>
  <conditionalFormatting sqref="M304">
    <cfRule type="expression" dxfId="985" priority="511">
      <formula>$E$303="No"</formula>
    </cfRule>
    <cfRule type="expression" dxfId="984" priority="514">
      <formula>AND($C$306&lt;&gt;"Yes",$I304="Credit Memo",$K304="Corporate Office")</formula>
    </cfRule>
    <cfRule type="expression" dxfId="983" priority="515">
      <formula>AND($C$306&lt;&gt;"Yes",$K304="Corporate Office",$I304="Check")</formula>
    </cfRule>
  </conditionalFormatting>
  <conditionalFormatting sqref="G310">
    <cfRule type="expression" dxfId="982" priority="512">
      <formula>OR($C$306="Yes",$E$303="No")</formula>
    </cfRule>
    <cfRule type="expression" dxfId="981" priority="513">
      <formula>$E$303="Yes"</formula>
    </cfRule>
  </conditionalFormatting>
  <conditionalFormatting sqref="K322">
    <cfRule type="cellIs" dxfId="980" priority="509" operator="equal">
      <formula>"Rate cannot be greater than the Prepaid Rate % of Sales"</formula>
    </cfRule>
    <cfRule type="cellIs" dxfId="979" priority="510" operator="equal">
      <formula>"Recommended NCI is 1%"</formula>
    </cfRule>
  </conditionalFormatting>
  <conditionalFormatting sqref="E314">
    <cfRule type="expression" dxfId="978" priority="504">
      <formula>$C$317="Yes"</formula>
    </cfRule>
  </conditionalFormatting>
  <conditionalFormatting sqref="E315">
    <cfRule type="expression" dxfId="977" priority="501">
      <formula>OR($E$314="No",$C$317="Yes")</formula>
    </cfRule>
    <cfRule type="expression" dxfId="976" priority="502">
      <formula>$C$317=""</formula>
    </cfRule>
  </conditionalFormatting>
  <conditionalFormatting sqref="M315">
    <cfRule type="expression" dxfId="975" priority="496">
      <formula>$E$314="No"</formula>
    </cfRule>
    <cfRule type="expression" dxfId="974" priority="499">
      <formula>AND($C$317&lt;&gt;"Yes",$I315="Credit Memo",$K315="Corporate Office")</formula>
    </cfRule>
    <cfRule type="expression" dxfId="973" priority="500">
      <formula>AND($C$317&lt;&gt;"Yes",$K315="Corporate Office",$I315="Check")</formula>
    </cfRule>
  </conditionalFormatting>
  <conditionalFormatting sqref="G321">
    <cfRule type="expression" dxfId="972" priority="497">
      <formula>OR($C$317="Yes",$E$314="No")</formula>
    </cfRule>
    <cfRule type="expression" dxfId="971" priority="498">
      <formula>$E$314="Yes"</formula>
    </cfRule>
  </conditionalFormatting>
  <conditionalFormatting sqref="O12:P16">
    <cfRule type="notContainsBlanks" dxfId="970" priority="436">
      <formula>LEN(TRIM(O12))&gt;0</formula>
    </cfRule>
  </conditionalFormatting>
  <conditionalFormatting sqref="O54:P58">
    <cfRule type="notContainsBlanks" dxfId="969" priority="435">
      <formula>LEN(TRIM(O54))&gt;0</formula>
    </cfRule>
  </conditionalFormatting>
  <conditionalFormatting sqref="O82:P86">
    <cfRule type="notContainsBlanks" dxfId="968" priority="434">
      <formula>LEN(TRIM(O82))&gt;0</formula>
    </cfRule>
  </conditionalFormatting>
  <conditionalFormatting sqref="O26:P30">
    <cfRule type="notContainsBlanks" dxfId="967" priority="433">
      <formula>LEN(TRIM(O26))&gt;0</formula>
    </cfRule>
  </conditionalFormatting>
  <conditionalFormatting sqref="O40:P44">
    <cfRule type="notContainsBlanks" dxfId="966" priority="432">
      <formula>LEN(TRIM(O40))&gt;0</formula>
    </cfRule>
  </conditionalFormatting>
  <conditionalFormatting sqref="O68:P72">
    <cfRule type="notContainsBlanks" dxfId="965" priority="431">
      <formula>LEN(TRIM(O68))&gt;0</formula>
    </cfRule>
  </conditionalFormatting>
  <conditionalFormatting sqref="O96:P100">
    <cfRule type="notContainsBlanks" dxfId="964" priority="430">
      <formula>LEN(TRIM(O96))&gt;0</formula>
    </cfRule>
  </conditionalFormatting>
  <conditionalFormatting sqref="N110:P113">
    <cfRule type="notContainsBlanks" dxfId="963" priority="429">
      <formula>LEN(TRIM(N110))&gt;0</formula>
    </cfRule>
  </conditionalFormatting>
  <conditionalFormatting sqref="N150:P153">
    <cfRule type="notContainsBlanks" dxfId="962" priority="428">
      <formula>LEN(TRIM(N150))&gt;0</formula>
    </cfRule>
  </conditionalFormatting>
  <conditionalFormatting sqref="N118:P121">
    <cfRule type="notContainsBlanks" dxfId="961" priority="427">
      <formula>LEN(TRIM(N118))&gt;0</formula>
    </cfRule>
  </conditionalFormatting>
  <conditionalFormatting sqref="N134:P137">
    <cfRule type="notContainsBlanks" dxfId="960" priority="426">
      <formula>LEN(TRIM(N134))&gt;0</formula>
    </cfRule>
  </conditionalFormatting>
  <conditionalFormatting sqref="N126:P129">
    <cfRule type="notContainsBlanks" dxfId="959" priority="425">
      <formula>LEN(TRIM(N126))&gt;0</formula>
    </cfRule>
  </conditionalFormatting>
  <conditionalFormatting sqref="N142:P145">
    <cfRule type="notContainsBlanks" dxfId="958" priority="424">
      <formula>LEN(TRIM(N142))&gt;0</formula>
    </cfRule>
  </conditionalFormatting>
  <conditionalFormatting sqref="O174:P176">
    <cfRule type="notContainsBlanks" dxfId="957" priority="423">
      <formula>LEN(TRIM(O174))&gt;0</formula>
    </cfRule>
  </conditionalFormatting>
  <conditionalFormatting sqref="N158:P161">
    <cfRule type="expression" dxfId="956" priority="421">
      <formula>$G163&gt;=100000</formula>
    </cfRule>
    <cfRule type="expression" dxfId="955" priority="422">
      <formula>AND($G$163&lt;100000,$G163&gt;=10000)</formula>
    </cfRule>
  </conditionalFormatting>
  <conditionalFormatting sqref="N166:P169">
    <cfRule type="expression" dxfId="954" priority="419">
      <formula>$G171&gt;=100000</formula>
    </cfRule>
    <cfRule type="expression" dxfId="953" priority="420">
      <formula>AND($G$163&lt;100000,$G171&gt;=10000)</formula>
    </cfRule>
  </conditionalFormatting>
  <conditionalFormatting sqref="K28">
    <cfRule type="expression" dxfId="952" priority="417">
      <formula>AND($C27="Yes",AND($C30="No",$I28&lt;&gt;"Check"))</formula>
    </cfRule>
    <cfRule type="expression" dxfId="951" priority="418">
      <formula>AND($E28&lt;&gt;"Please Select",$I28&lt;&gt;"Check",$C$13&lt;&gt;"Yes")</formula>
    </cfRule>
  </conditionalFormatting>
  <conditionalFormatting sqref="K42">
    <cfRule type="expression" dxfId="950" priority="413">
      <formula>AND($C41="Yes",AND($C44="No",$I42&lt;&gt;"Check"))</formula>
    </cfRule>
    <cfRule type="expression" dxfId="949" priority="414">
      <formula>AND($E42&lt;&gt;"Please Select",$I42&lt;&gt;"Check",$C$13&lt;&gt;"Yes")</formula>
    </cfRule>
  </conditionalFormatting>
  <conditionalFormatting sqref="K56">
    <cfRule type="expression" dxfId="948" priority="411">
      <formula>AND($C55="Yes",AND($C58="No",$I56&lt;&gt;"Check"))</formula>
    </cfRule>
    <cfRule type="expression" dxfId="947" priority="412">
      <formula>AND($E56&lt;&gt;"Please Select",$I56&lt;&gt;"Check",$C$13&lt;&gt;"Yes")</formula>
    </cfRule>
  </conditionalFormatting>
  <conditionalFormatting sqref="K70">
    <cfRule type="expression" dxfId="946" priority="409">
      <formula>AND($C69="Yes",AND($C72="No",$I70&lt;&gt;"Check"))</formula>
    </cfRule>
    <cfRule type="expression" dxfId="945" priority="410">
      <formula>AND($E70&lt;&gt;"Please Select",$I70&lt;&gt;"Check",$C$13&lt;&gt;"Yes")</formula>
    </cfRule>
  </conditionalFormatting>
  <conditionalFormatting sqref="K84">
    <cfRule type="expression" dxfId="944" priority="407">
      <formula>AND($C83="Yes",AND($C86="No",$I84&lt;&gt;"Check"))</formula>
    </cfRule>
    <cfRule type="expression" dxfId="943" priority="408">
      <formula>AND($E84&lt;&gt;"Please Select",$I84&lt;&gt;"Check",$C$13&lt;&gt;"Yes")</formula>
    </cfRule>
  </conditionalFormatting>
  <conditionalFormatting sqref="K98">
    <cfRule type="expression" dxfId="942" priority="405">
      <formula>AND($C97="Yes",AND($C100="No",$I98&lt;&gt;"Check"))</formula>
    </cfRule>
    <cfRule type="expression" dxfId="941" priority="406">
      <formula>AND($E98&lt;&gt;"Please Select",$I98&lt;&gt;"Check",$C$13&lt;&gt;"Yes")</formula>
    </cfRule>
  </conditionalFormatting>
  <conditionalFormatting sqref="K112">
    <cfRule type="expression" dxfId="940" priority="403">
      <formula>AND($C111="Yes",AND($C114="No",$I112&lt;&gt;"Check"))</formula>
    </cfRule>
    <cfRule type="expression" dxfId="939" priority="404">
      <formula>AND($E112&lt;&gt;"Please Select",$I112&lt;&gt;"Check",$C$13&lt;&gt;"Yes")</formula>
    </cfRule>
  </conditionalFormatting>
  <conditionalFormatting sqref="K120">
    <cfRule type="expression" dxfId="938" priority="401">
      <formula>AND($C119="Yes",AND($C122="No",$I120&lt;&gt;"Check"))</formula>
    </cfRule>
    <cfRule type="expression" dxfId="937" priority="402">
      <formula>AND($E120&lt;&gt;"Please Select",$I120&lt;&gt;"Check",$C$13&lt;&gt;"Yes")</formula>
    </cfRule>
  </conditionalFormatting>
  <conditionalFormatting sqref="K128">
    <cfRule type="expression" dxfId="936" priority="399">
      <formula>AND($C127="Yes",AND($C130="No",$I128&lt;&gt;"Check"))</formula>
    </cfRule>
    <cfRule type="expression" dxfId="935" priority="400">
      <formula>AND($E128&lt;&gt;"Please Select",$I128&lt;&gt;"Check",$C$13&lt;&gt;"Yes")</formula>
    </cfRule>
  </conditionalFormatting>
  <conditionalFormatting sqref="K136">
    <cfRule type="expression" dxfId="934" priority="397">
      <formula>AND($C135="Yes",AND($C138="No",$I136&lt;&gt;"Check"))</formula>
    </cfRule>
    <cfRule type="expression" dxfId="933" priority="398">
      <formula>AND($E136&lt;&gt;"Please Select",$I136&lt;&gt;"Check",$C$13&lt;&gt;"Yes")</formula>
    </cfRule>
  </conditionalFormatting>
  <conditionalFormatting sqref="K144">
    <cfRule type="expression" dxfId="932" priority="395">
      <formula>AND($C143="Yes",AND($C146="No",$I144&lt;&gt;"Check"))</formula>
    </cfRule>
    <cfRule type="expression" dxfId="931" priority="396">
      <formula>AND($E144&lt;&gt;"Please Select",$I144&lt;&gt;"Check",$C$13&lt;&gt;"Yes")</formula>
    </cfRule>
  </conditionalFormatting>
  <conditionalFormatting sqref="K152">
    <cfRule type="expression" dxfId="930" priority="393">
      <formula>AND($C151="Yes",AND($C154="No",$I152&lt;&gt;"Check"))</formula>
    </cfRule>
    <cfRule type="expression" dxfId="929" priority="394">
      <formula>AND($E152&lt;&gt;"Please Select",$I152&lt;&gt;"Check",$C$13&lt;&gt;"Yes")</formula>
    </cfRule>
  </conditionalFormatting>
  <conditionalFormatting sqref="M177:M180">
    <cfRule type="expression" dxfId="928" priority="383">
      <formula>AND($C$175&lt;&gt;"Yes",$E$176&lt;&gt;"Please Select")</formula>
    </cfRule>
  </conditionalFormatting>
  <conditionalFormatting sqref="M207">
    <cfRule type="expression" dxfId="927" priority="323">
      <formula>OR(AND($K207&lt;&gt;"Corporate Office",$C206&lt;&gt;"Yes"),$C206="Yes")</formula>
    </cfRule>
    <cfRule type="expression" dxfId="926" priority="324">
      <formula>$I207="Check"</formula>
    </cfRule>
    <cfRule type="expression" dxfId="925" priority="325">
      <formula>AND($K207="Corporate Office",$I207="Check",$C206&lt;&gt;"Yes")</formula>
    </cfRule>
    <cfRule type="expression" dxfId="924" priority="326">
      <formula>AND($I207="Credit Memo",$K207="Corporate Office",$C206&lt;&gt;"Yes")</formula>
    </cfRule>
  </conditionalFormatting>
  <conditionalFormatting sqref="M28">
    <cfRule type="expression" dxfId="923" priority="311">
      <formula>AND($K28="Corporate Office",$C27="Yes",$C30="No")</formula>
    </cfRule>
    <cfRule type="expression" dxfId="922" priority="312">
      <formula>OR(AND($K28&lt;&gt;"Corporate Office",$C27&lt;&gt;"Yes"),AND($C27="Yes",$C30&lt;&gt;"No"))</formula>
    </cfRule>
    <cfRule type="expression" dxfId="921" priority="313">
      <formula>$I28="Check"</formula>
    </cfRule>
    <cfRule type="expression" dxfId="920" priority="314">
      <formula>AND($I28="Credit Memo",$K28="Corporate Office",$C27&lt;&gt;"Yes")</formula>
    </cfRule>
  </conditionalFormatting>
  <conditionalFormatting sqref="M42">
    <cfRule type="expression" dxfId="919" priority="307">
      <formula>AND($K42="Corporate Office",$C41="Yes",$C44="No")</formula>
    </cfRule>
    <cfRule type="expression" dxfId="918" priority="308">
      <formula>OR(AND($K42&lt;&gt;"Corporate Office",$C41&lt;&gt;"Yes"),AND($C41="Yes",$C44&lt;&gt;"No"))</formula>
    </cfRule>
    <cfRule type="expression" dxfId="917" priority="309">
      <formula>$I42="Check"</formula>
    </cfRule>
    <cfRule type="expression" dxfId="916" priority="310">
      <formula>AND($I42="Credit Memo",$K42="Corporate Office",$C41&lt;&gt;"Yes")</formula>
    </cfRule>
  </conditionalFormatting>
  <conditionalFormatting sqref="M56">
    <cfRule type="expression" dxfId="915" priority="303">
      <formula>AND($K56="Corporate Office",$C55="Yes",$C58="No")</formula>
    </cfRule>
    <cfRule type="expression" dxfId="914" priority="304">
      <formula>OR(AND($K56&lt;&gt;"Corporate Office",$C55&lt;&gt;"Yes"),AND($C55="Yes",$C58&lt;&gt;"No"))</formula>
    </cfRule>
    <cfRule type="expression" dxfId="913" priority="305">
      <formula>$I56="Check"</formula>
    </cfRule>
    <cfRule type="expression" dxfId="912" priority="306">
      <formula>AND($I56="Credit Memo",$K56="Corporate Office",$C55&lt;&gt;"Yes")</formula>
    </cfRule>
  </conditionalFormatting>
  <conditionalFormatting sqref="M70">
    <cfRule type="expression" dxfId="911" priority="299">
      <formula>AND($K70="Corporate Office",$C69="Yes",$C72="No")</formula>
    </cfRule>
    <cfRule type="expression" dxfId="910" priority="300">
      <formula>OR(AND($K70&lt;&gt;"Corporate Office",$C69&lt;&gt;"Yes"),AND($C69="Yes",$C72&lt;&gt;"No"))</formula>
    </cfRule>
    <cfRule type="expression" dxfId="909" priority="301">
      <formula>$I70="Check"</formula>
    </cfRule>
    <cfRule type="expression" dxfId="908" priority="302">
      <formula>AND($I70="Credit Memo",$K70="Corporate Office",$C69&lt;&gt;"Yes")</formula>
    </cfRule>
  </conditionalFormatting>
  <conditionalFormatting sqref="M84">
    <cfRule type="expression" dxfId="907" priority="295">
      <formula>AND($K84="Corporate Office",$C83="Yes",$C86="No")</formula>
    </cfRule>
    <cfRule type="expression" dxfId="906" priority="296">
      <formula>OR(AND($K84&lt;&gt;"Corporate Office",$C83&lt;&gt;"Yes"),AND($C83="Yes",$C86&lt;&gt;"No"))</formula>
    </cfRule>
    <cfRule type="expression" dxfId="905" priority="297">
      <formula>$I84="Check"</formula>
    </cfRule>
    <cfRule type="expression" dxfId="904" priority="298">
      <formula>AND($I84="Credit Memo",$K84="Corporate Office",$C83&lt;&gt;"Yes")</formula>
    </cfRule>
  </conditionalFormatting>
  <conditionalFormatting sqref="M98">
    <cfRule type="expression" dxfId="903" priority="291">
      <formula>AND($K98="Corporate Office",$C97="Yes",$C100="No")</formula>
    </cfRule>
    <cfRule type="expression" dxfId="902" priority="292">
      <formula>OR(AND($K98&lt;&gt;"Corporate Office",$C97&lt;&gt;"Yes"),AND($C97="Yes",$C100&lt;&gt;"No"))</formula>
    </cfRule>
    <cfRule type="expression" dxfId="901" priority="293">
      <formula>$I98="Check"</formula>
    </cfRule>
    <cfRule type="expression" dxfId="900" priority="294">
      <formula>AND($I98="Credit Memo",$K98="Corporate Office",$C97&lt;&gt;"Yes")</formula>
    </cfRule>
  </conditionalFormatting>
  <conditionalFormatting sqref="M112">
    <cfRule type="expression" dxfId="899" priority="287">
      <formula>AND($K112="Corporate Office",$C111="Yes",$C114="No")</formula>
    </cfRule>
    <cfRule type="expression" dxfId="898" priority="288">
      <formula>OR(AND($K112&lt;&gt;"Corporate Office",$C111&lt;&gt;"Yes"),AND($C111="Yes",$C114&lt;&gt;"No"))</formula>
    </cfRule>
    <cfRule type="expression" dxfId="897" priority="289">
      <formula>$I112="Check"</formula>
    </cfRule>
    <cfRule type="expression" dxfId="896" priority="290">
      <formula>AND($I112="Credit Memo",$K112="Corporate Office",$C111&lt;&gt;"Yes")</formula>
    </cfRule>
  </conditionalFormatting>
  <conditionalFormatting sqref="M120">
    <cfRule type="expression" dxfId="895" priority="283">
      <formula>AND($K120="Corporate Office",$C119="Yes",$C122="No")</formula>
    </cfRule>
    <cfRule type="expression" dxfId="894" priority="284">
      <formula>OR(AND($K120&lt;&gt;"Corporate Office",$C119&lt;&gt;"Yes"),AND($C119="Yes",$C122&lt;&gt;"No"))</formula>
    </cfRule>
    <cfRule type="expression" dxfId="893" priority="285">
      <formula>$I120="Check"</formula>
    </cfRule>
    <cfRule type="expression" dxfId="892" priority="286">
      <formula>AND($I120="Credit Memo",$K120="Corporate Office",$C119&lt;&gt;"Yes")</formula>
    </cfRule>
  </conditionalFormatting>
  <conditionalFormatting sqref="M128">
    <cfRule type="expression" dxfId="891" priority="279">
      <formula>AND($K128="Corporate Office",$C127="Yes",$C130="No")</formula>
    </cfRule>
    <cfRule type="expression" dxfId="890" priority="280">
      <formula>OR(AND($K128&lt;&gt;"Corporate Office",$C127&lt;&gt;"Yes"),AND($C127="Yes",$C130&lt;&gt;"No"))</formula>
    </cfRule>
    <cfRule type="expression" dxfId="889" priority="281">
      <formula>$I128="Check"</formula>
    </cfRule>
    <cfRule type="expression" dxfId="888" priority="282">
      <formula>AND($I128="Credit Memo",$K128="Corporate Office",$C127&lt;&gt;"Yes")</formula>
    </cfRule>
  </conditionalFormatting>
  <conditionalFormatting sqref="M136">
    <cfRule type="expression" dxfId="887" priority="275">
      <formula>AND($K136="Corporate Office",$C135="Yes",$C138="No")</formula>
    </cfRule>
    <cfRule type="expression" dxfId="886" priority="276">
      <formula>OR(AND($K136&lt;&gt;"Corporate Office",$C135&lt;&gt;"Yes"),AND($C135="Yes",$C138&lt;&gt;"No"))</formula>
    </cfRule>
    <cfRule type="expression" dxfId="885" priority="277">
      <formula>$I136="Check"</formula>
    </cfRule>
    <cfRule type="expression" dxfId="884" priority="278">
      <formula>AND($I136="Credit Memo",$K136="Corporate Office",$C135&lt;&gt;"Yes")</formula>
    </cfRule>
  </conditionalFormatting>
  <conditionalFormatting sqref="M144">
    <cfRule type="expression" dxfId="883" priority="271">
      <formula>AND($K144="Corporate Office",$C143="Yes",$C146="No")</formula>
    </cfRule>
    <cfRule type="expression" dxfId="882" priority="272">
      <formula>OR(AND($K144&lt;&gt;"Corporate Office",$C143&lt;&gt;"Yes"),AND($C143="Yes",$C146&lt;&gt;"No"))</formula>
    </cfRule>
    <cfRule type="expression" dxfId="881" priority="273">
      <formula>$I144="Check"</formula>
    </cfRule>
    <cfRule type="expression" dxfId="880" priority="274">
      <formula>AND($I144="Credit Memo",$K144="Corporate Office",$C143&lt;&gt;"Yes")</formula>
    </cfRule>
  </conditionalFormatting>
  <conditionalFormatting sqref="M152">
    <cfRule type="expression" dxfId="879" priority="267">
      <formula>AND($K152="Corporate Office",$C151="Yes",$C154="No")</formula>
    </cfRule>
    <cfRule type="expression" dxfId="878" priority="268">
      <formula>OR(AND($K152&lt;&gt;"Corporate Office",$C151&lt;&gt;"Yes"),AND($C151="Yes",$C154&lt;&gt;"No"))</formula>
    </cfRule>
    <cfRule type="expression" dxfId="877" priority="269">
      <formula>$I152="Check"</formula>
    </cfRule>
    <cfRule type="expression" dxfId="876" priority="270">
      <formula>AND($I152="Credit Memo",$K152="Corporate Office",$C151&lt;&gt;"Yes")</formula>
    </cfRule>
  </conditionalFormatting>
  <conditionalFormatting sqref="M168">
    <cfRule type="expression" dxfId="875" priority="264">
      <formula>OR(AND($K168&lt;&gt;"Corporate Office",$C167&lt;&gt;"Yes"),$C167="Yes")</formula>
    </cfRule>
    <cfRule type="expression" dxfId="874" priority="265">
      <formula>$I168="Check"</formula>
    </cfRule>
    <cfRule type="expression" dxfId="873" priority="266">
      <formula>AND($I168="Credit Memo",$K168="Corporate Office",$C167&lt;&gt;"Yes")</formula>
    </cfRule>
  </conditionalFormatting>
  <conditionalFormatting sqref="O439">
    <cfRule type="notContainsBlanks" dxfId="872" priority="248">
      <formula>LEN(TRIM(O439))&gt;0</formula>
    </cfRule>
  </conditionalFormatting>
  <conditionalFormatting sqref="I436">
    <cfRule type="expression" dxfId="871" priority="240">
      <formula>AND($C435="Yes",$C438="No")</formula>
    </cfRule>
    <cfRule type="expression" dxfId="870" priority="247">
      <formula>AND($C435&lt;&gt;"Yes",$E436&lt;&gt;"Please Select")</formula>
    </cfRule>
  </conditionalFormatting>
  <conditionalFormatting sqref="G436">
    <cfRule type="expression" dxfId="869" priority="241">
      <formula>AND($C435="Yes",$C438="No")</formula>
    </cfRule>
    <cfRule type="expression" dxfId="868" priority="246">
      <formula>AND($C435&lt;&gt;"Yes",$E436&lt;&gt;"Please Select")</formula>
    </cfRule>
  </conditionalFormatting>
  <conditionalFormatting sqref="M436">
    <cfRule type="expression" dxfId="867" priority="238">
      <formula>AND($K436="Corporate Office",$C435="Yes",$C438="No")</formula>
    </cfRule>
    <cfRule type="expression" dxfId="866" priority="243">
      <formula>OR(AND($K436&lt;&gt;"Corporate Office",$C435&lt;&gt;"Yes"),AND($C435="Yes",$C438&lt;&gt;"No"))</formula>
    </cfRule>
    <cfRule type="expression" dxfId="865" priority="244">
      <formula>$I436="Check"</formula>
    </cfRule>
    <cfRule type="expression" dxfId="864" priority="245">
      <formula>AND($I436="Credit Memo",$K436="Corporate Office",$C435&lt;&gt;"Yes")</formula>
    </cfRule>
  </conditionalFormatting>
  <conditionalFormatting sqref="K436">
    <cfRule type="expression" dxfId="863" priority="239">
      <formula>AND($C435="Yes",AND($C438="No",$I436&lt;&gt;"Check"))</formula>
    </cfRule>
    <cfRule type="expression" dxfId="862" priority="242">
      <formula>AND($E436&lt;&gt;"Please Select",$I436&lt;&gt;"Check",$C$435&lt;&gt;"Yes")</formula>
    </cfRule>
  </conditionalFormatting>
  <conditionalFormatting sqref="E436">
    <cfRule type="expression" dxfId="861" priority="236">
      <formula>OR(AND($C$435&lt;&gt;"Yes",$E$435="No"),$C$435="Yes")</formula>
    </cfRule>
    <cfRule type="expression" dxfId="860" priority="237">
      <formula>AND($E$435="Yes",$C$435&lt;&gt;"Yes")</formula>
    </cfRule>
  </conditionalFormatting>
  <conditionalFormatting sqref="K439">
    <cfRule type="expression" dxfId="859" priority="234">
      <formula>AND($C435="Yes",$C438="No")</formula>
    </cfRule>
    <cfRule type="expression" dxfId="858" priority="235">
      <formula>AND($E436&lt;&gt;"Please Select",$C435&lt;&gt;"Yes")</formula>
    </cfRule>
  </conditionalFormatting>
  <conditionalFormatting sqref="M448">
    <cfRule type="expression" dxfId="857" priority="232">
      <formula>AND($C$175&lt;&gt;"Yes",$E$176&lt;&gt;"Please Select")</formula>
    </cfRule>
  </conditionalFormatting>
  <conditionalFormatting sqref="O447">
    <cfRule type="notContainsBlanks" dxfId="856" priority="230">
      <formula>LEN(TRIM(O447))&gt;0</formula>
    </cfRule>
  </conditionalFormatting>
  <conditionalFormatting sqref="E444">
    <cfRule type="expression" dxfId="855" priority="218">
      <formula>OR(AND($C$435&lt;&gt;"Yes",$E$435="No"),$C$435="Yes")</formula>
    </cfRule>
    <cfRule type="expression" dxfId="854" priority="219">
      <formula>AND($E$435="Yes",$C$435&lt;&gt;"Yes")</formula>
    </cfRule>
  </conditionalFormatting>
  <conditionalFormatting sqref="M456">
    <cfRule type="expression" dxfId="853" priority="214">
      <formula>AND($C$175&lt;&gt;"Yes",$E$176&lt;&gt;"Please Select")</formula>
    </cfRule>
  </conditionalFormatting>
  <conditionalFormatting sqref="O455">
    <cfRule type="notContainsBlanks" dxfId="852" priority="212">
      <formula>LEN(TRIM(O455))&gt;0</formula>
    </cfRule>
  </conditionalFormatting>
  <conditionalFormatting sqref="E452">
    <cfRule type="expression" dxfId="851" priority="200">
      <formula>OR(AND($C$435&lt;&gt;"Yes",$E$435="No"),$C$435="Yes")</formula>
    </cfRule>
    <cfRule type="expression" dxfId="850" priority="201">
      <formula>AND($E$435="Yes",$C$435&lt;&gt;"Yes")</formula>
    </cfRule>
  </conditionalFormatting>
  <conditionalFormatting sqref="M464">
    <cfRule type="expression" dxfId="849" priority="196">
      <formula>AND($C$175&lt;&gt;"Yes",$E$176&lt;&gt;"Please Select")</formula>
    </cfRule>
  </conditionalFormatting>
  <conditionalFormatting sqref="O463">
    <cfRule type="notContainsBlanks" dxfId="848" priority="194">
      <formula>LEN(TRIM(O463))&gt;0</formula>
    </cfRule>
  </conditionalFormatting>
  <conditionalFormatting sqref="E460">
    <cfRule type="expression" dxfId="847" priority="182">
      <formula>OR(AND($C$435&lt;&gt;"Yes",$E$435="No"),$C$435="Yes")</formula>
    </cfRule>
    <cfRule type="expression" dxfId="846" priority="183">
      <formula>AND($E$435="Yes",$C$435&lt;&gt;"Yes")</formula>
    </cfRule>
  </conditionalFormatting>
  <conditionalFormatting sqref="M472">
    <cfRule type="expression" dxfId="845" priority="178">
      <formula>AND($C$175&lt;&gt;"Yes",$E$176&lt;&gt;"Please Select")</formula>
    </cfRule>
  </conditionalFormatting>
  <conditionalFormatting sqref="O471">
    <cfRule type="notContainsBlanks" dxfId="844" priority="176">
      <formula>LEN(TRIM(O471))&gt;0</formula>
    </cfRule>
  </conditionalFormatting>
  <conditionalFormatting sqref="E468">
    <cfRule type="expression" dxfId="843" priority="164">
      <formula>OR(AND($C$435&lt;&gt;"Yes",$E$435="No"),$C$435="Yes")</formula>
    </cfRule>
    <cfRule type="expression" dxfId="842" priority="165">
      <formula>AND($E$435="Yes",$C$435&lt;&gt;"Yes")</formula>
    </cfRule>
  </conditionalFormatting>
  <conditionalFormatting sqref="I444">
    <cfRule type="expression" dxfId="841" priority="152">
      <formula>AND($C443="Yes",$C446="No")</formula>
    </cfRule>
    <cfRule type="expression" dxfId="840" priority="159">
      <formula>AND($C443&lt;&gt;"Yes",$E444&lt;&gt;"Please Select")</formula>
    </cfRule>
  </conditionalFormatting>
  <conditionalFormatting sqref="G444">
    <cfRule type="expression" dxfId="839" priority="153">
      <formula>AND($C443="Yes",$C446="No")</formula>
    </cfRule>
    <cfRule type="expression" dxfId="838" priority="158">
      <formula>AND($C443&lt;&gt;"Yes",$E444&lt;&gt;"Please Select")</formula>
    </cfRule>
  </conditionalFormatting>
  <conditionalFormatting sqref="M444">
    <cfRule type="expression" dxfId="837" priority="150">
      <formula>AND($K444="Corporate Office",$C443="Yes",$C446="No")</formula>
    </cfRule>
    <cfRule type="expression" dxfId="836" priority="155">
      <formula>OR(AND($K444&lt;&gt;"Corporate Office",$C443&lt;&gt;"Yes"),AND($C443="Yes",$C446&lt;&gt;"No"))</formula>
    </cfRule>
    <cfRule type="expression" dxfId="835" priority="156">
      <formula>$I444="Check"</formula>
    </cfRule>
    <cfRule type="expression" dxfId="834" priority="157">
      <formula>AND($I444="Credit Memo",$K444="Corporate Office",$C443&lt;&gt;"Yes")</formula>
    </cfRule>
  </conditionalFormatting>
  <conditionalFormatting sqref="K444">
    <cfRule type="expression" dxfId="833" priority="151">
      <formula>AND($C443="Yes",AND($C446="No",$I444&lt;&gt;"Check"))</formula>
    </cfRule>
    <cfRule type="expression" dxfId="832" priority="154">
      <formula>AND($E444&lt;&gt;"Please Select",$I444&lt;&gt;"Check",$C$435&lt;&gt;"Yes")</formula>
    </cfRule>
  </conditionalFormatting>
  <conditionalFormatting sqref="K447">
    <cfRule type="expression" dxfId="831" priority="148">
      <formula>AND($C443="Yes",$C446="No")</formula>
    </cfRule>
    <cfRule type="expression" dxfId="830" priority="149">
      <formula>AND($E444&lt;&gt;"Please Select",$C443&lt;&gt;"Yes")</formula>
    </cfRule>
  </conditionalFormatting>
  <conditionalFormatting sqref="I452">
    <cfRule type="expression" dxfId="829" priority="138">
      <formula>AND($C451="Yes",$C454="No")</formula>
    </cfRule>
    <cfRule type="expression" dxfId="828" priority="145">
      <formula>AND($C451&lt;&gt;"Yes",$E452&lt;&gt;"Please Select")</formula>
    </cfRule>
  </conditionalFormatting>
  <conditionalFormatting sqref="G452">
    <cfRule type="expression" dxfId="827" priority="139">
      <formula>AND($C451="Yes",$C454="No")</formula>
    </cfRule>
    <cfRule type="expression" dxfId="826" priority="144">
      <formula>AND($C451&lt;&gt;"Yes",$E452&lt;&gt;"Please Select")</formula>
    </cfRule>
  </conditionalFormatting>
  <conditionalFormatting sqref="M452">
    <cfRule type="expression" dxfId="825" priority="136">
      <formula>AND($K452="Corporate Office",$C451="Yes",$C454="No")</formula>
    </cfRule>
    <cfRule type="expression" dxfId="824" priority="141">
      <formula>OR(AND($K452&lt;&gt;"Corporate Office",$C451&lt;&gt;"Yes"),AND($C451="Yes",$C454&lt;&gt;"No"))</formula>
    </cfRule>
    <cfRule type="expression" dxfId="823" priority="142">
      <formula>$I452="Check"</formula>
    </cfRule>
    <cfRule type="expression" dxfId="822" priority="143">
      <formula>AND($I452="Credit Memo",$K452="Corporate Office",$C451&lt;&gt;"Yes")</formula>
    </cfRule>
  </conditionalFormatting>
  <conditionalFormatting sqref="K452">
    <cfRule type="expression" dxfId="821" priority="137">
      <formula>AND($C451="Yes",AND($C454="No",$I452&lt;&gt;"Check"))</formula>
    </cfRule>
    <cfRule type="expression" dxfId="820" priority="140">
      <formula>AND($E452&lt;&gt;"Please Select",$I452&lt;&gt;"Check",$C$435&lt;&gt;"Yes")</formula>
    </cfRule>
  </conditionalFormatting>
  <conditionalFormatting sqref="K455">
    <cfRule type="expression" dxfId="819" priority="134">
      <formula>AND($C451="Yes",$C454="No")</formula>
    </cfRule>
    <cfRule type="expression" dxfId="818" priority="135">
      <formula>AND($E452&lt;&gt;"Please Select",$C451&lt;&gt;"Yes")</formula>
    </cfRule>
  </conditionalFormatting>
  <conditionalFormatting sqref="I460">
    <cfRule type="expression" dxfId="817" priority="124">
      <formula>AND($C459="Yes",$C462="No")</formula>
    </cfRule>
    <cfRule type="expression" dxfId="816" priority="131">
      <formula>AND($C459&lt;&gt;"Yes",$E460&lt;&gt;"Please Select")</formula>
    </cfRule>
  </conditionalFormatting>
  <conditionalFormatting sqref="G460">
    <cfRule type="expression" dxfId="815" priority="125">
      <formula>AND($C459="Yes",$C462="No")</formula>
    </cfRule>
    <cfRule type="expression" dxfId="814" priority="130">
      <formula>AND($C459&lt;&gt;"Yes",$E460&lt;&gt;"Please Select")</formula>
    </cfRule>
  </conditionalFormatting>
  <conditionalFormatting sqref="M460">
    <cfRule type="expression" dxfId="813" priority="122">
      <formula>AND($K460="Corporate Office",$C459="Yes",$C462="No")</formula>
    </cfRule>
    <cfRule type="expression" dxfId="812" priority="127">
      <formula>OR(AND($K460&lt;&gt;"Corporate Office",$C459&lt;&gt;"Yes"),AND($C459="Yes",$C462&lt;&gt;"No"))</formula>
    </cfRule>
    <cfRule type="expression" dxfId="811" priority="128">
      <formula>$I460="Check"</formula>
    </cfRule>
    <cfRule type="expression" dxfId="810" priority="129">
      <formula>AND($I460="Credit Memo",$K460="Corporate Office",$C459&lt;&gt;"Yes")</formula>
    </cfRule>
  </conditionalFormatting>
  <conditionalFormatting sqref="K460">
    <cfRule type="expression" dxfId="809" priority="123">
      <formula>AND($C459="Yes",AND($C462="No",$I460&lt;&gt;"Check"))</formula>
    </cfRule>
    <cfRule type="expression" dxfId="808" priority="126">
      <formula>AND($E460&lt;&gt;"Please Select",$I460&lt;&gt;"Check",$C$435&lt;&gt;"Yes")</formula>
    </cfRule>
  </conditionalFormatting>
  <conditionalFormatting sqref="K463">
    <cfRule type="expression" dxfId="807" priority="120">
      <formula>AND($C459="Yes",$C462="No")</formula>
    </cfRule>
    <cfRule type="expression" dxfId="806" priority="121">
      <formula>AND($E460&lt;&gt;"Please Select",$C459&lt;&gt;"Yes")</formula>
    </cfRule>
  </conditionalFormatting>
  <conditionalFormatting sqref="I468">
    <cfRule type="expression" dxfId="805" priority="110">
      <formula>AND($C467="Yes",$C470="No")</formula>
    </cfRule>
    <cfRule type="expression" dxfId="804" priority="117">
      <formula>AND($C467&lt;&gt;"Yes",$E468&lt;&gt;"Please Select")</formula>
    </cfRule>
  </conditionalFormatting>
  <conditionalFormatting sqref="G468">
    <cfRule type="expression" dxfId="803" priority="111">
      <formula>AND($C467="Yes",$C470="No")</formula>
    </cfRule>
    <cfRule type="expression" dxfId="802" priority="116">
      <formula>AND($C467&lt;&gt;"Yes",$E468&lt;&gt;"Please Select")</formula>
    </cfRule>
  </conditionalFormatting>
  <conditionalFormatting sqref="M468">
    <cfRule type="expression" dxfId="801" priority="108">
      <formula>AND($K468="Corporate Office",$C467="Yes",$C470="No")</formula>
    </cfRule>
    <cfRule type="expression" dxfId="800" priority="113">
      <formula>OR(AND($K468&lt;&gt;"Corporate Office",$C467&lt;&gt;"Yes"),AND($C467="Yes",$C470&lt;&gt;"No"))</formula>
    </cfRule>
    <cfRule type="expression" dxfId="799" priority="114">
      <formula>$I468="Check"</formula>
    </cfRule>
    <cfRule type="expression" dxfId="798" priority="115">
      <formula>AND($I468="Credit Memo",$K468="Corporate Office",$C467&lt;&gt;"Yes")</formula>
    </cfRule>
  </conditionalFormatting>
  <conditionalFormatting sqref="K468">
    <cfRule type="expression" dxfId="797" priority="109">
      <formula>AND($C467="Yes",AND($C470="No",$I468&lt;&gt;"Check"))</formula>
    </cfRule>
    <cfRule type="expression" dxfId="796" priority="112">
      <formula>AND($E468&lt;&gt;"Please Select",$I468&lt;&gt;"Check",$C$435&lt;&gt;"Yes")</formula>
    </cfRule>
  </conditionalFormatting>
  <conditionalFormatting sqref="K471">
    <cfRule type="expression" dxfId="795" priority="106">
      <formula>AND($C467="Yes",$C470="No")</formula>
    </cfRule>
    <cfRule type="expression" dxfId="794" priority="107">
      <formula>AND($E468&lt;&gt;"Please Select",$C467&lt;&gt;"Yes")</formula>
    </cfRule>
  </conditionalFormatting>
  <conditionalFormatting sqref="O434:P438">
    <cfRule type="notContainsBlanks" dxfId="793" priority="105">
      <formula>LEN(TRIM(O434))&gt;0</formula>
    </cfRule>
  </conditionalFormatting>
  <conditionalFormatting sqref="O442:P446">
    <cfRule type="notContainsBlanks" dxfId="792" priority="104">
      <formula>LEN(TRIM(O442))&gt;0</formula>
    </cfRule>
  </conditionalFormatting>
  <conditionalFormatting sqref="O450:P454">
    <cfRule type="notContainsBlanks" dxfId="791" priority="103">
      <formula>LEN(TRIM(O450))&gt;0</formula>
    </cfRule>
  </conditionalFormatting>
  <conditionalFormatting sqref="O458:P462">
    <cfRule type="notContainsBlanks" dxfId="790" priority="102">
      <formula>LEN(TRIM(O458))&gt;0</formula>
    </cfRule>
  </conditionalFormatting>
  <conditionalFormatting sqref="O466:P470">
    <cfRule type="notContainsBlanks" dxfId="789" priority="101">
      <formula>LEN(TRIM(O466))&gt;0</formula>
    </cfRule>
  </conditionalFormatting>
  <conditionalFormatting sqref="K333">
    <cfRule type="cellIs" dxfId="788" priority="99" operator="equal">
      <formula>"Rate cannot be greater than the Prepaid Rate % of Sales"</formula>
    </cfRule>
    <cfRule type="cellIs" dxfId="787" priority="100" operator="equal">
      <formula>"Recommended NCI is 1%"</formula>
    </cfRule>
  </conditionalFormatting>
  <conditionalFormatting sqref="E325">
    <cfRule type="expression" dxfId="786" priority="98">
      <formula>$C$317="Yes"</formula>
    </cfRule>
  </conditionalFormatting>
  <conditionalFormatting sqref="E326">
    <cfRule type="expression" dxfId="785" priority="96">
      <formula>OR($E$314="No",$C$317="Yes")</formula>
    </cfRule>
    <cfRule type="expression" dxfId="784" priority="97">
      <formula>$C$317=""</formula>
    </cfRule>
  </conditionalFormatting>
  <conditionalFormatting sqref="M326">
    <cfRule type="expression" dxfId="783" priority="91">
      <formula>$E$314="No"</formula>
    </cfRule>
    <cfRule type="expression" dxfId="782" priority="94">
      <formula>AND($C$317&lt;&gt;"Yes",$I326="Credit Memo",$K326="Corporate Office")</formula>
    </cfRule>
    <cfRule type="expression" dxfId="781" priority="95">
      <formula>AND($C$317&lt;&gt;"Yes",$K326="Corporate Office",$I326="Check")</formula>
    </cfRule>
  </conditionalFormatting>
  <conditionalFormatting sqref="G332">
    <cfRule type="expression" dxfId="780" priority="92">
      <formula>OR($C$317="Yes",$E$314="No")</formula>
    </cfRule>
    <cfRule type="expression" dxfId="779" priority="93">
      <formula>$E$314="Yes"</formula>
    </cfRule>
  </conditionalFormatting>
  <conditionalFormatting sqref="K344">
    <cfRule type="cellIs" dxfId="778" priority="89" operator="equal">
      <formula>"Rate cannot be greater than the Prepaid Rate % of Sales"</formula>
    </cfRule>
    <cfRule type="cellIs" dxfId="777" priority="90" operator="equal">
      <formula>"Recommended NCI is 1%"</formula>
    </cfRule>
  </conditionalFormatting>
  <conditionalFormatting sqref="E336">
    <cfRule type="expression" dxfId="776" priority="88">
      <formula>$C$317="Yes"</formula>
    </cfRule>
  </conditionalFormatting>
  <conditionalFormatting sqref="E337">
    <cfRule type="expression" dxfId="775" priority="86">
      <formula>OR($E$314="No",$C$317="Yes")</formula>
    </cfRule>
    <cfRule type="expression" dxfId="774" priority="87">
      <formula>$C$317=""</formula>
    </cfRule>
  </conditionalFormatting>
  <conditionalFormatting sqref="M337">
    <cfRule type="expression" dxfId="773" priority="81">
      <formula>$E$314="No"</formula>
    </cfRule>
    <cfRule type="expression" dxfId="772" priority="84">
      <formula>AND($C$317&lt;&gt;"Yes",$I337="Credit Memo",$K337="Corporate Office")</formula>
    </cfRule>
    <cfRule type="expression" dxfId="771" priority="85">
      <formula>AND($C$317&lt;&gt;"Yes",$K337="Corporate Office",$I337="Check")</formula>
    </cfRule>
  </conditionalFormatting>
  <conditionalFormatting sqref="G343">
    <cfRule type="expression" dxfId="770" priority="82">
      <formula>OR($C$317="Yes",$E$314="No")</formula>
    </cfRule>
    <cfRule type="expression" dxfId="769" priority="83">
      <formula>$E$314="Yes"</formula>
    </cfRule>
  </conditionalFormatting>
  <conditionalFormatting sqref="K355">
    <cfRule type="cellIs" dxfId="768" priority="79" operator="equal">
      <formula>"Rate cannot be greater than the Prepaid Rate % of Sales"</formula>
    </cfRule>
    <cfRule type="cellIs" dxfId="767" priority="80" operator="equal">
      <formula>"Recommended NCI is 1%"</formula>
    </cfRule>
  </conditionalFormatting>
  <conditionalFormatting sqref="E347">
    <cfRule type="expression" dxfId="766" priority="78">
      <formula>$C$317="Yes"</formula>
    </cfRule>
  </conditionalFormatting>
  <conditionalFormatting sqref="E348">
    <cfRule type="expression" dxfId="765" priority="76">
      <formula>OR($E$314="No",$C$317="Yes")</formula>
    </cfRule>
    <cfRule type="expression" dxfId="764" priority="77">
      <formula>$C$317=""</formula>
    </cfRule>
  </conditionalFormatting>
  <conditionalFormatting sqref="M348">
    <cfRule type="expression" dxfId="763" priority="71">
      <formula>$E$314="No"</formula>
    </cfRule>
    <cfRule type="expression" dxfId="762" priority="74">
      <formula>AND($C$317&lt;&gt;"Yes",$I348="Credit Memo",$K348="Corporate Office")</formula>
    </cfRule>
    <cfRule type="expression" dxfId="761" priority="75">
      <formula>AND($C$317&lt;&gt;"Yes",$K348="Corporate Office",$I348="Check")</formula>
    </cfRule>
  </conditionalFormatting>
  <conditionalFormatting sqref="G354">
    <cfRule type="expression" dxfId="760" priority="72">
      <formula>OR($C$317="Yes",$E$314="No")</formula>
    </cfRule>
    <cfRule type="expression" dxfId="759" priority="73">
      <formula>$E$314="Yes"</formula>
    </cfRule>
  </conditionalFormatting>
  <conditionalFormatting sqref="K366">
    <cfRule type="cellIs" dxfId="758" priority="69" operator="equal">
      <formula>"Rate cannot be greater than the Prepaid Rate % of Sales"</formula>
    </cfRule>
    <cfRule type="cellIs" dxfId="757" priority="70" operator="equal">
      <formula>"Recommended NCI is 1%"</formula>
    </cfRule>
  </conditionalFormatting>
  <conditionalFormatting sqref="E358">
    <cfRule type="expression" dxfId="756" priority="68">
      <formula>$C$317="Yes"</formula>
    </cfRule>
  </conditionalFormatting>
  <conditionalFormatting sqref="E359">
    <cfRule type="expression" dxfId="755" priority="66">
      <formula>OR($E$314="No",$C$317="Yes")</formula>
    </cfRule>
    <cfRule type="expression" dxfId="754" priority="67">
      <formula>$C$317=""</formula>
    </cfRule>
  </conditionalFormatting>
  <conditionalFormatting sqref="M359">
    <cfRule type="expression" dxfId="753" priority="61">
      <formula>$E$314="No"</formula>
    </cfRule>
    <cfRule type="expression" dxfId="752" priority="64">
      <formula>AND($C$317&lt;&gt;"Yes",$I359="Credit Memo",$K359="Corporate Office")</formula>
    </cfRule>
    <cfRule type="expression" dxfId="751" priority="65">
      <formula>AND($C$317&lt;&gt;"Yes",$K359="Corporate Office",$I359="Check")</formula>
    </cfRule>
  </conditionalFormatting>
  <conditionalFormatting sqref="G365">
    <cfRule type="expression" dxfId="750" priority="62">
      <formula>OR($C$317="Yes",$E$314="No")</formula>
    </cfRule>
    <cfRule type="expression" dxfId="749" priority="63">
      <formula>$E$314="Yes"</formula>
    </cfRule>
  </conditionalFormatting>
  <conditionalFormatting sqref="K377">
    <cfRule type="cellIs" dxfId="748" priority="59" operator="equal">
      <formula>"Rate cannot be greater than the Prepaid Rate % of Sales"</formula>
    </cfRule>
    <cfRule type="cellIs" dxfId="747" priority="60" operator="equal">
      <formula>"Recommended NCI is 1%"</formula>
    </cfRule>
  </conditionalFormatting>
  <conditionalFormatting sqref="E369">
    <cfRule type="expression" dxfId="746" priority="58">
      <formula>$C$317="Yes"</formula>
    </cfRule>
  </conditionalFormatting>
  <conditionalFormatting sqref="E370">
    <cfRule type="expression" dxfId="745" priority="56">
      <formula>OR($E$314="No",$C$317="Yes")</formula>
    </cfRule>
    <cfRule type="expression" dxfId="744" priority="57">
      <formula>$C$317=""</formula>
    </cfRule>
  </conditionalFormatting>
  <conditionalFormatting sqref="M370">
    <cfRule type="expression" dxfId="743" priority="51">
      <formula>$E$314="No"</formula>
    </cfRule>
    <cfRule type="expression" dxfId="742" priority="54">
      <formula>AND($C$317&lt;&gt;"Yes",$I370="Credit Memo",$K370="Corporate Office")</formula>
    </cfRule>
    <cfRule type="expression" dxfId="741" priority="55">
      <formula>AND($C$317&lt;&gt;"Yes",$K370="Corporate Office",$I370="Check")</formula>
    </cfRule>
  </conditionalFormatting>
  <conditionalFormatting sqref="G376">
    <cfRule type="expression" dxfId="740" priority="52">
      <formula>OR($C$317="Yes",$E$314="No")</formula>
    </cfRule>
    <cfRule type="expression" dxfId="739" priority="53">
      <formula>$E$314="Yes"</formula>
    </cfRule>
  </conditionalFormatting>
  <conditionalFormatting sqref="K388">
    <cfRule type="cellIs" dxfId="738" priority="49" operator="equal">
      <formula>"Rate cannot be greater than the Prepaid Rate % of Sales"</formula>
    </cfRule>
    <cfRule type="cellIs" dxfId="737" priority="50" operator="equal">
      <formula>"Recommended NCI is 1%"</formula>
    </cfRule>
  </conditionalFormatting>
  <conditionalFormatting sqref="E380">
    <cfRule type="expression" dxfId="736" priority="48">
      <formula>$C$317="Yes"</formula>
    </cfRule>
  </conditionalFormatting>
  <conditionalFormatting sqref="E381">
    <cfRule type="expression" dxfId="735" priority="46">
      <formula>OR($E$314="No",$C$317="Yes")</formula>
    </cfRule>
    <cfRule type="expression" dxfId="734" priority="47">
      <formula>$C$317=""</formula>
    </cfRule>
  </conditionalFormatting>
  <conditionalFormatting sqref="M381">
    <cfRule type="expression" dxfId="733" priority="41">
      <formula>$E$314="No"</formula>
    </cfRule>
    <cfRule type="expression" dxfId="732" priority="44">
      <formula>AND($C$317&lt;&gt;"Yes",$I381="Credit Memo",$K381="Corporate Office")</formula>
    </cfRule>
    <cfRule type="expression" dxfId="731" priority="45">
      <formula>AND($C$317&lt;&gt;"Yes",$K381="Corporate Office",$I381="Check")</formula>
    </cfRule>
  </conditionalFormatting>
  <conditionalFormatting sqref="G387">
    <cfRule type="expression" dxfId="730" priority="42">
      <formula>OR($C$317="Yes",$E$314="No")</formula>
    </cfRule>
    <cfRule type="expression" dxfId="729" priority="43">
      <formula>$E$314="Yes"</formula>
    </cfRule>
  </conditionalFormatting>
  <conditionalFormatting sqref="K399">
    <cfRule type="cellIs" dxfId="728" priority="39" operator="equal">
      <formula>"Rate cannot be greater than the Prepaid Rate % of Sales"</formula>
    </cfRule>
    <cfRule type="cellIs" dxfId="727" priority="40" operator="equal">
      <formula>"Recommended NCI is 1%"</formula>
    </cfRule>
  </conditionalFormatting>
  <conditionalFormatting sqref="E391">
    <cfRule type="expression" dxfId="726" priority="38">
      <formula>$C$317="Yes"</formula>
    </cfRule>
  </conditionalFormatting>
  <conditionalFormatting sqref="E392">
    <cfRule type="expression" dxfId="725" priority="36">
      <formula>OR($E$314="No",$C$317="Yes")</formula>
    </cfRule>
    <cfRule type="expression" dxfId="724" priority="37">
      <formula>$C$317=""</formula>
    </cfRule>
  </conditionalFormatting>
  <conditionalFormatting sqref="M392">
    <cfRule type="expression" dxfId="723" priority="31">
      <formula>$E$314="No"</formula>
    </cfRule>
    <cfRule type="expression" dxfId="722" priority="34">
      <formula>AND($C$317&lt;&gt;"Yes",$I392="Credit Memo",$K392="Corporate Office")</formula>
    </cfRule>
    <cfRule type="expression" dxfId="721" priority="35">
      <formula>AND($C$317&lt;&gt;"Yes",$K392="Corporate Office",$I392="Check")</formula>
    </cfRule>
  </conditionalFormatting>
  <conditionalFormatting sqref="G398">
    <cfRule type="expression" dxfId="720" priority="32">
      <formula>OR($C$317="Yes",$E$314="No")</formula>
    </cfRule>
    <cfRule type="expression" dxfId="719" priority="33">
      <formula>$E$314="Yes"</formula>
    </cfRule>
  </conditionalFormatting>
  <conditionalFormatting sqref="K410">
    <cfRule type="cellIs" dxfId="718" priority="29" operator="equal">
      <formula>"Rate cannot be greater than the Prepaid Rate % of Sales"</formula>
    </cfRule>
    <cfRule type="cellIs" dxfId="717" priority="30" operator="equal">
      <formula>"Recommended NCI is 1%"</formula>
    </cfRule>
  </conditionalFormatting>
  <conditionalFormatting sqref="E402">
    <cfRule type="expression" dxfId="716" priority="28">
      <formula>$C$317="Yes"</formula>
    </cfRule>
  </conditionalFormatting>
  <conditionalFormatting sqref="E403">
    <cfRule type="expression" dxfId="715" priority="26">
      <formula>OR($E$314="No",$C$317="Yes")</formula>
    </cfRule>
    <cfRule type="expression" dxfId="714" priority="27">
      <formula>$C$317=""</formula>
    </cfRule>
  </conditionalFormatting>
  <conditionalFormatting sqref="M403">
    <cfRule type="expression" dxfId="713" priority="21">
      <formula>$E$314="No"</formula>
    </cfRule>
    <cfRule type="expression" dxfId="712" priority="24">
      <formula>AND($C$317&lt;&gt;"Yes",$I403="Credit Memo",$K403="Corporate Office")</formula>
    </cfRule>
    <cfRule type="expression" dxfId="711" priority="25">
      <formula>AND($C$317&lt;&gt;"Yes",$K403="Corporate Office",$I403="Check")</formula>
    </cfRule>
  </conditionalFormatting>
  <conditionalFormatting sqref="G409">
    <cfRule type="expression" dxfId="710" priority="22">
      <formula>OR($C$317="Yes",$E$314="No")</formula>
    </cfRule>
    <cfRule type="expression" dxfId="709" priority="23">
      <formula>$E$314="Yes"</formula>
    </cfRule>
  </conditionalFormatting>
  <conditionalFormatting sqref="K421">
    <cfRule type="cellIs" dxfId="708" priority="19" operator="equal">
      <formula>"Rate cannot be greater than the Prepaid Rate % of Sales"</formula>
    </cfRule>
    <cfRule type="cellIs" dxfId="707" priority="20" operator="equal">
      <formula>"Recommended NCI is 1%"</formula>
    </cfRule>
  </conditionalFormatting>
  <conditionalFormatting sqref="E413">
    <cfRule type="expression" dxfId="706" priority="18">
      <formula>$C$317="Yes"</formula>
    </cfRule>
  </conditionalFormatting>
  <conditionalFormatting sqref="E414">
    <cfRule type="expression" dxfId="705" priority="16">
      <formula>OR($E$314="No",$C$317="Yes")</formula>
    </cfRule>
    <cfRule type="expression" dxfId="704" priority="17">
      <formula>$C$317=""</formula>
    </cfRule>
  </conditionalFormatting>
  <conditionalFormatting sqref="M414">
    <cfRule type="expression" dxfId="703" priority="11">
      <formula>$E$314="No"</formula>
    </cfRule>
    <cfRule type="expression" dxfId="702" priority="14">
      <formula>AND($C$317&lt;&gt;"Yes",$I414="Credit Memo",$K414="Corporate Office")</formula>
    </cfRule>
    <cfRule type="expression" dxfId="701" priority="15">
      <formula>AND($C$317&lt;&gt;"Yes",$K414="Corporate Office",$I414="Check")</formula>
    </cfRule>
  </conditionalFormatting>
  <conditionalFormatting sqref="G420">
    <cfRule type="expression" dxfId="700" priority="12">
      <formula>OR($C$317="Yes",$E$314="No")</formula>
    </cfRule>
    <cfRule type="expression" dxfId="699" priority="13">
      <formula>$E$314="Yes"</formula>
    </cfRule>
  </conditionalFormatting>
  <conditionalFormatting sqref="K432">
    <cfRule type="cellIs" dxfId="698" priority="9" operator="equal">
      <formula>"Rate cannot be greater than the Prepaid Rate % of Sales"</formula>
    </cfRule>
    <cfRule type="cellIs" dxfId="697" priority="10" operator="equal">
      <formula>"Recommended NCI is 1%"</formula>
    </cfRule>
  </conditionalFormatting>
  <conditionalFormatting sqref="E424">
    <cfRule type="expression" dxfId="696" priority="8">
      <formula>$C$317="Yes"</formula>
    </cfRule>
  </conditionalFormatting>
  <conditionalFormatting sqref="E425">
    <cfRule type="expression" dxfId="695" priority="6">
      <formula>OR($E$314="No",$C$317="Yes")</formula>
    </cfRule>
    <cfRule type="expression" dxfId="694" priority="7">
      <formula>$C$317=""</formula>
    </cfRule>
  </conditionalFormatting>
  <conditionalFormatting sqref="M425">
    <cfRule type="expression" dxfId="693" priority="1">
      <formula>$E$314="No"</formula>
    </cfRule>
    <cfRule type="expression" dxfId="692" priority="4">
      <formula>AND($C$317&lt;&gt;"Yes",$I425="Credit Memo",$K425="Corporate Office")</formula>
    </cfRule>
    <cfRule type="expression" dxfId="691" priority="5">
      <formula>AND($C$317&lt;&gt;"Yes",$K425="Corporate Office",$I425="Check")</formula>
    </cfRule>
  </conditionalFormatting>
  <conditionalFormatting sqref="G431">
    <cfRule type="expression" dxfId="690" priority="2">
      <formula>OR($C$317="Yes",$E$314="No")</formula>
    </cfRule>
    <cfRule type="expression" dxfId="689" priority="3">
      <formula>$E$314="Yes"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435 E443 E451 E459 E467 E325 E336 E347 E358 E369 E380 E391 E402 E413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326 I337 I348 I359 I370 I381 I392 I403 I414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E326 E337 E348 E359 E370 E381 E392 E403 E414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E328 E339 E350 E361 E372 E383 E394 E405 E416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44 E452 E460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51"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472"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8"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93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63" id="{7AFB0FBA-25D2-4D1D-B169-90AF90E35C64}">
            <xm:f>AND(AND(Welcome!$D$10&lt;&gt;"MDA",Welcome!$D$10&lt;&gt;"PON Only"),Welcome!$D$6="Amendment")</xm:f>
            <x14:dxf>
              <fill>
                <patternFill>
                  <bgColor theme="0"/>
                </patternFill>
              </fill>
            </x14:dxf>
          </x14:cfRule>
          <x14:cfRule type="expression" priority="1137" id="{CC77D9D5-08D0-497D-857C-05FC5404FFA2}">
            <xm:f>AND(AND(Welcome!$D$10&lt;&gt;"MDA",Welcome!$D$10&lt;&gt;"PON Only"),Welcome!$D$6="New")</xm:f>
            <x14:dxf>
              <fill>
                <patternFill>
                  <bgColor rgb="FFFFFF00"/>
                </patternFill>
              </fill>
            </x14:dxf>
          </x14:cfRule>
          <x14:cfRule type="expression" priority="1138"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083"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080"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077"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074"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073"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998"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997"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996"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995"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994"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471"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70"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69"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67"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946"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66"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65"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446"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445"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444"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443"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442"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441"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440"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439"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438"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437"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387"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379"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231"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 xmlns:xm="http://schemas.microsoft.com/office/excel/2006/main">
          <x14:cfRule type="expression" priority="213" id="{1B5D3602-3B97-4944-8750-99A332B0CDB1}">
            <xm:f>AND($C$175&lt;&gt;"Yes",$K$179&gt;ROUNDUP((((VLOOKUP('Variable Selling'!$A$2,'CC MARKET EXPENSE'!$A:$D,4,0))*100)*VLOOKUP(D453,'Incentive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M456</xm:sqref>
        </x14:conditionalFormatting>
        <x14:conditionalFormatting xmlns:xm="http://schemas.microsoft.com/office/excel/2006/main">
          <x14:cfRule type="expression" priority="195" id="{A395DBE7-900D-496C-8FD0-AC0E645F1F99}">
            <xm:f>AND($C$175&lt;&gt;"Yes",$K$179&gt;ROUNDUP((((VLOOKUP('Variable Selling'!$A$2,'CC MARKET EXPENSE'!$A:$D,4,0))*100)*VLOOKUP(D461,'Incentive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M464</xm:sqref>
        </x14:conditionalFormatting>
        <x14:conditionalFormatting xmlns:xm="http://schemas.microsoft.com/office/excel/2006/main">
          <x14:cfRule type="expression" priority="177" id="{05DF113D-EC49-4B3B-AA77-5DB0EEF546A7}">
            <xm:f>AND($C$175&lt;&gt;"Yes",$K$179&gt;ROUNDUP((((VLOOKUP('Variable Selling'!$A$2,'CC MARKET EXPENSE'!$A:$D,4,0))*100)*VLOOKUP(D469,'Incentive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M472</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77" t="s">
        <v>210</v>
      </c>
      <c r="D2" s="1877"/>
      <c r="E2" s="1877"/>
      <c r="F2" s="423"/>
      <c r="G2" s="172"/>
      <c r="H2" s="172"/>
      <c r="I2" s="172"/>
      <c r="J2" s="172"/>
      <c r="K2" s="172"/>
      <c r="L2" s="175"/>
    </row>
    <row r="3" spans="2:23" x14ac:dyDescent="0.25">
      <c r="B3" s="178"/>
      <c r="C3" s="1886" t="s">
        <v>1156</v>
      </c>
      <c r="D3" s="1887"/>
      <c r="E3" s="322" t="str">
        <f>Welcome!$D$10</f>
        <v>Please Select</v>
      </c>
      <c r="F3" s="325"/>
      <c r="G3" s="396" t="s">
        <v>110</v>
      </c>
      <c r="H3" s="1882" t="str">
        <f>IFERROR(VLOOKUP($H$4,'Market Geography'!$D:$G,4,FALSE),"Select Market")</f>
        <v>Select Market</v>
      </c>
      <c r="I3" s="1882"/>
      <c r="J3" s="1882"/>
      <c r="K3" s="1883"/>
      <c r="L3" s="179"/>
    </row>
    <row r="4" spans="2:23" x14ac:dyDescent="0.25">
      <c r="B4" s="178"/>
      <c r="C4" s="1888" t="s">
        <v>1157</v>
      </c>
      <c r="D4" s="1889"/>
      <c r="E4" s="291" t="str">
        <f>Welcome!$D$16</f>
        <v>Select Term</v>
      </c>
      <c r="F4" s="424"/>
      <c r="G4" s="397" t="s">
        <v>840</v>
      </c>
      <c r="H4" s="1884">
        <f>Welcome!$D$4</f>
        <v>0</v>
      </c>
      <c r="I4" s="1884"/>
      <c r="J4" s="1884"/>
      <c r="K4" s="1885"/>
      <c r="L4" s="179"/>
    </row>
    <row r="5" spans="2:23" x14ac:dyDescent="0.25">
      <c r="B5" s="178"/>
      <c r="C5" s="1888" t="s">
        <v>1162</v>
      </c>
      <c r="D5" s="1889"/>
      <c r="E5" s="143">
        <f>'PIM Model'!$G$31</f>
        <v>0</v>
      </c>
      <c r="F5" s="425"/>
      <c r="G5" s="397" t="s">
        <v>107</v>
      </c>
      <c r="H5" s="1884" t="str">
        <f>'Multi-Customer'!$S$49</f>
        <v>Enter Customer(s)</v>
      </c>
      <c r="I5" s="1884"/>
      <c r="J5" s="1884"/>
      <c r="K5" s="1885"/>
      <c r="L5" s="179"/>
    </row>
    <row r="6" spans="2:23" x14ac:dyDescent="0.25">
      <c r="B6" s="178"/>
      <c r="C6" s="1888" t="s">
        <v>1163</v>
      </c>
      <c r="D6" s="1889"/>
      <c r="E6" s="144">
        <f>'PIM Model'!$E$6</f>
        <v>0</v>
      </c>
      <c r="F6" s="325"/>
      <c r="G6" s="397" t="s">
        <v>1170</v>
      </c>
      <c r="H6" s="1884" t="str">
        <f>IF('Multi-Customer'!$AL$40 = "MULTIPLE MENU TYPES","MULTIPLE TYPES",'Multi-Customer'!$AH$40)</f>
        <v>MULTIPLE TYPES</v>
      </c>
      <c r="I6" s="1884"/>
      <c r="J6" s="1884"/>
      <c r="K6" s="1885"/>
      <c r="L6" s="179"/>
      <c r="R6" s="426"/>
    </row>
    <row r="7" spans="2:23" ht="15.75" thickBot="1" x14ac:dyDescent="0.3">
      <c r="B7" s="178"/>
      <c r="C7" s="1893" t="s">
        <v>1164</v>
      </c>
      <c r="D7" s="1894"/>
      <c r="E7" s="323">
        <f>IFERROR('PIM Ranges'!$AW$3,0)</f>
        <v>0</v>
      </c>
      <c r="F7" s="177"/>
      <c r="G7" s="398" t="s">
        <v>1165</v>
      </c>
      <c r="H7" s="1891" t="s">
        <v>206</v>
      </c>
      <c r="I7" s="1891"/>
      <c r="J7" s="1891"/>
      <c r="K7" s="1892"/>
      <c r="L7" s="179"/>
      <c r="P7" s="177"/>
      <c r="Q7" s="153"/>
      <c r="R7" s="427"/>
      <c r="S7" s="134"/>
      <c r="T7" s="153"/>
      <c r="U7" s="177"/>
      <c r="V7" s="153"/>
      <c r="W7" s="177"/>
    </row>
    <row r="8" spans="2:23" ht="13.9" customHeight="1" x14ac:dyDescent="0.25">
      <c r="B8" s="178"/>
      <c r="D8" s="136"/>
      <c r="E8" s="1814"/>
      <c r="F8" s="181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80" t="s">
        <v>843</v>
      </c>
      <c r="J10" s="188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78" t="str">
        <f>IFERROR($E11/$E$5,"")</f>
        <v/>
      </c>
      <c r="J11" s="1878"/>
      <c r="K11" s="244"/>
      <c r="L11" s="179"/>
      <c r="R11" s="426"/>
    </row>
    <row r="12" spans="2:23" ht="36" customHeight="1" x14ac:dyDescent="0.25">
      <c r="B12" s="178"/>
      <c r="C12" s="243"/>
      <c r="D12" s="1895" t="s">
        <v>677</v>
      </c>
      <c r="E12" s="1895"/>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78" t="str">
        <f>IFERROR(E13/E5,"")</f>
        <v/>
      </c>
      <c r="J13" s="1878"/>
      <c r="K13" s="244"/>
      <c r="L13" s="179"/>
    </row>
    <row r="14" spans="2:23" s="636" customFormat="1" ht="36.6" customHeight="1" x14ac:dyDescent="0.25">
      <c r="B14" s="178"/>
      <c r="C14" s="243"/>
      <c r="D14" s="1895" t="s">
        <v>1098</v>
      </c>
      <c r="E14" s="1895"/>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78" t="str">
        <f>IFERROR($E15/$E$5,"")</f>
        <v/>
      </c>
      <c r="J15" s="1878"/>
      <c r="K15" s="244"/>
      <c r="L15" s="179"/>
    </row>
    <row r="16" spans="2:23" ht="26.45" customHeight="1" x14ac:dyDescent="0.25">
      <c r="B16" s="178"/>
      <c r="C16" s="243"/>
      <c r="D16" s="1890" t="s">
        <v>679</v>
      </c>
      <c r="E16" s="1890"/>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78" t="str">
        <f>IFERROR($E17/$E$5,"")</f>
        <v/>
      </c>
      <c r="J17" s="1878"/>
      <c r="K17" s="244"/>
      <c r="L17" s="179"/>
    </row>
    <row r="18" spans="2:12" ht="25.9" customHeight="1" x14ac:dyDescent="0.25">
      <c r="B18" s="178"/>
      <c r="C18" s="243"/>
      <c r="D18" s="1890" t="s">
        <v>678</v>
      </c>
      <c r="E18" s="1896"/>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79" t="str">
        <f>IFERROR($E19/$E$5,"")</f>
        <v/>
      </c>
      <c r="J19" s="1879"/>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79" t="str">
        <f>IFERROR($E21/$E$5,"")</f>
        <v/>
      </c>
      <c r="J21" s="187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78" t="str">
        <f>IFERROR($E25/$E$5,"")</f>
        <v/>
      </c>
      <c r="J25" s="1878"/>
      <c r="K25" s="244"/>
      <c r="L25" s="179"/>
    </row>
    <row r="26" spans="2:12" ht="16.149999999999999" customHeight="1" x14ac:dyDescent="0.25">
      <c r="B26" s="178"/>
      <c r="C26" s="243"/>
      <c r="D26" s="1881" t="s">
        <v>879</v>
      </c>
      <c r="E26" s="188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80" t="s">
        <v>843</v>
      </c>
      <c r="J30" s="1880"/>
      <c r="K30" s="244"/>
      <c r="L30" s="179"/>
    </row>
    <row r="31" spans="2:12" ht="25.15" customHeight="1" x14ac:dyDescent="0.25">
      <c r="B31" s="178"/>
      <c r="C31" s="243"/>
      <c r="D31" s="447" t="s">
        <v>221</v>
      </c>
      <c r="E31" s="448">
        <f>'PIM Ranges'!AQ33</f>
        <v>0</v>
      </c>
      <c r="F31" s="188"/>
      <c r="G31" s="435">
        <f>IFERROR(E31/'PIM Model'!$H$31,0)</f>
        <v>0</v>
      </c>
      <c r="H31" s="188"/>
      <c r="I31" s="1878" t="str">
        <f>IFERROR($E31/$E$5,"")</f>
        <v/>
      </c>
      <c r="J31" s="1878"/>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78" t="str">
        <f>IFERROR($E32/$E$5,"")</f>
        <v/>
      </c>
      <c r="J32" s="1878"/>
      <c r="K32" s="244"/>
      <c r="L32" s="179"/>
    </row>
    <row r="33" spans="2:12" ht="27.6" customHeight="1" x14ac:dyDescent="0.25">
      <c r="B33" s="178"/>
      <c r="C33" s="453"/>
      <c r="D33" s="1890" t="s">
        <v>2077</v>
      </c>
      <c r="E33" s="1890"/>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90"/>
      <c r="E39" s="1890"/>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86" t="s">
        <v>1156</v>
      </c>
      <c r="D4" s="1887"/>
      <c r="E4" s="558" t="str">
        <f>Welcome!$D$10</f>
        <v>Please Select</v>
      </c>
      <c r="F4" s="139"/>
      <c r="G4" s="396" t="s">
        <v>110</v>
      </c>
      <c r="H4" s="1801" t="str">
        <f>IFERROR(VLOOKUP($H$5,'Market Geography'!$D:$G,4,FALSE),"Select Market")</f>
        <v>Select Market</v>
      </c>
      <c r="I4" s="1802"/>
      <c r="J4" s="1803"/>
      <c r="K4" s="736"/>
      <c r="L4" s="736"/>
      <c r="M4" s="736"/>
      <c r="N4" s="736"/>
      <c r="O4" s="736"/>
      <c r="P4" s="654"/>
      <c r="Q4" s="656"/>
      <c r="R4" s="625"/>
      <c r="S4" s="459"/>
    </row>
    <row r="5" spans="1:31" x14ac:dyDescent="0.25">
      <c r="B5" s="178"/>
      <c r="C5" s="1888" t="s">
        <v>1157</v>
      </c>
      <c r="D5" s="1889"/>
      <c r="E5" s="291" t="str">
        <f>Welcome!$D$16</f>
        <v>Select Term</v>
      </c>
      <c r="F5" s="139"/>
      <c r="G5" s="397" t="s">
        <v>840</v>
      </c>
      <c r="H5" s="1798">
        <f>Welcome!$D$4</f>
        <v>0</v>
      </c>
      <c r="I5" s="1799"/>
      <c r="J5" s="1800"/>
      <c r="K5" s="736"/>
      <c r="L5" s="736"/>
      <c r="M5" s="736"/>
      <c r="N5" s="736"/>
      <c r="O5" s="736"/>
      <c r="P5" s="654"/>
      <c r="Q5" s="656"/>
      <c r="R5" s="625"/>
      <c r="S5" s="459"/>
    </row>
    <row r="6" spans="1:31" x14ac:dyDescent="0.25">
      <c r="B6" s="178"/>
      <c r="C6" s="1888" t="s">
        <v>1162</v>
      </c>
      <c r="D6" s="1889"/>
      <c r="E6" s="292">
        <f>IFERROR('PIM Model'!$G$31,0)</f>
        <v>0</v>
      </c>
      <c r="F6" s="324"/>
      <c r="G6" s="397" t="s">
        <v>107</v>
      </c>
      <c r="H6" s="1798" t="str">
        <f>'Multi-Customer'!$S$49</f>
        <v>Enter Customer(s)</v>
      </c>
      <c r="I6" s="1799"/>
      <c r="J6" s="1800"/>
      <c r="K6" s="736"/>
      <c r="L6" s="736"/>
      <c r="M6" s="736"/>
      <c r="N6" s="736"/>
      <c r="O6" s="736"/>
      <c r="P6" s="654"/>
      <c r="Q6" s="656"/>
      <c r="R6" s="625"/>
      <c r="S6" s="459"/>
    </row>
    <row r="7" spans="1:31" x14ac:dyDescent="0.25">
      <c r="B7" s="178"/>
      <c r="C7" s="1888" t="s">
        <v>1163</v>
      </c>
      <c r="D7" s="1889"/>
      <c r="E7" s="460">
        <f>IFERROR('Variable Costs (Back)'!$K$26,0)</f>
        <v>0</v>
      </c>
      <c r="F7" s="177"/>
      <c r="G7" s="397" t="s">
        <v>1170</v>
      </c>
      <c r="H7" s="1798" t="str">
        <f>'Multi-Customer'!$AH$40</f>
        <v>MULTIPLE TYPES</v>
      </c>
      <c r="I7" s="1799"/>
      <c r="J7" s="1800"/>
      <c r="K7" s="736"/>
      <c r="L7" s="736"/>
      <c r="M7" s="736"/>
      <c r="N7" s="736"/>
      <c r="O7" s="736"/>
      <c r="P7" s="654"/>
      <c r="Q7" s="656"/>
      <c r="R7" s="625"/>
      <c r="S7" s="459"/>
    </row>
    <row r="8" spans="1:31" ht="15.75" thickBot="1" x14ac:dyDescent="0.3">
      <c r="B8" s="178"/>
      <c r="C8" s="1893" t="s">
        <v>1164</v>
      </c>
      <c r="D8" s="1894"/>
      <c r="E8" s="323">
        <f>IFERROR('PIM Ranges'!$AW$3,0)</f>
        <v>0</v>
      </c>
      <c r="F8" s="325"/>
      <c r="G8" s="398" t="s">
        <v>1165</v>
      </c>
      <c r="H8" s="1897" t="s">
        <v>206</v>
      </c>
      <c r="I8" s="1898"/>
      <c r="J8" s="189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06" t="s">
        <v>1130</v>
      </c>
      <c r="R11" s="190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904" t="s">
        <v>1130</v>
      </c>
      <c r="R21" s="1905"/>
      <c r="S21" s="179"/>
      <c r="T21" s="5"/>
      <c r="U21" s="5">
        <f>IFERROR('Agreement Worksheet'!H18/E8,0)</f>
        <v>0</v>
      </c>
    </row>
    <row r="22" spans="2:21" s="1048" customFormat="1" ht="21" customHeight="1" x14ac:dyDescent="0.25">
      <c r="B22" s="178"/>
      <c r="C22" s="243"/>
      <c r="D22" s="1055" t="s">
        <v>1726</v>
      </c>
      <c r="E22" s="1063">
        <f>IFERROR(Incentives!O474*-1,0)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IFERROR(Incentives!O476*-1,0)</f>
        <v>0</v>
      </c>
      <c r="F23" s="473">
        <f>Incentives!O478</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903" t="s">
        <v>2077</v>
      </c>
      <c r="E35" s="1903"/>
      <c r="F35" s="1903"/>
      <c r="G35" s="1903"/>
      <c r="H35" s="478"/>
      <c r="I35" s="1902" t="str">
        <f>IF($J$36=0,IF($N$36=0,"","Customer EB % Missing"),IF($N$36=0,"Customer Drops/Wk Missing","Customer EB % &amp; Drops/Wk Missing"))</f>
        <v/>
      </c>
      <c r="J35" s="1902"/>
      <c r="K35" s="1902"/>
      <c r="L35" s="1902"/>
      <c r="M35" s="1902"/>
      <c r="N35" s="190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900" t="s">
        <v>1130</v>
      </c>
      <c r="R40" s="190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901"/>
      <c r="C44" s="1901"/>
      <c r="D44" s="1901"/>
      <c r="N44" s="1867"/>
      <c r="O44" s="1867"/>
      <c r="P44" s="1867"/>
      <c r="Q44" s="1867"/>
      <c r="R44" s="1867"/>
      <c r="S44" s="1867"/>
    </row>
    <row r="45" spans="2:20" x14ac:dyDescent="0.25">
      <c r="S45" s="485"/>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Z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0" style="595" hidden="1"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7" width="0" hidden="1" customWidth="1"/>
  </cols>
  <sheetData>
    <row r="1" spans="3:26" ht="15.75" thickBot="1" x14ac:dyDescent="0.3">
      <c r="R1" s="258" t="s">
        <v>641</v>
      </c>
      <c r="S1" s="258" t="s">
        <v>642</v>
      </c>
      <c r="T1" s="258" t="s">
        <v>643</v>
      </c>
      <c r="U1" s="134"/>
      <c r="W1" s="330" t="s">
        <v>881</v>
      </c>
      <c r="Z1">
        <f>ROW(F44)</f>
        <v>44</v>
      </c>
    </row>
    <row r="2" spans="3:26" s="5" customFormat="1" ht="22.5" customHeight="1" x14ac:dyDescent="0.25">
      <c r="C2" s="1912" t="s">
        <v>644</v>
      </c>
      <c r="D2" s="1913"/>
      <c r="E2" s="1913"/>
      <c r="F2" s="1913"/>
      <c r="G2" s="1913"/>
      <c r="H2" s="1913"/>
      <c r="I2" s="1913"/>
      <c r="J2" s="1913"/>
      <c r="K2" s="1913"/>
      <c r="L2" s="1913"/>
      <c r="M2" s="1913"/>
      <c r="N2" s="1913"/>
      <c r="O2" s="1913"/>
      <c r="P2" s="1914"/>
      <c r="Q2" s="596"/>
      <c r="R2" s="259" t="s">
        <v>645</v>
      </c>
      <c r="S2" s="259" t="s">
        <v>646</v>
      </c>
      <c r="T2" s="259" t="s">
        <v>482</v>
      </c>
      <c r="V2" s="5" t="s">
        <v>882</v>
      </c>
      <c r="W2" s="5">
        <f>IF(Welcome!D18=W3,0,Welcome!D18)</f>
        <v>0</v>
      </c>
      <c r="Z2" s="5">
        <f>Z1+2</f>
        <v>46</v>
      </c>
    </row>
    <row r="3" spans="3:26" x14ac:dyDescent="0.25">
      <c r="C3" s="524"/>
      <c r="D3" s="260"/>
      <c r="E3" s="260"/>
      <c r="F3" s="260"/>
      <c r="G3" s="260"/>
      <c r="H3" s="260"/>
      <c r="I3" s="260"/>
      <c r="J3" s="260"/>
      <c r="K3" s="260"/>
      <c r="L3" s="260"/>
      <c r="M3" s="260"/>
      <c r="N3" s="260"/>
      <c r="O3" s="260"/>
      <c r="P3" s="525"/>
      <c r="R3" s="1" t="s">
        <v>647</v>
      </c>
      <c r="S3" s="1" t="s">
        <v>648</v>
      </c>
      <c r="T3" s="1" t="s">
        <v>481</v>
      </c>
      <c r="W3" t="s">
        <v>454</v>
      </c>
    </row>
    <row r="4" spans="3:26" x14ac:dyDescent="0.25">
      <c r="C4" s="137"/>
      <c r="E4" s="332" t="s">
        <v>844</v>
      </c>
      <c r="F4" s="1915"/>
      <c r="G4" s="1915"/>
      <c r="P4" s="526"/>
      <c r="T4" s="1" t="s">
        <v>480</v>
      </c>
    </row>
    <row r="5" spans="3:26" x14ac:dyDescent="0.25">
      <c r="C5" s="137"/>
      <c r="E5" s="332"/>
      <c r="P5" s="138"/>
    </row>
    <row r="6" spans="3:26" x14ac:dyDescent="0.25">
      <c r="C6" s="137"/>
      <c r="E6" s="136" t="s">
        <v>1171</v>
      </c>
      <c r="F6" s="1915"/>
      <c r="G6" s="1915"/>
      <c r="P6" s="138"/>
    </row>
    <row r="7" spans="3:26" x14ac:dyDescent="0.25">
      <c r="C7" s="137"/>
      <c r="E7" s="136"/>
      <c r="P7" s="138"/>
    </row>
    <row r="8" spans="3:26" x14ac:dyDescent="0.25">
      <c r="C8" s="137"/>
      <c r="E8" s="136" t="s">
        <v>1172</v>
      </c>
      <c r="F8" s="1915"/>
      <c r="G8" s="1915"/>
      <c r="P8" s="138"/>
    </row>
    <row r="9" spans="3:26" x14ac:dyDescent="0.25">
      <c r="C9" s="137"/>
      <c r="E9" s="136" t="s">
        <v>1173</v>
      </c>
      <c r="F9" s="1915"/>
      <c r="G9" s="1915"/>
      <c r="P9" s="138"/>
    </row>
    <row r="10" spans="3:26" x14ac:dyDescent="0.25">
      <c r="C10" s="137"/>
      <c r="E10" s="136" t="s">
        <v>836</v>
      </c>
      <c r="F10" s="1915"/>
      <c r="G10" s="1915"/>
      <c r="P10" s="138"/>
    </row>
    <row r="11" spans="3:26" x14ac:dyDescent="0.25">
      <c r="C11" s="137"/>
      <c r="E11" s="136" t="s">
        <v>798</v>
      </c>
      <c r="F11" s="1915"/>
      <c r="G11" s="1915"/>
      <c r="P11" s="138"/>
    </row>
    <row r="12" spans="3:26" x14ac:dyDescent="0.25">
      <c r="C12" s="137"/>
      <c r="E12" s="136" t="s">
        <v>1174</v>
      </c>
      <c r="F12" s="1915"/>
      <c r="G12" s="1915"/>
      <c r="P12" s="138"/>
    </row>
    <row r="13" spans="3:26" x14ac:dyDescent="0.25">
      <c r="C13" s="137"/>
      <c r="E13" s="136"/>
      <c r="F13" s="1917"/>
      <c r="G13" s="1917"/>
      <c r="P13" s="138"/>
    </row>
    <row r="14" spans="3:26" x14ac:dyDescent="0.25">
      <c r="C14" s="137"/>
      <c r="E14" s="136" t="s">
        <v>1175</v>
      </c>
      <c r="F14" s="1916"/>
      <c r="G14" s="1916"/>
      <c r="H14" s="535"/>
      <c r="P14" s="138"/>
      <c r="Q14" s="641">
        <f>WEEKDAY(F14,2)</f>
        <v>6</v>
      </c>
    </row>
    <row r="15" spans="3:26" s="705" customFormat="1" ht="13.5" customHeight="1" x14ac:dyDescent="0.25">
      <c r="C15" s="137"/>
      <c r="F15" s="977" t="s">
        <v>956</v>
      </c>
      <c r="G15" s="977" t="str">
        <f>IF(F14="","",TEXT(F14,"dddd"))</f>
        <v/>
      </c>
      <c r="O15" s="749"/>
      <c r="P15" s="138"/>
      <c r="Q15" s="595"/>
    </row>
    <row r="16" spans="3:26" s="705" customFormat="1" ht="13.5" customHeight="1" x14ac:dyDescent="0.25">
      <c r="C16" s="137"/>
      <c r="F16" s="720"/>
      <c r="G16" s="720"/>
      <c r="O16" s="749"/>
      <c r="P16" s="138"/>
      <c r="Q16" s="595"/>
    </row>
    <row r="17" spans="1:18" s="705" customFormat="1" ht="13.5" customHeight="1" x14ac:dyDescent="0.25">
      <c r="C17" s="137"/>
      <c r="E17" s="136" t="s">
        <v>1176</v>
      </c>
      <c r="F17" s="1918" t="str">
        <f>IF(F14="","",IF('Agreement Worksheet'!J5="End of Week",F14+(364*IF(OR(Welcome!D16="Select Term",Welcome!D16=""),0,Welcome!D16))+6,R17-1))</f>
        <v/>
      </c>
      <c r="G17" s="1918"/>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910" t="str">
        <f>Welcome!D10</f>
        <v>Please Select</v>
      </c>
      <c r="G19" s="1911"/>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907" t="s">
        <v>1464</v>
      </c>
      <c r="G44" s="1908"/>
      <c r="H44" s="1909"/>
    </row>
    <row r="45" spans="3:17" x14ac:dyDescent="0.25">
      <c r="F45" s="855" t="s">
        <v>1411</v>
      </c>
      <c r="G45" s="856" t="s">
        <v>1465</v>
      </c>
      <c r="H45" s="857" t="s">
        <v>1466</v>
      </c>
    </row>
    <row r="46" spans="3:17" ht="15.75" thickBot="1" x14ac:dyDescent="0.3">
      <c r="F46" s="858"/>
      <c r="G46" s="859"/>
      <c r="H46" s="860"/>
    </row>
  </sheetData>
  <sheetProtection algorithmName="SHA-512" hashValue="Ig8qpnHsTmRy8MK5NouTEKl1TB5lpi9N++VRI36IuDBJbPK4nCDWkW/PTNBWAXLnWhs0yKiLuar+Rq8jxpXBTg==" saltValue="MyNSatqaeLgPGZgAEH7Sy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920" t="s">
        <v>1197</v>
      </c>
      <c r="C2" s="1926"/>
      <c r="D2" s="1926"/>
      <c r="E2" s="1926"/>
      <c r="F2" s="1926"/>
      <c r="G2" s="1926"/>
      <c r="H2" s="1926"/>
      <c r="I2" s="1926"/>
      <c r="J2" s="1926"/>
      <c r="K2" s="1927"/>
      <c r="L2" s="720"/>
      <c r="M2" s="1919" t="s">
        <v>1198</v>
      </c>
      <c r="N2" s="1919"/>
      <c r="O2" s="1919"/>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1723</v>
      </c>
      <c r="K4" s="1083"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920" t="s">
        <v>1211</v>
      </c>
      <c r="C7" s="1921"/>
      <c r="D7" s="1921"/>
      <c r="E7" s="1921"/>
      <c r="F7" s="1921"/>
      <c r="G7" s="1921"/>
      <c r="H7" s="1921"/>
      <c r="I7" s="192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923" t="s">
        <v>1238</v>
      </c>
      <c r="C15" s="1924"/>
      <c r="D15" s="1924"/>
      <c r="E15" s="1924"/>
      <c r="F15" s="1924"/>
      <c r="G15" s="1924"/>
      <c r="H15" s="1924"/>
      <c r="I15" s="1925"/>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28" t="s">
        <v>1264</v>
      </c>
      <c r="C2" s="1929"/>
      <c r="D2" s="1929"/>
      <c r="E2" s="1929"/>
      <c r="F2" s="1929"/>
      <c r="G2" s="1929"/>
      <c r="H2" s="1929"/>
      <c r="I2" s="1929"/>
      <c r="J2" s="1929"/>
      <c r="K2" s="1929"/>
      <c r="L2" s="1929"/>
      <c r="M2" s="1929"/>
      <c r="N2" s="193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31" t="s">
        <v>1279</v>
      </c>
      <c r="C8" s="1929"/>
      <c r="D8" s="1929"/>
      <c r="E8" s="1929"/>
      <c r="F8" s="1929"/>
      <c r="G8" s="1929"/>
      <c r="H8" s="1929"/>
      <c r="I8" s="1929"/>
      <c r="J8" s="1929"/>
      <c r="K8" s="1929"/>
      <c r="L8" s="1929"/>
      <c r="M8" s="1929"/>
      <c r="N8" s="193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31" t="s">
        <v>1291</v>
      </c>
      <c r="C32" s="1932"/>
      <c r="D32" s="1932"/>
      <c r="E32" s="1932"/>
      <c r="F32" s="1932"/>
      <c r="G32" s="1932"/>
      <c r="H32" s="1932"/>
      <c r="I32" s="1932"/>
      <c r="J32" s="1932"/>
      <c r="K32" s="1932"/>
      <c r="L32" s="1932"/>
      <c r="M32" s="1932"/>
      <c r="N32" s="1932"/>
      <c r="O32" s="193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67"/>
      <c r="K1" s="1967"/>
      <c r="L1" s="1967"/>
      <c r="M1" s="1967"/>
      <c r="N1" s="1967"/>
      <c r="O1" s="565"/>
      <c r="P1" s="937"/>
      <c r="Q1" s="565"/>
      <c r="R1" s="937"/>
      <c r="S1" s="565"/>
      <c r="T1" s="565"/>
      <c r="U1" s="565"/>
      <c r="W1" s="966" t="s">
        <v>1541</v>
      </c>
      <c r="X1" s="967" t="s">
        <v>1517</v>
      </c>
      <c r="Y1" s="968" t="s">
        <v>1518</v>
      </c>
      <c r="Z1" s="969" t="s">
        <v>1519</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50" t="s">
        <v>1484</v>
      </c>
      <c r="C3" s="1964"/>
      <c r="D3" s="1964"/>
      <c r="E3" s="1964"/>
      <c r="F3" s="1964"/>
      <c r="G3" s="1964"/>
      <c r="H3" s="1964"/>
      <c r="I3" s="1964"/>
      <c r="J3" s="1964"/>
      <c r="K3" s="1964"/>
      <c r="L3" s="1964"/>
      <c r="M3" s="1964"/>
      <c r="N3" s="1964"/>
      <c r="O3" s="1964"/>
      <c r="P3" s="1964"/>
      <c r="Q3" s="1964"/>
      <c r="R3" s="1964"/>
      <c r="S3" s="1964"/>
      <c r="T3" s="1964"/>
      <c r="U3" s="1965"/>
      <c r="W3" s="964">
        <v>1201</v>
      </c>
      <c r="X3" s="901" t="s">
        <v>1485</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955" t="s">
        <v>1485</v>
      </c>
      <c r="E5" s="1956"/>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976"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976"/>
    </row>
    <row r="7" spans="1:31" s="895" customFormat="1" ht="30" customHeight="1" thickBot="1" x14ac:dyDescent="0.3">
      <c r="A7" s="565"/>
      <c r="B7" s="938"/>
      <c r="C7" s="950" t="s">
        <v>1491</v>
      </c>
      <c r="D7" s="1957">
        <v>1201</v>
      </c>
      <c r="E7" s="1958"/>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959" t="str">
        <f>AA3</f>
        <v/>
      </c>
      <c r="E9" s="1960"/>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959" t="str">
        <f>AB3</f>
        <v/>
      </c>
      <c r="E11" s="1960"/>
      <c r="F11" s="938"/>
      <c r="G11" s="984"/>
      <c r="H11" s="952" t="s">
        <v>1492</v>
      </c>
      <c r="I11" s="938"/>
      <c r="J11" s="938"/>
      <c r="K11" s="938"/>
      <c r="L11" s="953" t="s">
        <v>1493</v>
      </c>
      <c r="M11" s="938"/>
      <c r="N11" s="938"/>
      <c r="O11" s="938"/>
      <c r="P11" s="938"/>
      <c r="Q11" s="938"/>
      <c r="R11" s="938"/>
      <c r="S11" s="938"/>
      <c r="T11" s="1025" t="s">
        <v>1599</v>
      </c>
      <c r="U11" s="938"/>
      <c r="W11" s="959">
        <v>2801</v>
      </c>
      <c r="X11" s="965" t="s">
        <v>1523</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1495</v>
      </c>
      <c r="D13" s="1966" t="s">
        <v>646</v>
      </c>
      <c r="E13" s="1930"/>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1496</v>
      </c>
      <c r="D15" s="1957" t="s">
        <v>1497</v>
      </c>
      <c r="E15" s="1958"/>
      <c r="F15" s="938"/>
      <c r="G15" s="984"/>
      <c r="H15" s="938"/>
      <c r="I15" s="938"/>
      <c r="J15" s="1576"/>
      <c r="K15" s="1576"/>
      <c r="L15" s="1576"/>
      <c r="M15" s="1576"/>
      <c r="N15" s="1576"/>
      <c r="O15" s="938"/>
      <c r="P15" s="938"/>
      <c r="Q15" s="938"/>
      <c r="R15" s="1595" t="s">
        <v>648</v>
      </c>
      <c r="S15" s="938"/>
      <c r="T15" s="981" t="str">
        <f>IF(Z3&lt;&gt;"","Yes","No")</f>
        <v>No</v>
      </c>
      <c r="U15" s="938"/>
      <c r="W15" s="959">
        <v>3501</v>
      </c>
      <c r="X15" s="965" t="s">
        <v>1534</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950" t="s">
        <v>1498</v>
      </c>
      <c r="C17" s="1964"/>
      <c r="D17" s="1964"/>
      <c r="E17" s="1964"/>
      <c r="F17" s="1964"/>
      <c r="G17" s="1964"/>
      <c r="H17" s="1964"/>
      <c r="I17" s="1964"/>
      <c r="J17" s="1964"/>
      <c r="K17" s="1964"/>
      <c r="L17" s="1964"/>
      <c r="M17" s="1964"/>
      <c r="N17" s="1964"/>
      <c r="O17" s="1964"/>
      <c r="P17" s="1964"/>
      <c r="Q17" s="1964"/>
      <c r="R17" s="1964"/>
      <c r="S17" s="1964"/>
      <c r="T17" s="1964"/>
      <c r="U17" s="1965"/>
      <c r="W17" s="959">
        <v>3601</v>
      </c>
      <c r="X17" s="965" t="s">
        <v>1537</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955" t="s">
        <v>1485</v>
      </c>
      <c r="E19" s="1956"/>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4" t="str">
        <f>IF(Z19&lt;&gt;"",IF(AND(Z19=112,Incentives!E$114&lt;&gt;""),Incentives!E$114,""),"")</f>
        <v/>
      </c>
      <c r="AB19" s="1024" t="str">
        <f>IF(Z19&lt;&gt;"",IF(AND(Z19=112,Incentives!E$115&lt;&gt;""),Incentives!E$115,""),"")</f>
        <v/>
      </c>
      <c r="AC19" s="1034">
        <v>239</v>
      </c>
      <c r="AE19" s="1976"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4" t="str">
        <f>IF(Z20&lt;&gt;"",IF(AND(Incentives!E$122&lt;&gt;"",Z20=120),Incentives!E$122,""),"")</f>
        <v/>
      </c>
      <c r="AB20" s="1024" t="str">
        <f>IF(Z20&lt;&gt;"",IF(AND(Incentives!E$123&lt;&gt;"",Z20=120),Incentives!E$123,""),"")</f>
        <v/>
      </c>
      <c r="AC20" s="1034">
        <v>253</v>
      </c>
      <c r="AE20" s="1976"/>
    </row>
    <row r="21" spans="1:31" s="895" customFormat="1" ht="30.75" customHeight="1" thickBot="1" x14ac:dyDescent="0.3">
      <c r="A21" s="565"/>
      <c r="B21" s="938"/>
      <c r="C21" s="950" t="s">
        <v>1491</v>
      </c>
      <c r="D21" s="1957">
        <v>1202</v>
      </c>
      <c r="E21" s="1958"/>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959" t="str">
        <f>AA4</f>
        <v/>
      </c>
      <c r="E23" s="1960"/>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959" t="str">
        <f>AB4</f>
        <v/>
      </c>
      <c r="E25" s="1960"/>
      <c r="F25" s="938"/>
      <c r="G25" s="984"/>
      <c r="H25" s="952" t="s">
        <v>1492</v>
      </c>
      <c r="I25" s="938"/>
      <c r="J25" s="938"/>
      <c r="K25" s="938"/>
      <c r="L25" s="953" t="s">
        <v>1493</v>
      </c>
      <c r="M25" s="938"/>
      <c r="N25" s="938"/>
      <c r="O25" s="938"/>
      <c r="P25" s="938"/>
      <c r="Q25" s="938"/>
      <c r="R25" s="938"/>
      <c r="S25" s="938"/>
      <c r="T25" s="1025" t="s">
        <v>1599</v>
      </c>
      <c r="U25" s="938"/>
      <c r="W25" s="1001">
        <v>4601</v>
      </c>
      <c r="X25" s="1003" t="s">
        <v>1600</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1495</v>
      </c>
      <c r="D27" s="1929" t="s">
        <v>646</v>
      </c>
      <c r="E27" s="1930"/>
      <c r="F27" s="938"/>
      <c r="G27" s="984"/>
      <c r="H27" s="938"/>
      <c r="I27" s="938"/>
      <c r="J27" s="938"/>
      <c r="K27" s="938"/>
      <c r="L27" s="938"/>
      <c r="M27" s="938"/>
      <c r="N27" s="938"/>
      <c r="O27" s="938"/>
      <c r="P27" s="938"/>
      <c r="Q27" s="938"/>
      <c r="R27" s="938"/>
      <c r="S27" s="938"/>
      <c r="T27" s="938"/>
      <c r="U27" s="938"/>
      <c r="W27" s="1001">
        <v>4901</v>
      </c>
      <c r="X27" s="1003" t="s">
        <v>1630</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1496</v>
      </c>
      <c r="D29" s="1957" t="s">
        <v>1497</v>
      </c>
      <c r="E29" s="1958"/>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950" t="s">
        <v>1499</v>
      </c>
      <c r="C31" s="1964"/>
      <c r="D31" s="1964"/>
      <c r="E31" s="1964"/>
      <c r="F31" s="1964"/>
      <c r="G31" s="1964"/>
      <c r="H31" s="1964"/>
      <c r="I31" s="1964"/>
      <c r="J31" s="1964"/>
      <c r="K31" s="1964"/>
      <c r="L31" s="1964"/>
      <c r="M31" s="1964"/>
      <c r="N31" s="1964"/>
      <c r="O31" s="1964"/>
      <c r="P31" s="1964"/>
      <c r="Q31" s="1964"/>
      <c r="R31" s="1964"/>
      <c r="S31" s="1964"/>
      <c r="T31" s="1964"/>
      <c r="U31" s="1965"/>
      <c r="W31" s="1001">
        <v>501</v>
      </c>
      <c r="X31" s="1003" t="s">
        <v>1614</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955" t="s">
        <v>1500</v>
      </c>
      <c r="E33" s="1956"/>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976"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976"/>
    </row>
    <row r="35" spans="1:31" s="895" customFormat="1" ht="30.75" customHeight="1" thickBot="1" x14ac:dyDescent="0.3">
      <c r="A35" s="565"/>
      <c r="B35" s="938"/>
      <c r="C35" s="950" t="s">
        <v>1491</v>
      </c>
      <c r="D35" s="1957">
        <v>1401</v>
      </c>
      <c r="E35" s="1958"/>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959" t="str">
        <f>AA5</f>
        <v/>
      </c>
      <c r="E37" s="1960"/>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62">
        <v>5201</v>
      </c>
      <c r="X38" s="1626" t="s">
        <v>2141</v>
      </c>
      <c r="Y38" s="1662">
        <v>1</v>
      </c>
      <c r="Z38" s="899" t="str">
        <f>IF(Incentives!$E$435="Yes",IF(Incentives!$E$436=X38,326,""),"")</f>
        <v/>
      </c>
      <c r="AA38" s="1024" t="str">
        <f>IF(Z38&lt;&gt;"",IF(AND(Incentives!E$438&lt;&gt;"",Z38=326),Incentives!E$438,""),"")</f>
        <v/>
      </c>
      <c r="AB38" s="1024" t="str">
        <f>IF(Z38&lt;&gt;"",IF(AND(Incentives!E$439&lt;&gt;"",Z38=326),Incentives!E$439,""),"")</f>
        <v/>
      </c>
      <c r="AC38" s="1663">
        <v>629</v>
      </c>
    </row>
    <row r="39" spans="1:31" s="895" customFormat="1" ht="30" customHeight="1" thickBot="1" x14ac:dyDescent="0.3">
      <c r="A39" s="565"/>
      <c r="B39" s="938"/>
      <c r="C39" s="950" t="s">
        <v>1386</v>
      </c>
      <c r="D39" s="1959" t="str">
        <f>AB5</f>
        <v/>
      </c>
      <c r="E39" s="1960"/>
      <c r="F39" s="938"/>
      <c r="G39" s="984"/>
      <c r="H39" s="952" t="s">
        <v>1492</v>
      </c>
      <c r="I39" s="938"/>
      <c r="J39" s="953" t="s">
        <v>1506</v>
      </c>
      <c r="K39" s="938"/>
      <c r="L39" s="953" t="s">
        <v>1493</v>
      </c>
      <c r="M39" s="938"/>
      <c r="N39" s="953" t="s">
        <v>1507</v>
      </c>
      <c r="O39" s="938"/>
      <c r="P39" s="953" t="s">
        <v>1508</v>
      </c>
      <c r="Q39" s="938"/>
      <c r="R39" s="953" t="s">
        <v>1509</v>
      </c>
      <c r="S39" s="938"/>
      <c r="T39" s="1025" t="s">
        <v>1599</v>
      </c>
      <c r="U39" s="938"/>
      <c r="W39" s="1662">
        <v>5202</v>
      </c>
      <c r="X39" s="1696" t="s">
        <v>2141</v>
      </c>
      <c r="Y39" s="1662">
        <v>2</v>
      </c>
      <c r="Z39" s="899" t="str">
        <f>IF(Incentives!$E$443="Yes",IF(Incentives!$E$444=X39,334,""),"")</f>
        <v/>
      </c>
      <c r="AA39" s="1024" t="str">
        <f>IF(Z39&lt;&gt;"",IF(AND(Incentives!E$446&lt;&gt;"",Z39=334),Incentives!E$446,""),"")</f>
        <v/>
      </c>
      <c r="AB39" s="1024" t="str">
        <f>IF(AA39&lt;&gt;"",IF(AND(Incentives!E$447&lt;&gt;"",Z39=334),Incentives!E$447,""),"")</f>
        <v/>
      </c>
      <c r="AC39" s="1619">
        <v>643</v>
      </c>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6" t="s">
        <v>646</v>
      </c>
      <c r="U40" s="938"/>
      <c r="W40" s="1662">
        <v>5203</v>
      </c>
      <c r="X40" s="1696" t="s">
        <v>2141</v>
      </c>
      <c r="Y40" s="1662">
        <v>3</v>
      </c>
      <c r="Z40" s="899" t="str">
        <f>IF(Incentives!$E$451="Yes",IF(Incentives!$E$452=X40,342,""),"")</f>
        <v/>
      </c>
      <c r="AA40" s="1024" t="str">
        <f>IF(Z40&lt;&gt;"",IF(AND(Incentives!E$454&lt;&gt;"",Z40=342),Incentives!E$454,""),"")</f>
        <v/>
      </c>
      <c r="AB40" s="1024" t="str">
        <f>IF(AA40&lt;&gt;"",IF(AND(Incentives!E$455&lt;&gt;"",Z40=342),Incentives!E$455,""),"")</f>
        <v/>
      </c>
      <c r="AC40" s="1663">
        <v>657</v>
      </c>
    </row>
    <row r="41" spans="1:31" s="895" customFormat="1" ht="30" customHeight="1" thickBot="1" x14ac:dyDescent="0.3">
      <c r="A41" s="565"/>
      <c r="B41" s="938"/>
      <c r="C41" s="956" t="s">
        <v>1495</v>
      </c>
      <c r="D41" s="1966" t="s">
        <v>646</v>
      </c>
      <c r="E41" s="1930"/>
      <c r="F41" s="938"/>
      <c r="G41" s="984"/>
      <c r="H41" s="938"/>
      <c r="I41" s="938"/>
      <c r="J41" s="938"/>
      <c r="K41" s="938"/>
      <c r="L41" s="938"/>
      <c r="M41" s="938"/>
      <c r="N41" s="938"/>
      <c r="O41" s="938"/>
      <c r="P41" s="938"/>
      <c r="Q41" s="938"/>
      <c r="R41" s="938"/>
      <c r="S41" s="938"/>
      <c r="T41" s="938"/>
      <c r="U41" s="938"/>
      <c r="W41" s="1662">
        <v>5204</v>
      </c>
      <c r="X41" s="1696" t="s">
        <v>2141</v>
      </c>
      <c r="Y41" s="1662">
        <v>4</v>
      </c>
      <c r="Z41" s="899" t="str">
        <f>IF(Incentives!$E$459="Yes",IF(Incentives!$E$460=X41,350,""),"")</f>
        <v/>
      </c>
      <c r="AA41" s="1024" t="str">
        <f>IF(Z41&lt;&gt;"",IF(AND(Incentives!E$462&lt;&gt;"",Z41=350),Incentives!E$462,""),"")</f>
        <v/>
      </c>
      <c r="AB41" s="1024" t="str">
        <f>IF(AA41&lt;&gt;"",IF(AND(Incentives!E$463&lt;&gt;"",Z41=350),Incentives!E$463,""),"")</f>
        <v/>
      </c>
      <c r="AC41" s="1663">
        <v>671</v>
      </c>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c r="W42" s="1662">
        <v>5205</v>
      </c>
      <c r="X42" s="1696" t="s">
        <v>2141</v>
      </c>
      <c r="Y42" s="1662">
        <v>5</v>
      </c>
      <c r="Z42" s="899" t="str">
        <f>IF(Incentives!$E$467="Yes",IF(Incentives!$E$468=X42,358,""),"")</f>
        <v/>
      </c>
      <c r="AA42" s="1024" t="str">
        <f>IF(Z42&lt;&gt;"",IF(AND(Incentives!E$470&lt;&gt;"",Z42=358),Incentives!E$470,""),"")</f>
        <v/>
      </c>
      <c r="AB42" s="1024" t="str">
        <f>IF(AA42&lt;&gt;"",IF(AND(Incentives!E$471&lt;&gt;"",Z42=358),Incentives!E$471,""),"")</f>
        <v/>
      </c>
      <c r="AC42" s="1663">
        <v>685</v>
      </c>
    </row>
    <row r="43" spans="1:31" s="895" customFormat="1" ht="18" customHeight="1" thickBot="1" x14ac:dyDescent="0.3">
      <c r="A43" s="565"/>
      <c r="B43" s="938"/>
      <c r="C43" s="950" t="s">
        <v>1496</v>
      </c>
      <c r="D43" s="1957" t="s">
        <v>1497</v>
      </c>
      <c r="E43" s="1958"/>
      <c r="F43" s="938"/>
      <c r="G43" s="984"/>
      <c r="H43" s="938"/>
      <c r="I43" s="938"/>
      <c r="J43" s="938"/>
      <c r="K43" s="938"/>
      <c r="L43" s="938"/>
      <c r="M43" s="938"/>
      <c r="N43" s="938"/>
      <c r="O43" s="938"/>
      <c r="P43" s="938"/>
      <c r="Q43" s="938"/>
      <c r="R43" s="1595" t="s">
        <v>648</v>
      </c>
      <c r="S43" s="938"/>
      <c r="T43" s="981" t="str">
        <f>IF(Z5&lt;&gt;"","Yes","No")</f>
        <v>No</v>
      </c>
      <c r="U43" s="938"/>
      <c r="AC43" s="1692"/>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50" t="s">
        <v>1511</v>
      </c>
      <c r="C45" s="1964"/>
      <c r="D45" s="1964"/>
      <c r="E45" s="1964"/>
      <c r="F45" s="1964"/>
      <c r="G45" s="1964"/>
      <c r="H45" s="1964"/>
      <c r="I45" s="1964"/>
      <c r="J45" s="1964"/>
      <c r="K45" s="1964"/>
      <c r="L45" s="1964"/>
      <c r="M45" s="1964"/>
      <c r="N45" s="1964"/>
      <c r="O45" s="1964"/>
      <c r="P45" s="1964"/>
      <c r="Q45" s="1964"/>
      <c r="R45" s="1964"/>
      <c r="S45" s="1964"/>
      <c r="T45" s="1964"/>
      <c r="U45" s="1965"/>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55" t="s">
        <v>1500</v>
      </c>
      <c r="E47" s="1956"/>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76"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76"/>
    </row>
    <row r="49" spans="1:31" s="895" customFormat="1" ht="30.75" customHeight="1" thickBot="1" x14ac:dyDescent="0.3">
      <c r="A49" s="565"/>
      <c r="B49" s="938"/>
      <c r="C49" s="950" t="s">
        <v>1491</v>
      </c>
      <c r="D49" s="1957">
        <v>1402</v>
      </c>
      <c r="E49" s="1958"/>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59" t="str">
        <f>AA6</f>
        <v/>
      </c>
      <c r="E51" s="1960"/>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59" t="str">
        <f>AB6</f>
        <v/>
      </c>
      <c r="E53" s="1960"/>
      <c r="F53" s="938"/>
      <c r="G53" s="984"/>
      <c r="H53" s="952" t="s">
        <v>1492</v>
      </c>
      <c r="I53" s="938"/>
      <c r="J53" s="953" t="s">
        <v>1506</v>
      </c>
      <c r="K53" s="938"/>
      <c r="L53" s="953" t="s">
        <v>1493</v>
      </c>
      <c r="M53" s="938"/>
      <c r="N53" s="953" t="s">
        <v>1507</v>
      </c>
      <c r="O53" s="938"/>
      <c r="P53" s="953" t="s">
        <v>1508</v>
      </c>
      <c r="Q53" s="938"/>
      <c r="R53" s="953" t="s">
        <v>1509</v>
      </c>
      <c r="S53" s="938"/>
      <c r="T53" s="1025"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6" t="s">
        <v>646</v>
      </c>
      <c r="U54" s="938"/>
    </row>
    <row r="55" spans="1:31" s="895" customFormat="1" ht="30" customHeight="1" thickBot="1" x14ac:dyDescent="0.3">
      <c r="A55" s="565"/>
      <c r="B55" s="938"/>
      <c r="C55" s="956" t="s">
        <v>1495</v>
      </c>
      <c r="D55" s="1929" t="s">
        <v>646</v>
      </c>
      <c r="E55" s="1930"/>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57" t="s">
        <v>1497</v>
      </c>
      <c r="E57" s="1958"/>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50" t="s">
        <v>1512</v>
      </c>
      <c r="C59" s="1964"/>
      <c r="D59" s="1964"/>
      <c r="E59" s="1964"/>
      <c r="F59" s="1964"/>
      <c r="G59" s="1964"/>
      <c r="H59" s="1964"/>
      <c r="I59" s="1964"/>
      <c r="J59" s="1964"/>
      <c r="K59" s="1964"/>
      <c r="L59" s="1964"/>
      <c r="M59" s="1964"/>
      <c r="N59" s="1964"/>
      <c r="O59" s="1964"/>
      <c r="P59" s="1964"/>
      <c r="Q59" s="1964"/>
      <c r="R59" s="1964"/>
      <c r="S59" s="1964"/>
      <c r="T59" s="1964"/>
      <c r="U59" s="1965"/>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55" t="s">
        <v>1513</v>
      </c>
      <c r="E61" s="1956"/>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76"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76"/>
    </row>
    <row r="63" spans="1:31" s="895" customFormat="1" ht="30" customHeight="1" thickBot="1" x14ac:dyDescent="0.3">
      <c r="A63" s="565"/>
      <c r="B63" s="938"/>
      <c r="C63" s="950" t="s">
        <v>1491</v>
      </c>
      <c r="D63" s="1957">
        <v>1501</v>
      </c>
      <c r="E63" s="1958"/>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59" t="str">
        <f>AA7</f>
        <v/>
      </c>
      <c r="E65" s="1960"/>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59" t="str">
        <f>AB7</f>
        <v/>
      </c>
      <c r="E67" s="1960"/>
      <c r="F67" s="938"/>
      <c r="G67" s="984" t="s">
        <v>1391</v>
      </c>
      <c r="H67" s="918"/>
      <c r="I67" s="941"/>
      <c r="J67" s="947"/>
      <c r="K67" s="938"/>
      <c r="L67" s="946"/>
      <c r="M67" s="938"/>
      <c r="N67" s="913" t="s">
        <v>479</v>
      </c>
      <c r="O67" s="938"/>
      <c r="P67" s="913" t="s">
        <v>1504</v>
      </c>
      <c r="Q67" s="938"/>
      <c r="R67" s="739" t="s">
        <v>2102</v>
      </c>
      <c r="S67" s="938"/>
      <c r="T67" s="1025"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29" t="s">
        <v>646</v>
      </c>
      <c r="E71" s="1930"/>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57" t="s">
        <v>1497</v>
      </c>
      <c r="E73" s="1958"/>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50" t="s">
        <v>1514</v>
      </c>
      <c r="C75" s="1964"/>
      <c r="D75" s="1964"/>
      <c r="E75" s="1964"/>
      <c r="F75" s="1964"/>
      <c r="G75" s="1964"/>
      <c r="H75" s="1964"/>
      <c r="I75" s="1964"/>
      <c r="J75" s="1964"/>
      <c r="K75" s="1964"/>
      <c r="L75" s="1964"/>
      <c r="M75" s="1964"/>
      <c r="N75" s="1964"/>
      <c r="O75" s="1964"/>
      <c r="P75" s="1964"/>
      <c r="Q75" s="1964"/>
      <c r="R75" s="1964"/>
      <c r="S75" s="1964"/>
      <c r="T75" s="1964"/>
      <c r="U75" s="1965"/>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55" t="s">
        <v>1513</v>
      </c>
      <c r="E77" s="1956"/>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76"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76"/>
    </row>
    <row r="79" spans="1:31" s="895" customFormat="1" ht="30" customHeight="1" thickBot="1" x14ac:dyDescent="0.3">
      <c r="A79" s="565"/>
      <c r="B79" s="938"/>
      <c r="C79" s="950" t="s">
        <v>1491</v>
      </c>
      <c r="D79" s="1957">
        <v>1502</v>
      </c>
      <c r="E79" s="1958"/>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59" t="str">
        <f>AA8</f>
        <v/>
      </c>
      <c r="E81" s="1960"/>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59" t="str">
        <f>AB8</f>
        <v/>
      </c>
      <c r="E83" s="1960"/>
      <c r="F83" s="938"/>
      <c r="G83" s="984" t="s">
        <v>1391</v>
      </c>
      <c r="H83" s="918"/>
      <c r="I83" s="941"/>
      <c r="J83" s="947"/>
      <c r="K83" s="938"/>
      <c r="L83" s="944"/>
      <c r="M83" s="938"/>
      <c r="N83" s="913" t="s">
        <v>479</v>
      </c>
      <c r="O83" s="938"/>
      <c r="P83" s="913" t="s">
        <v>1504</v>
      </c>
      <c r="Q83" s="938"/>
      <c r="R83" s="739" t="s">
        <v>2102</v>
      </c>
      <c r="S83" s="938"/>
      <c r="T83" s="1025"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29" t="s">
        <v>646</v>
      </c>
      <c r="E87" s="1930"/>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57" t="s">
        <v>1497</v>
      </c>
      <c r="E89" s="1958"/>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50" t="s">
        <v>1515</v>
      </c>
      <c r="C91" s="1964"/>
      <c r="D91" s="1964"/>
      <c r="E91" s="1964"/>
      <c r="F91" s="1964"/>
      <c r="G91" s="1964"/>
      <c r="H91" s="1964"/>
      <c r="I91" s="1964"/>
      <c r="J91" s="1964"/>
      <c r="K91" s="1964"/>
      <c r="L91" s="1964"/>
      <c r="M91" s="1964"/>
      <c r="N91" s="1964"/>
      <c r="O91" s="1964"/>
      <c r="P91" s="1964"/>
      <c r="Q91" s="1964"/>
      <c r="R91" s="1964"/>
      <c r="S91" s="1964"/>
      <c r="T91" s="1964"/>
      <c r="U91" s="1965"/>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55" t="s">
        <v>1522</v>
      </c>
      <c r="E93" s="1956"/>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76"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76"/>
    </row>
    <row r="95" spans="1:31" ht="30" customHeight="1" thickBot="1" x14ac:dyDescent="0.3">
      <c r="A95" s="565"/>
      <c r="B95" s="942"/>
      <c r="C95" s="953" t="s">
        <v>1491</v>
      </c>
      <c r="D95" s="1957">
        <v>5501</v>
      </c>
      <c r="E95" s="1958"/>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59" t="str">
        <f>AA9</f>
        <v/>
      </c>
      <c r="E97" s="1960"/>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59" t="str">
        <f>AB9</f>
        <v/>
      </c>
      <c r="E99" s="1960"/>
      <c r="F99" s="942"/>
      <c r="G99" s="984"/>
      <c r="H99" s="952" t="s">
        <v>1492</v>
      </c>
      <c r="I99" s="957"/>
      <c r="J99" s="953" t="s">
        <v>1506</v>
      </c>
      <c r="K99" s="957"/>
      <c r="L99" s="953" t="s">
        <v>1493</v>
      </c>
      <c r="M99" s="942"/>
      <c r="N99" s="942"/>
      <c r="O99" s="942"/>
      <c r="P99" s="942"/>
      <c r="Q99" s="942"/>
      <c r="R99" s="942"/>
      <c r="S99" s="942"/>
      <c r="T99" s="1025"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6" t="s">
        <v>646</v>
      </c>
      <c r="U100" s="942"/>
    </row>
    <row r="101" spans="1:31" ht="30" customHeight="1" thickBot="1" x14ac:dyDescent="0.3">
      <c r="A101" s="565"/>
      <c r="B101" s="942"/>
      <c r="C101" s="951" t="s">
        <v>1495</v>
      </c>
      <c r="D101" s="1966" t="s">
        <v>646</v>
      </c>
      <c r="E101" s="1930"/>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57" t="s">
        <v>1525</v>
      </c>
      <c r="E103" s="1922"/>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50" t="s">
        <v>1526</v>
      </c>
      <c r="C105" s="1921"/>
      <c r="D105" s="1921"/>
      <c r="E105" s="1921"/>
      <c r="F105" s="1921"/>
      <c r="G105" s="1921"/>
      <c r="H105" s="1921"/>
      <c r="I105" s="1921"/>
      <c r="J105" s="1921"/>
      <c r="K105" s="1921"/>
      <c r="L105" s="1921"/>
      <c r="M105" s="1921"/>
      <c r="N105" s="1921"/>
      <c r="O105" s="1921"/>
      <c r="P105" s="1921"/>
      <c r="Q105" s="1921"/>
      <c r="R105" s="1921"/>
      <c r="S105" s="1921"/>
      <c r="T105" s="1921"/>
      <c r="U105" s="1922"/>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55" t="s">
        <v>1522</v>
      </c>
      <c r="E107" s="1956"/>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76"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76"/>
    </row>
    <row r="109" spans="1:31" ht="30.75" thickBot="1" x14ac:dyDescent="0.3">
      <c r="A109" s="565"/>
      <c r="B109" s="942"/>
      <c r="C109" s="953" t="s">
        <v>1491</v>
      </c>
      <c r="D109" s="1957">
        <v>5502</v>
      </c>
      <c r="E109" s="1958"/>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59" t="str">
        <f>AA10</f>
        <v/>
      </c>
      <c r="E111" s="1960"/>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59" t="str">
        <f>AB10</f>
        <v/>
      </c>
      <c r="E113" s="1960"/>
      <c r="F113" s="942"/>
      <c r="G113" s="984"/>
      <c r="H113" s="952" t="s">
        <v>1492</v>
      </c>
      <c r="I113" s="957"/>
      <c r="J113" s="953" t="s">
        <v>1506</v>
      </c>
      <c r="K113" s="957"/>
      <c r="L113" s="953" t="s">
        <v>1493</v>
      </c>
      <c r="M113" s="942"/>
      <c r="N113" s="942"/>
      <c r="O113" s="942"/>
      <c r="P113" s="942"/>
      <c r="Q113" s="942"/>
      <c r="R113" s="942"/>
      <c r="S113" s="942"/>
      <c r="T113" s="1025"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6" t="s">
        <v>646</v>
      </c>
      <c r="U114" s="942"/>
    </row>
    <row r="115" spans="1:31" ht="30" customHeight="1" thickBot="1" x14ac:dyDescent="0.3">
      <c r="A115" s="565"/>
      <c r="B115" s="942"/>
      <c r="C115" s="951" t="s">
        <v>1495</v>
      </c>
      <c r="D115" s="1929" t="s">
        <v>646</v>
      </c>
      <c r="E115" s="1930"/>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57" t="s">
        <v>1525</v>
      </c>
      <c r="E117" s="1922"/>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50" t="s">
        <v>1527</v>
      </c>
      <c r="C119" s="1921"/>
      <c r="D119" s="1921"/>
      <c r="E119" s="1921"/>
      <c r="F119" s="1921"/>
      <c r="G119" s="1921"/>
      <c r="H119" s="1921"/>
      <c r="I119" s="1921"/>
      <c r="J119" s="1921"/>
      <c r="K119" s="1921"/>
      <c r="L119" s="1921"/>
      <c r="M119" s="1921"/>
      <c r="N119" s="1921"/>
      <c r="O119" s="1921"/>
      <c r="P119" s="1921"/>
      <c r="Q119" s="1921"/>
      <c r="R119" s="1921"/>
      <c r="S119" s="1921"/>
      <c r="T119" s="1921"/>
      <c r="U119" s="1922"/>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55" t="s">
        <v>1523</v>
      </c>
      <c r="E121" s="1956"/>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76"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76"/>
    </row>
    <row r="123" spans="1:31" ht="30.75" thickBot="1" x14ac:dyDescent="0.3">
      <c r="A123" s="565"/>
      <c r="B123" s="942"/>
      <c r="C123" s="953" t="s">
        <v>1491</v>
      </c>
      <c r="D123" s="1957">
        <v>2801</v>
      </c>
      <c r="E123" s="1958"/>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59" t="str">
        <f>AA11</f>
        <v/>
      </c>
      <c r="E125" s="1960"/>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59" t="str">
        <f>AB11</f>
        <v/>
      </c>
      <c r="E127" s="1960"/>
      <c r="F127" s="942"/>
      <c r="G127" s="984" t="s">
        <v>1391</v>
      </c>
      <c r="H127" s="918"/>
      <c r="I127" s="942"/>
      <c r="J127" s="948"/>
      <c r="K127" s="942"/>
      <c r="L127" s="918"/>
      <c r="M127" s="942"/>
      <c r="N127" s="913" t="s">
        <v>479</v>
      </c>
      <c r="O127" s="942"/>
      <c r="P127" s="913" t="s">
        <v>1504</v>
      </c>
      <c r="Q127" s="942"/>
      <c r="R127" s="942"/>
      <c r="S127" s="942"/>
      <c r="T127" s="1025"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29" t="s">
        <v>646</v>
      </c>
      <c r="E131" s="1930"/>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5" t="s">
        <v>648</v>
      </c>
      <c r="S132" s="942"/>
      <c r="T132" s="981" t="str">
        <f>IF(Z11&lt;&gt;"","Yes","No")</f>
        <v>No</v>
      </c>
      <c r="U132" s="942"/>
    </row>
    <row r="133" spans="1:31" ht="15.75" thickBot="1" x14ac:dyDescent="0.3">
      <c r="A133" s="565"/>
      <c r="B133" s="942"/>
      <c r="C133" s="950" t="s">
        <v>1496</v>
      </c>
      <c r="D133" s="1957" t="s">
        <v>1525</v>
      </c>
      <c r="E133" s="1922"/>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50" t="s">
        <v>1528</v>
      </c>
      <c r="C135" s="1921"/>
      <c r="D135" s="1921"/>
      <c r="E135" s="1921"/>
      <c r="F135" s="1921"/>
      <c r="G135" s="1921"/>
      <c r="H135" s="1921"/>
      <c r="I135" s="1921"/>
      <c r="J135" s="1921"/>
      <c r="K135" s="1921"/>
      <c r="L135" s="1921"/>
      <c r="M135" s="1921"/>
      <c r="N135" s="1921"/>
      <c r="O135" s="1921"/>
      <c r="P135" s="1921"/>
      <c r="Q135" s="1921"/>
      <c r="R135" s="1921"/>
      <c r="S135" s="1921"/>
      <c r="T135" s="1921"/>
      <c r="U135" s="1922"/>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55" t="s">
        <v>1523</v>
      </c>
      <c r="E137" s="1956"/>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76"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76"/>
    </row>
    <row r="139" spans="1:31" ht="30.75" thickBot="1" x14ac:dyDescent="0.3">
      <c r="A139" s="565"/>
      <c r="B139" s="942"/>
      <c r="C139" s="953" t="s">
        <v>1491</v>
      </c>
      <c r="D139" s="1957">
        <v>2802</v>
      </c>
      <c r="E139" s="1958"/>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59" t="str">
        <f>AA12</f>
        <v/>
      </c>
      <c r="E141" s="1960"/>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59" t="str">
        <f>AB12</f>
        <v/>
      </c>
      <c r="E143" s="1960"/>
      <c r="F143" s="942"/>
      <c r="G143" s="984" t="s">
        <v>1391</v>
      </c>
      <c r="H143" s="918"/>
      <c r="I143" s="957"/>
      <c r="J143" s="947"/>
      <c r="K143" s="957"/>
      <c r="L143" s="918"/>
      <c r="M143" s="957"/>
      <c r="N143" s="913" t="s">
        <v>479</v>
      </c>
      <c r="O143" s="957"/>
      <c r="P143" s="913" t="s">
        <v>1504</v>
      </c>
      <c r="Q143" s="957"/>
      <c r="R143" s="957"/>
      <c r="S143" s="957"/>
      <c r="T143" s="1025"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29" t="s">
        <v>646</v>
      </c>
      <c r="E147" s="1930"/>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5" t="s">
        <v>648</v>
      </c>
      <c r="S148" s="942"/>
      <c r="T148" s="981" t="str">
        <f>IF(Z12&lt;&gt;"","Yes","No")</f>
        <v>No</v>
      </c>
      <c r="U148" s="942"/>
    </row>
    <row r="149" spans="1:31" ht="16.5" customHeight="1" thickBot="1" x14ac:dyDescent="0.3">
      <c r="A149" s="565"/>
      <c r="B149" s="942"/>
      <c r="C149" s="950" t="s">
        <v>1496</v>
      </c>
      <c r="D149" s="1957" t="s">
        <v>1525</v>
      </c>
      <c r="E149" s="1922"/>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50" t="s">
        <v>1529</v>
      </c>
      <c r="C151" s="1921"/>
      <c r="D151" s="1921"/>
      <c r="E151" s="1921"/>
      <c r="F151" s="1921"/>
      <c r="G151" s="1921"/>
      <c r="H151" s="1921"/>
      <c r="I151" s="1921"/>
      <c r="J151" s="1921"/>
      <c r="K151" s="1921"/>
      <c r="L151" s="1921"/>
      <c r="M151" s="1921"/>
      <c r="N151" s="1921"/>
      <c r="O151" s="1921"/>
      <c r="P151" s="1921"/>
      <c r="Q151" s="1921"/>
      <c r="R151" s="1921"/>
      <c r="S151" s="1921"/>
      <c r="T151" s="1921"/>
      <c r="U151" s="1922"/>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55" t="s">
        <v>1530</v>
      </c>
      <c r="E153" s="1956"/>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76"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76"/>
    </row>
    <row r="155" spans="1:31" ht="28.5" customHeight="1" thickBot="1" x14ac:dyDescent="0.3">
      <c r="A155" s="565"/>
      <c r="B155" s="942"/>
      <c r="C155" s="953" t="s">
        <v>1491</v>
      </c>
      <c r="D155" s="1957">
        <v>3401</v>
      </c>
      <c r="E155" s="1958"/>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59" t="str">
        <f>AA13</f>
        <v/>
      </c>
      <c r="E157" s="1960"/>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59" t="str">
        <f>AB13</f>
        <v/>
      </c>
      <c r="E159" s="1960"/>
      <c r="F159" s="957"/>
      <c r="G159" s="985"/>
      <c r="H159" s="952" t="s">
        <v>1492</v>
      </c>
      <c r="I159" s="957"/>
      <c r="J159" s="957"/>
      <c r="K159" s="957"/>
      <c r="L159" s="953" t="s">
        <v>1493</v>
      </c>
      <c r="M159" s="957"/>
      <c r="N159" s="957"/>
      <c r="O159" s="957"/>
      <c r="P159" s="957"/>
      <c r="Q159" s="957"/>
      <c r="R159" s="957"/>
      <c r="S159" s="957"/>
      <c r="T159" s="1025"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6" t="s">
        <v>646</v>
      </c>
      <c r="U160" s="942"/>
    </row>
    <row r="161" spans="1:31" ht="30" customHeight="1" thickBot="1" x14ac:dyDescent="0.3">
      <c r="A161" s="565"/>
      <c r="B161" s="942"/>
      <c r="C161" s="951" t="s">
        <v>1495</v>
      </c>
      <c r="D161" s="1929" t="s">
        <v>646</v>
      </c>
      <c r="E161" s="1930"/>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57" t="s">
        <v>1531</v>
      </c>
      <c r="E163" s="1922"/>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50" t="s">
        <v>1532</v>
      </c>
      <c r="C165" s="1921"/>
      <c r="D165" s="1921"/>
      <c r="E165" s="1921"/>
      <c r="F165" s="1921"/>
      <c r="G165" s="1921"/>
      <c r="H165" s="1921"/>
      <c r="I165" s="1921"/>
      <c r="J165" s="1921"/>
      <c r="K165" s="1921"/>
      <c r="L165" s="1921"/>
      <c r="M165" s="1921"/>
      <c r="N165" s="1921"/>
      <c r="O165" s="1921"/>
      <c r="P165" s="1921"/>
      <c r="Q165" s="1921"/>
      <c r="R165" s="1921"/>
      <c r="S165" s="1921"/>
      <c r="T165" s="1921"/>
      <c r="U165" s="1922"/>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55" t="s">
        <v>1530</v>
      </c>
      <c r="E167" s="1956"/>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76"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76"/>
    </row>
    <row r="169" spans="1:31" ht="30.75" thickBot="1" x14ac:dyDescent="0.3">
      <c r="A169" s="565"/>
      <c r="B169" s="957"/>
      <c r="C169" s="950" t="s">
        <v>1491</v>
      </c>
      <c r="D169" s="1957">
        <v>3402</v>
      </c>
      <c r="E169" s="1958"/>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59" t="str">
        <f>AA14</f>
        <v/>
      </c>
      <c r="E171" s="1960"/>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59" t="str">
        <f>AB14</f>
        <v/>
      </c>
      <c r="E173" s="1960"/>
      <c r="F173" s="957"/>
      <c r="G173" s="985"/>
      <c r="H173" s="952" t="s">
        <v>1492</v>
      </c>
      <c r="I173" s="957"/>
      <c r="J173" s="957"/>
      <c r="K173" s="957"/>
      <c r="L173" s="953" t="s">
        <v>1493</v>
      </c>
      <c r="M173" s="957"/>
      <c r="N173" s="957"/>
      <c r="O173" s="957"/>
      <c r="P173" s="957"/>
      <c r="Q173" s="957"/>
      <c r="R173" s="957"/>
      <c r="S173" s="957"/>
      <c r="T173" s="1025"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6" t="s">
        <v>646</v>
      </c>
      <c r="U174" s="957"/>
    </row>
    <row r="175" spans="1:31" ht="30" customHeight="1" thickBot="1" x14ac:dyDescent="0.3">
      <c r="A175" s="565"/>
      <c r="B175" s="957"/>
      <c r="C175" s="951" t="s">
        <v>1495</v>
      </c>
      <c r="D175" s="1929" t="s">
        <v>646</v>
      </c>
      <c r="E175" s="1930"/>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57" t="s">
        <v>1531</v>
      </c>
      <c r="E177" s="1922"/>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50" t="s">
        <v>1533</v>
      </c>
      <c r="C179" s="1921"/>
      <c r="D179" s="1921"/>
      <c r="E179" s="1921"/>
      <c r="F179" s="1921"/>
      <c r="G179" s="1921"/>
      <c r="H179" s="1921"/>
      <c r="I179" s="1921"/>
      <c r="J179" s="1921"/>
      <c r="K179" s="1921"/>
      <c r="L179" s="1921"/>
      <c r="M179" s="1921"/>
      <c r="N179" s="1921"/>
      <c r="O179" s="1921"/>
      <c r="P179" s="1921"/>
      <c r="Q179" s="1921"/>
      <c r="R179" s="1921"/>
      <c r="S179" s="1921"/>
      <c r="T179" s="1921"/>
      <c r="U179" s="1922"/>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55" t="s">
        <v>1534</v>
      </c>
      <c r="E181" s="1956"/>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76"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76"/>
    </row>
    <row r="183" spans="1:31" ht="30.75" thickBot="1" x14ac:dyDescent="0.3">
      <c r="A183" s="565"/>
      <c r="B183" s="957"/>
      <c r="C183" s="950" t="s">
        <v>1491</v>
      </c>
      <c r="D183" s="1957">
        <v>3501</v>
      </c>
      <c r="E183" s="1958"/>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59" t="str">
        <f>AA15</f>
        <v/>
      </c>
      <c r="E185" s="1960"/>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59" t="str">
        <f>AB15</f>
        <v/>
      </c>
      <c r="E187" s="1960"/>
      <c r="F187" s="957"/>
      <c r="G187" s="985"/>
      <c r="H187" s="952" t="s">
        <v>1492</v>
      </c>
      <c r="I187" s="957"/>
      <c r="J187" s="953" t="s">
        <v>1506</v>
      </c>
      <c r="K187" s="957"/>
      <c r="L187" s="953" t="s">
        <v>1493</v>
      </c>
      <c r="M187" s="957"/>
      <c r="N187" s="953" t="s">
        <v>1507</v>
      </c>
      <c r="O187" s="957"/>
      <c r="P187" s="953" t="s">
        <v>1508</v>
      </c>
      <c r="Q187" s="957"/>
      <c r="R187" s="957"/>
      <c r="S187" s="957"/>
      <c r="T187" s="1025"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6" t="s">
        <v>646</v>
      </c>
      <c r="U188" s="957"/>
    </row>
    <row r="189" spans="1:31" ht="30" customHeight="1" thickBot="1" x14ac:dyDescent="0.3">
      <c r="A189" s="565"/>
      <c r="B189" s="957"/>
      <c r="C189" s="951" t="s">
        <v>1495</v>
      </c>
      <c r="D189" s="1929" t="s">
        <v>646</v>
      </c>
      <c r="E189" s="1930"/>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57" t="s">
        <v>1531</v>
      </c>
      <c r="E191" s="1922"/>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50" t="s">
        <v>1535</v>
      </c>
      <c r="C193" s="1921"/>
      <c r="D193" s="1921"/>
      <c r="E193" s="1921"/>
      <c r="F193" s="1921"/>
      <c r="G193" s="1921"/>
      <c r="H193" s="1921"/>
      <c r="I193" s="1921"/>
      <c r="J193" s="1921"/>
      <c r="K193" s="1921"/>
      <c r="L193" s="1921"/>
      <c r="M193" s="1921"/>
      <c r="N193" s="1921"/>
      <c r="O193" s="1921"/>
      <c r="P193" s="1921"/>
      <c r="Q193" s="1921"/>
      <c r="R193" s="1921"/>
      <c r="S193" s="1921"/>
      <c r="T193" s="1921"/>
      <c r="U193" s="1922"/>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55" t="s">
        <v>1534</v>
      </c>
      <c r="E195" s="1956"/>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76"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76"/>
    </row>
    <row r="197" spans="1:31" ht="30.75" thickBot="1" x14ac:dyDescent="0.3">
      <c r="A197" s="565"/>
      <c r="B197" s="957"/>
      <c r="C197" s="950" t="s">
        <v>1491</v>
      </c>
      <c r="D197" s="1957">
        <v>3502</v>
      </c>
      <c r="E197" s="1958"/>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59" t="str">
        <f>AA16</f>
        <v/>
      </c>
      <c r="E199" s="1960"/>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59" t="str">
        <f>AB16</f>
        <v/>
      </c>
      <c r="E201" s="1960"/>
      <c r="F201" s="957"/>
      <c r="G201" s="985"/>
      <c r="H201" s="952" t="s">
        <v>1492</v>
      </c>
      <c r="I201" s="957"/>
      <c r="J201" s="953" t="s">
        <v>1506</v>
      </c>
      <c r="K201" s="957"/>
      <c r="L201" s="953" t="s">
        <v>1493</v>
      </c>
      <c r="M201" s="957"/>
      <c r="N201" s="953" t="s">
        <v>1507</v>
      </c>
      <c r="O201" s="957"/>
      <c r="P201" s="953" t="s">
        <v>1508</v>
      </c>
      <c r="Q201" s="957"/>
      <c r="R201" s="957"/>
      <c r="S201" s="957"/>
      <c r="T201" s="1025"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6" t="s">
        <v>646</v>
      </c>
      <c r="U202" s="957"/>
    </row>
    <row r="203" spans="1:31" ht="30" customHeight="1" thickBot="1" x14ac:dyDescent="0.3">
      <c r="A203" s="565"/>
      <c r="B203" s="957"/>
      <c r="C203" s="951" t="s">
        <v>1495</v>
      </c>
      <c r="D203" s="1929" t="s">
        <v>646</v>
      </c>
      <c r="E203" s="1930"/>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57" t="s">
        <v>1531</v>
      </c>
      <c r="E205" s="1922"/>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50" t="s">
        <v>1536</v>
      </c>
      <c r="C207" s="1921"/>
      <c r="D207" s="1921"/>
      <c r="E207" s="1921"/>
      <c r="F207" s="1921"/>
      <c r="G207" s="1921"/>
      <c r="H207" s="1921"/>
      <c r="I207" s="1921"/>
      <c r="J207" s="1921"/>
      <c r="K207" s="1921"/>
      <c r="L207" s="1921"/>
      <c r="M207" s="1921"/>
      <c r="N207" s="1921"/>
      <c r="O207" s="1921"/>
      <c r="P207" s="1921"/>
      <c r="Q207" s="1921"/>
      <c r="R207" s="1921"/>
      <c r="S207" s="1921"/>
      <c r="T207" s="1921"/>
      <c r="U207" s="1922"/>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55" t="s">
        <v>1537</v>
      </c>
      <c r="E209" s="1956"/>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76"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76"/>
    </row>
    <row r="211" spans="1:31" ht="30.75" thickBot="1" x14ac:dyDescent="0.3">
      <c r="A211" s="565"/>
      <c r="B211" s="957"/>
      <c r="C211" s="950" t="s">
        <v>1491</v>
      </c>
      <c r="D211" s="1957">
        <v>3601</v>
      </c>
      <c r="E211" s="1958"/>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59" t="str">
        <f>AA17</f>
        <v/>
      </c>
      <c r="E213" s="1960"/>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59" t="str">
        <f>AB17</f>
        <v/>
      </c>
      <c r="E215" s="1960"/>
      <c r="F215" s="957"/>
      <c r="G215" s="985" t="s">
        <v>1391</v>
      </c>
      <c r="H215" s="918"/>
      <c r="I215" s="957"/>
      <c r="J215" s="958"/>
      <c r="K215" s="957"/>
      <c r="L215" s="918"/>
      <c r="M215" s="957"/>
      <c r="N215" s="913" t="s">
        <v>479</v>
      </c>
      <c r="O215" s="957"/>
      <c r="P215" s="913" t="s">
        <v>1151</v>
      </c>
      <c r="Q215" s="957"/>
      <c r="R215" s="957"/>
      <c r="S215" s="957"/>
      <c r="T215" s="1025"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66" t="s">
        <v>646</v>
      </c>
      <c r="E219" s="1930"/>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1496</v>
      </c>
      <c r="D221" s="1957" t="s">
        <v>1531</v>
      </c>
      <c r="E221" s="1922"/>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50" t="s">
        <v>1538</v>
      </c>
      <c r="C223" s="1921"/>
      <c r="D223" s="1921"/>
      <c r="E223" s="1921"/>
      <c r="F223" s="1921"/>
      <c r="G223" s="1921"/>
      <c r="H223" s="1921"/>
      <c r="I223" s="1921"/>
      <c r="J223" s="1921"/>
      <c r="K223" s="1921"/>
      <c r="L223" s="1921"/>
      <c r="M223" s="1921"/>
      <c r="N223" s="1921"/>
      <c r="O223" s="1921"/>
      <c r="P223" s="1921"/>
      <c r="Q223" s="1921"/>
      <c r="R223" s="1921"/>
      <c r="S223" s="1921"/>
      <c r="T223" s="1921"/>
      <c r="U223" s="1922"/>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55" t="s">
        <v>1537</v>
      </c>
      <c r="E225" s="1956"/>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76"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76"/>
    </row>
    <row r="227" spans="1:31" ht="30" customHeight="1" thickBot="1" x14ac:dyDescent="0.3">
      <c r="A227" s="565"/>
      <c r="B227" s="957"/>
      <c r="C227" s="950" t="s">
        <v>1491</v>
      </c>
      <c r="D227" s="1957">
        <v>3602</v>
      </c>
      <c r="E227" s="1958"/>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59" t="str">
        <f>AA18</f>
        <v/>
      </c>
      <c r="E229" s="1960"/>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59" t="str">
        <f>AB18</f>
        <v/>
      </c>
      <c r="E231" s="1960"/>
      <c r="F231" s="957"/>
      <c r="G231" s="985" t="s">
        <v>1391</v>
      </c>
      <c r="H231" s="918"/>
      <c r="I231" s="957"/>
      <c r="J231" s="958"/>
      <c r="K231" s="957"/>
      <c r="L231" s="918"/>
      <c r="M231" s="957"/>
      <c r="N231" s="913" t="s">
        <v>479</v>
      </c>
      <c r="O231" s="957"/>
      <c r="P231" s="913" t="s">
        <v>1151</v>
      </c>
      <c r="Q231" s="957"/>
      <c r="R231" s="957"/>
      <c r="S231" s="957"/>
      <c r="T231" s="1025"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29" t="s">
        <v>646</v>
      </c>
      <c r="E235" s="1930"/>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1496</v>
      </c>
      <c r="D237" s="1957" t="s">
        <v>1531</v>
      </c>
      <c r="E237" s="1922"/>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61" t="s">
        <v>1680</v>
      </c>
      <c r="C239" s="1962"/>
      <c r="D239" s="1962"/>
      <c r="E239" s="1962"/>
      <c r="F239" s="1962"/>
      <c r="G239" s="1962"/>
      <c r="H239" s="1962"/>
      <c r="I239" s="1962"/>
      <c r="J239" s="1962"/>
      <c r="K239" s="1962"/>
      <c r="L239" s="1962"/>
      <c r="M239" s="1962"/>
      <c r="N239" s="1962"/>
      <c r="O239" s="1962"/>
      <c r="P239" s="1962"/>
      <c r="Q239" s="1962"/>
      <c r="R239" s="1962"/>
      <c r="S239" s="1962"/>
      <c r="T239" s="1962"/>
      <c r="U239" s="1963"/>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55" t="s">
        <v>1539</v>
      </c>
      <c r="E241" s="1956"/>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76"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76"/>
    </row>
    <row r="243" spans="1:31" ht="30" customHeight="1" thickBot="1" x14ac:dyDescent="0.3">
      <c r="A243" s="949"/>
      <c r="B243" s="957"/>
      <c r="C243" s="950" t="s">
        <v>1491</v>
      </c>
      <c r="D243" s="1957">
        <v>1301</v>
      </c>
      <c r="E243" s="1958"/>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59" t="str">
        <f>AA19</f>
        <v/>
      </c>
      <c r="E245" s="1960"/>
      <c r="F245" s="957"/>
      <c r="G245" s="1035"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59" t="str">
        <f>AB19</f>
        <v/>
      </c>
      <c r="E247" s="1960"/>
      <c r="F247" s="957"/>
      <c r="G247" s="985"/>
      <c r="H247" s="952" t="s">
        <v>1492</v>
      </c>
      <c r="I247" s="957"/>
      <c r="J247" s="953" t="s">
        <v>1506</v>
      </c>
      <c r="K247" s="957"/>
      <c r="L247" s="953" t="s">
        <v>1493</v>
      </c>
      <c r="M247" s="957"/>
      <c r="N247" s="953" t="s">
        <v>1507</v>
      </c>
      <c r="O247" s="957"/>
      <c r="P247" s="953" t="s">
        <v>1508</v>
      </c>
      <c r="Q247" s="957"/>
      <c r="R247" s="953" t="s">
        <v>1509</v>
      </c>
      <c r="S247" s="957"/>
      <c r="T247" s="1025"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6" t="s">
        <v>648</v>
      </c>
      <c r="U248" s="957"/>
    </row>
    <row r="249" spans="1:31" ht="30" customHeight="1" thickBot="1" x14ac:dyDescent="0.3">
      <c r="A249" s="949"/>
      <c r="B249" s="957"/>
      <c r="C249" s="951" t="s">
        <v>1495</v>
      </c>
      <c r="D249" s="1929" t="s">
        <v>648</v>
      </c>
      <c r="E249" s="1930"/>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57" t="s">
        <v>1497</v>
      </c>
      <c r="E251" s="1922"/>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961" t="s">
        <v>1679</v>
      </c>
      <c r="C253" s="1962"/>
      <c r="D253" s="1962"/>
      <c r="E253" s="1962"/>
      <c r="F253" s="1962"/>
      <c r="G253" s="1962"/>
      <c r="H253" s="1962"/>
      <c r="I253" s="1962"/>
      <c r="J253" s="1962"/>
      <c r="K253" s="1962"/>
      <c r="L253" s="1962"/>
      <c r="M253" s="1962"/>
      <c r="N253" s="1962"/>
      <c r="O253" s="1962"/>
      <c r="P253" s="1962"/>
      <c r="Q253" s="1962"/>
      <c r="R253" s="1962"/>
      <c r="S253" s="1962"/>
      <c r="T253" s="1962"/>
      <c r="U253" s="1963"/>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955" t="s">
        <v>1539</v>
      </c>
      <c r="E255" s="1956"/>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76"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76"/>
    </row>
    <row r="257" spans="1:31" s="1029" customFormat="1" ht="30" customHeight="1" thickBot="1" x14ac:dyDescent="0.3">
      <c r="B257" s="957"/>
      <c r="C257" s="950" t="s">
        <v>1491</v>
      </c>
      <c r="D257" s="1957">
        <v>1302</v>
      </c>
      <c r="E257" s="1958"/>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9" customFormat="1" ht="26.25" customHeight="1" thickBot="1" x14ac:dyDescent="0.3">
      <c r="B259" s="957"/>
      <c r="C259" s="950" t="s">
        <v>1385</v>
      </c>
      <c r="D259" s="1959" t="str">
        <f>AA20</f>
        <v/>
      </c>
      <c r="E259" s="1960"/>
      <c r="F259" s="957"/>
      <c r="G259" s="1035"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959" t="str">
        <f>AB20</f>
        <v/>
      </c>
      <c r="E261" s="1960"/>
      <c r="F261" s="957"/>
      <c r="G261" s="985"/>
      <c r="H261" s="1030" t="s">
        <v>1492</v>
      </c>
      <c r="I261" s="957"/>
      <c r="J261" s="953" t="s">
        <v>1506</v>
      </c>
      <c r="K261" s="957"/>
      <c r="L261" s="953" t="s">
        <v>1493</v>
      </c>
      <c r="M261" s="957"/>
      <c r="N261" s="953" t="s">
        <v>1507</v>
      </c>
      <c r="O261" s="957"/>
      <c r="P261" s="953" t="s">
        <v>1508</v>
      </c>
      <c r="Q261" s="957"/>
      <c r="R261" s="953" t="s">
        <v>1509</v>
      </c>
      <c r="S261" s="957"/>
      <c r="T261" s="1025" t="s">
        <v>1599</v>
      </c>
      <c r="U261" s="957"/>
    </row>
    <row r="262" spans="1:31" s="1029"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6" t="s">
        <v>648</v>
      </c>
      <c r="U262" s="957"/>
    </row>
    <row r="263" spans="1:31" s="1029" customFormat="1" ht="30" customHeight="1" thickBot="1" x14ac:dyDescent="0.3">
      <c r="B263" s="957"/>
      <c r="C263" s="951" t="s">
        <v>1495</v>
      </c>
      <c r="D263" s="1929" t="s">
        <v>648</v>
      </c>
      <c r="E263" s="1930"/>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9" customFormat="1" ht="18" customHeight="1" thickBot="1" x14ac:dyDescent="0.3">
      <c r="B265" s="957"/>
      <c r="C265" s="950" t="s">
        <v>1496</v>
      </c>
      <c r="D265" s="1957" t="s">
        <v>1497</v>
      </c>
      <c r="E265" s="1922"/>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961" t="s">
        <v>1681</v>
      </c>
      <c r="C267" s="1962"/>
      <c r="D267" s="1962"/>
      <c r="E267" s="1962"/>
      <c r="F267" s="1962"/>
      <c r="G267" s="1962"/>
      <c r="H267" s="1962"/>
      <c r="I267" s="1962"/>
      <c r="J267" s="1962"/>
      <c r="K267" s="1962"/>
      <c r="L267" s="1962"/>
      <c r="M267" s="1962"/>
      <c r="N267" s="1962"/>
      <c r="O267" s="1962"/>
      <c r="P267" s="1962"/>
      <c r="Q267" s="1962"/>
      <c r="R267" s="1962"/>
      <c r="S267" s="1962"/>
      <c r="T267" s="1962"/>
      <c r="U267" s="1963"/>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955" t="s">
        <v>1539</v>
      </c>
      <c r="E269" s="1956"/>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76"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76"/>
    </row>
    <row r="271" spans="1:31" s="1029" customFormat="1" ht="30" customHeight="1" thickBot="1" x14ac:dyDescent="0.3">
      <c r="B271" s="957"/>
      <c r="C271" s="950" t="s">
        <v>1491</v>
      </c>
      <c r="D271" s="1957">
        <v>1303</v>
      </c>
      <c r="E271" s="1958"/>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9" customFormat="1" ht="26.25" customHeight="1" thickBot="1" x14ac:dyDescent="0.3">
      <c r="B273" s="957"/>
      <c r="C273" s="950" t="s">
        <v>1385</v>
      </c>
      <c r="D273" s="1959" t="str">
        <f>AA21</f>
        <v/>
      </c>
      <c r="E273" s="1960"/>
      <c r="F273" s="957"/>
      <c r="G273" s="1035"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959" t="str">
        <f>AB21</f>
        <v/>
      </c>
      <c r="E275" s="1960"/>
      <c r="F275" s="957"/>
      <c r="G275" s="985"/>
      <c r="H275" s="1030" t="s">
        <v>1492</v>
      </c>
      <c r="I275" s="957"/>
      <c r="J275" s="953" t="s">
        <v>1506</v>
      </c>
      <c r="K275" s="957"/>
      <c r="L275" s="953" t="s">
        <v>1493</v>
      </c>
      <c r="M275" s="957"/>
      <c r="N275" s="953" t="s">
        <v>1507</v>
      </c>
      <c r="O275" s="957"/>
      <c r="P275" s="953" t="s">
        <v>1508</v>
      </c>
      <c r="Q275" s="957"/>
      <c r="R275" s="953" t="s">
        <v>1509</v>
      </c>
      <c r="S275" s="957"/>
      <c r="T275" s="1025" t="s">
        <v>1599</v>
      </c>
      <c r="U275" s="957"/>
    </row>
    <row r="276" spans="1:31" s="1029"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6" t="s">
        <v>648</v>
      </c>
      <c r="U276" s="957"/>
    </row>
    <row r="277" spans="1:31" s="1029" customFormat="1" ht="30" customHeight="1" thickBot="1" x14ac:dyDescent="0.3">
      <c r="B277" s="957"/>
      <c r="C277" s="951" t="s">
        <v>1495</v>
      </c>
      <c r="D277" s="1929" t="s">
        <v>648</v>
      </c>
      <c r="E277" s="1930"/>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9" customFormat="1" ht="18" customHeight="1" thickBot="1" x14ac:dyDescent="0.3">
      <c r="B279" s="957"/>
      <c r="C279" s="950" t="s">
        <v>1496</v>
      </c>
      <c r="D279" s="1957" t="s">
        <v>1497</v>
      </c>
      <c r="E279" s="1922"/>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961" t="s">
        <v>1682</v>
      </c>
      <c r="C281" s="1962"/>
      <c r="D281" s="1962"/>
      <c r="E281" s="1962"/>
      <c r="F281" s="1962"/>
      <c r="G281" s="1962"/>
      <c r="H281" s="1962"/>
      <c r="I281" s="1962"/>
      <c r="J281" s="1962"/>
      <c r="K281" s="1962"/>
      <c r="L281" s="1962"/>
      <c r="M281" s="1962"/>
      <c r="N281" s="1962"/>
      <c r="O281" s="1962"/>
      <c r="P281" s="1962"/>
      <c r="Q281" s="1962"/>
      <c r="R281" s="1962"/>
      <c r="S281" s="1962"/>
      <c r="T281" s="1962"/>
      <c r="U281" s="1963"/>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955" t="s">
        <v>1539</v>
      </c>
      <c r="E283" s="1956"/>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76"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76"/>
    </row>
    <row r="285" spans="1:31" s="1029" customFormat="1" ht="30" customHeight="1" thickBot="1" x14ac:dyDescent="0.3">
      <c r="B285" s="957"/>
      <c r="C285" s="950" t="s">
        <v>1491</v>
      </c>
      <c r="D285" s="1957">
        <v>1304</v>
      </c>
      <c r="E285" s="1958"/>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9" customFormat="1" ht="26.25" customHeight="1" thickBot="1" x14ac:dyDescent="0.3">
      <c r="B287" s="957"/>
      <c r="C287" s="950" t="s">
        <v>1385</v>
      </c>
      <c r="D287" s="1959" t="str">
        <f>AA22</f>
        <v/>
      </c>
      <c r="E287" s="1960"/>
      <c r="F287" s="957"/>
      <c r="G287" s="1035"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959" t="str">
        <f>AB22</f>
        <v/>
      </c>
      <c r="E289" s="1960"/>
      <c r="F289" s="957"/>
      <c r="G289" s="985"/>
      <c r="H289" s="1030" t="s">
        <v>1492</v>
      </c>
      <c r="I289" s="957"/>
      <c r="J289" s="953" t="s">
        <v>1506</v>
      </c>
      <c r="K289" s="957"/>
      <c r="L289" s="953" t="s">
        <v>1493</v>
      </c>
      <c r="M289" s="957"/>
      <c r="N289" s="953" t="s">
        <v>1507</v>
      </c>
      <c r="O289" s="957"/>
      <c r="P289" s="953" t="s">
        <v>1508</v>
      </c>
      <c r="Q289" s="957"/>
      <c r="R289" s="953" t="s">
        <v>1509</v>
      </c>
      <c r="S289" s="957"/>
      <c r="T289" s="1025" t="s">
        <v>1599</v>
      </c>
      <c r="U289" s="957"/>
    </row>
    <row r="290" spans="1:31" s="1029"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6" t="s">
        <v>648</v>
      </c>
      <c r="U290" s="957"/>
    </row>
    <row r="291" spans="1:31" s="1029" customFormat="1" ht="30" customHeight="1" thickBot="1" x14ac:dyDescent="0.3">
      <c r="B291" s="957"/>
      <c r="C291" s="951" t="s">
        <v>1495</v>
      </c>
      <c r="D291" s="1929" t="s">
        <v>648</v>
      </c>
      <c r="E291" s="1930"/>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9" customFormat="1" ht="18" customHeight="1" thickBot="1" x14ac:dyDescent="0.3">
      <c r="B293" s="957"/>
      <c r="C293" s="950" t="s">
        <v>1496</v>
      </c>
      <c r="D293" s="1957" t="s">
        <v>1497</v>
      </c>
      <c r="E293" s="1922"/>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961" t="s">
        <v>1683</v>
      </c>
      <c r="C295" s="1962"/>
      <c r="D295" s="1962"/>
      <c r="E295" s="1962"/>
      <c r="F295" s="1962"/>
      <c r="G295" s="1962"/>
      <c r="H295" s="1962"/>
      <c r="I295" s="1962"/>
      <c r="J295" s="1962"/>
      <c r="K295" s="1962"/>
      <c r="L295" s="1962"/>
      <c r="M295" s="1962"/>
      <c r="N295" s="1962"/>
      <c r="O295" s="1962"/>
      <c r="P295" s="1962"/>
      <c r="Q295" s="1962"/>
      <c r="R295" s="1962"/>
      <c r="S295" s="1962"/>
      <c r="T295" s="1962"/>
      <c r="U295" s="1963"/>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955" t="s">
        <v>1539</v>
      </c>
      <c r="E297" s="1956"/>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76"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76"/>
    </row>
    <row r="299" spans="1:31" s="1029" customFormat="1" ht="30" customHeight="1" thickBot="1" x14ac:dyDescent="0.3">
      <c r="B299" s="957"/>
      <c r="C299" s="950" t="s">
        <v>1491</v>
      </c>
      <c r="D299" s="1957">
        <v>1305</v>
      </c>
      <c r="E299" s="1958"/>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9" customFormat="1" ht="29.25" customHeight="1" thickBot="1" x14ac:dyDescent="0.3">
      <c r="B301" s="957"/>
      <c r="C301" s="950" t="s">
        <v>1385</v>
      </c>
      <c r="D301" s="1959" t="str">
        <f>AA23</f>
        <v/>
      </c>
      <c r="E301" s="1960"/>
      <c r="F301" s="957"/>
      <c r="G301" s="1035"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959" t="str">
        <f>AB23</f>
        <v/>
      </c>
      <c r="E303" s="1960"/>
      <c r="F303" s="957"/>
      <c r="G303" s="985"/>
      <c r="H303" s="1030" t="s">
        <v>1492</v>
      </c>
      <c r="I303" s="957"/>
      <c r="J303" s="953" t="s">
        <v>1506</v>
      </c>
      <c r="K303" s="957"/>
      <c r="L303" s="953" t="s">
        <v>1493</v>
      </c>
      <c r="M303" s="957"/>
      <c r="N303" s="953" t="s">
        <v>1507</v>
      </c>
      <c r="O303" s="957"/>
      <c r="P303" s="953" t="s">
        <v>1508</v>
      </c>
      <c r="Q303" s="957"/>
      <c r="R303" s="953" t="s">
        <v>1509</v>
      </c>
      <c r="S303" s="957"/>
      <c r="T303" s="1025" t="s">
        <v>1599</v>
      </c>
      <c r="U303" s="957"/>
    </row>
    <row r="304" spans="1:31" s="1029"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6" t="s">
        <v>648</v>
      </c>
      <c r="U304" s="957"/>
    </row>
    <row r="305" spans="1:31" s="1029" customFormat="1" ht="30" customHeight="1" thickBot="1" x14ac:dyDescent="0.3">
      <c r="B305" s="957"/>
      <c r="C305" s="951" t="s">
        <v>1495</v>
      </c>
      <c r="D305" s="1929" t="s">
        <v>648</v>
      </c>
      <c r="E305" s="1930"/>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9" customFormat="1" ht="18" customHeight="1" thickBot="1" x14ac:dyDescent="0.3">
      <c r="B307" s="957"/>
      <c r="C307" s="950" t="s">
        <v>1496</v>
      </c>
      <c r="D307" s="1957" t="s">
        <v>1497</v>
      </c>
      <c r="E307" s="1922"/>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50" t="s">
        <v>1542</v>
      </c>
      <c r="C309" s="1921"/>
      <c r="D309" s="1921"/>
      <c r="E309" s="1921"/>
      <c r="F309" s="1921"/>
      <c r="G309" s="1921"/>
      <c r="H309" s="1921"/>
      <c r="I309" s="1921"/>
      <c r="J309" s="1921"/>
      <c r="K309" s="1921"/>
      <c r="L309" s="1921"/>
      <c r="M309" s="1921"/>
      <c r="N309" s="1921"/>
      <c r="O309" s="1921"/>
      <c r="P309" s="1921"/>
      <c r="Q309" s="1921"/>
      <c r="R309" s="1921"/>
      <c r="S309" s="1921"/>
      <c r="T309" s="1921"/>
      <c r="U309" s="1922"/>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55" t="s">
        <v>1540</v>
      </c>
      <c r="E311" s="1956"/>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76"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76"/>
    </row>
    <row r="313" spans="1:31" ht="30" customHeight="1" thickBot="1" x14ac:dyDescent="0.3">
      <c r="A313" s="990"/>
      <c r="B313" s="957"/>
      <c r="C313" s="950" t="s">
        <v>1491</v>
      </c>
      <c r="D313" s="1957">
        <v>4001</v>
      </c>
      <c r="E313" s="1958"/>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59" t="str">
        <f>AA24</f>
        <v/>
      </c>
      <c r="E315" s="1960"/>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59" t="str">
        <f>AB24</f>
        <v/>
      </c>
      <c r="E317" s="1960"/>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29" t="s">
        <v>646</v>
      </c>
      <c r="E319" s="1930"/>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57" t="s">
        <v>1497</v>
      </c>
      <c r="E321" s="1922"/>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61" t="s">
        <v>1703</v>
      </c>
      <c r="C323" s="1962"/>
      <c r="D323" s="1962"/>
      <c r="E323" s="1962"/>
      <c r="F323" s="1962"/>
      <c r="G323" s="1962"/>
      <c r="H323" s="1962"/>
      <c r="I323" s="1962"/>
      <c r="J323" s="1962"/>
      <c r="K323" s="1962"/>
      <c r="L323" s="1962"/>
      <c r="M323" s="1962"/>
      <c r="N323" s="1962"/>
      <c r="O323" s="1962"/>
      <c r="P323" s="1962"/>
      <c r="Q323" s="1962"/>
      <c r="R323" s="1962"/>
      <c r="S323" s="1962"/>
      <c r="T323" s="1962"/>
      <c r="U323" s="1963"/>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68" t="s">
        <v>1600</v>
      </c>
      <c r="E325" s="1969"/>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76"/>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76"/>
    </row>
    <row r="327" spans="1:31" ht="30.75" thickBot="1" x14ac:dyDescent="0.3">
      <c r="A327" s="992"/>
      <c r="B327" s="993"/>
      <c r="C327" s="994" t="s">
        <v>1491</v>
      </c>
      <c r="D327" s="1970">
        <v>4601</v>
      </c>
      <c r="E327" s="1971"/>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59" t="str">
        <f>AA25</f>
        <v/>
      </c>
      <c r="E329" s="1960"/>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59" t="str">
        <f>AB25</f>
        <v/>
      </c>
      <c r="E331" s="1960"/>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29" t="s">
        <v>646</v>
      </c>
      <c r="E333" s="1930"/>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70" t="s">
        <v>1606</v>
      </c>
      <c r="E335" s="1963"/>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61" t="s">
        <v>1704</v>
      </c>
      <c r="C337" s="1962"/>
      <c r="D337" s="1962"/>
      <c r="E337" s="1962"/>
      <c r="F337" s="1962"/>
      <c r="G337" s="1962"/>
      <c r="H337" s="1962"/>
      <c r="I337" s="1962"/>
      <c r="J337" s="1962"/>
      <c r="K337" s="1962"/>
      <c r="L337" s="1962"/>
      <c r="M337" s="1962"/>
      <c r="N337" s="1962"/>
      <c r="O337" s="1962"/>
      <c r="P337" s="1962"/>
      <c r="Q337" s="1962"/>
      <c r="R337" s="1962"/>
      <c r="S337" s="1962"/>
      <c r="T337" s="1962"/>
      <c r="U337" s="1963"/>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68" t="s">
        <v>1600</v>
      </c>
      <c r="E339" s="1969"/>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76"/>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76"/>
    </row>
    <row r="341" spans="1:31" ht="30.75" thickBot="1" x14ac:dyDescent="0.3">
      <c r="A341" s="992"/>
      <c r="B341" s="993"/>
      <c r="C341" s="994" t="s">
        <v>1491</v>
      </c>
      <c r="D341" s="1970">
        <v>4602</v>
      </c>
      <c r="E341" s="1971"/>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59" t="str">
        <f>AA26</f>
        <v/>
      </c>
      <c r="E343" s="1960"/>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59" t="str">
        <f>AB26</f>
        <v/>
      </c>
      <c r="E345" s="1960"/>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29" t="s">
        <v>646</v>
      </c>
      <c r="E347" s="1930"/>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70" t="s">
        <v>1606</v>
      </c>
      <c r="E349" s="1963"/>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72" t="s">
        <v>1895</v>
      </c>
      <c r="C351" s="1973"/>
      <c r="D351" s="1973"/>
      <c r="E351" s="1973"/>
      <c r="F351" s="1973"/>
      <c r="G351" s="1973"/>
      <c r="H351" s="1973"/>
      <c r="I351" s="1973"/>
      <c r="J351" s="1973"/>
      <c r="K351" s="1973"/>
      <c r="L351" s="1973"/>
      <c r="M351" s="1973"/>
      <c r="N351" s="1973"/>
      <c r="O351" s="1973"/>
      <c r="P351" s="1973"/>
      <c r="Q351" s="1973"/>
      <c r="R351" s="1973"/>
      <c r="S351" s="1973"/>
      <c r="T351" s="1973"/>
      <c r="U351" s="1974"/>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68" t="s">
        <v>1630</v>
      </c>
      <c r="E353" s="1969"/>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76"/>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76"/>
    </row>
    <row r="355" spans="1:31" ht="30.75" thickBot="1" x14ac:dyDescent="0.3">
      <c r="A355" s="992"/>
      <c r="B355" s="993"/>
      <c r="C355" s="994" t="s">
        <v>1491</v>
      </c>
      <c r="D355" s="1970">
        <v>4901</v>
      </c>
      <c r="E355" s="1971"/>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59" t="str">
        <f>AA27</f>
        <v/>
      </c>
      <c r="E357" s="1960"/>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59" t="str">
        <f>AB27</f>
        <v/>
      </c>
      <c r="E359" s="1960"/>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29" t="s">
        <v>646</v>
      </c>
      <c r="E361" s="1930"/>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70" t="s">
        <v>1606</v>
      </c>
      <c r="E363" s="1963"/>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61" t="s">
        <v>1607</v>
      </c>
      <c r="C365" s="1962"/>
      <c r="D365" s="1962"/>
      <c r="E365" s="1962"/>
      <c r="F365" s="1962"/>
      <c r="G365" s="1962"/>
      <c r="H365" s="1962"/>
      <c r="I365" s="1962"/>
      <c r="J365" s="1962"/>
      <c r="K365" s="1962"/>
      <c r="L365" s="1962"/>
      <c r="M365" s="1962"/>
      <c r="N365" s="1962"/>
      <c r="O365" s="1962"/>
      <c r="P365" s="1962"/>
      <c r="Q365" s="1962"/>
      <c r="R365" s="1962"/>
      <c r="S365" s="1962"/>
      <c r="T365" s="1962"/>
      <c r="U365" s="1963"/>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68" t="s">
        <v>1608</v>
      </c>
      <c r="E367" s="1969"/>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76"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76"/>
    </row>
    <row r="369" spans="1:31" ht="30.75" thickBot="1" x14ac:dyDescent="0.3">
      <c r="A369" s="992"/>
      <c r="B369" s="993"/>
      <c r="C369" s="994" t="s">
        <v>1491</v>
      </c>
      <c r="D369" s="1970">
        <v>5001</v>
      </c>
      <c r="E369" s="1971"/>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59" t="str">
        <f>AA28</f>
        <v/>
      </c>
      <c r="E371" s="1960"/>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59" t="str">
        <f>AB28</f>
        <v/>
      </c>
      <c r="E373" s="1960"/>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29" t="s">
        <v>646</v>
      </c>
      <c r="E375" s="1930"/>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70" t="s">
        <v>1497</v>
      </c>
      <c r="E377" s="1963"/>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61" t="s">
        <v>1609</v>
      </c>
      <c r="C379" s="1962"/>
      <c r="D379" s="1962"/>
      <c r="E379" s="1962"/>
      <c r="F379" s="1962"/>
      <c r="G379" s="1962"/>
      <c r="H379" s="1962"/>
      <c r="I379" s="1962"/>
      <c r="J379" s="1962"/>
      <c r="K379" s="1962"/>
      <c r="L379" s="1962"/>
      <c r="M379" s="1962"/>
      <c r="N379" s="1962"/>
      <c r="O379" s="1962"/>
      <c r="P379" s="1962"/>
      <c r="Q379" s="1962"/>
      <c r="R379" s="1962"/>
      <c r="S379" s="1962"/>
      <c r="T379" s="1962"/>
      <c r="U379" s="1963"/>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55" t="s">
        <v>1133</v>
      </c>
      <c r="E381" s="1956"/>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76"/>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76"/>
    </row>
    <row r="383" spans="1:31" ht="30.75" thickBot="1" x14ac:dyDescent="0.3">
      <c r="A383" s="992"/>
      <c r="B383" s="957"/>
      <c r="C383" s="953" t="s">
        <v>1491</v>
      </c>
      <c r="D383" s="1957">
        <v>801</v>
      </c>
      <c r="E383" s="1958"/>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59" t="str">
        <f>AA29</f>
        <v/>
      </c>
      <c r="E385" s="1960"/>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59" t="str">
        <f>AB29</f>
        <v/>
      </c>
      <c r="E387" s="1960"/>
      <c r="F387" s="957"/>
      <c r="G387" s="957"/>
      <c r="H387" s="228" t="s">
        <v>1478</v>
      </c>
      <c r="I387" s="957"/>
      <c r="J387" s="228" t="s">
        <v>1479</v>
      </c>
      <c r="K387" s="957"/>
      <c r="L387" s="1036" t="s">
        <v>1135</v>
      </c>
      <c r="M387" s="957"/>
      <c r="N387" s="1036"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1495</v>
      </c>
      <c r="D389" s="1929" t="s">
        <v>646</v>
      </c>
      <c r="E389" s="1930"/>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57" t="s">
        <v>1606</v>
      </c>
      <c r="E391" s="1922"/>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50" t="s">
        <v>1611</v>
      </c>
      <c r="C393" s="1921"/>
      <c r="D393" s="1921"/>
      <c r="E393" s="1921"/>
      <c r="F393" s="1921"/>
      <c r="G393" s="1921"/>
      <c r="H393" s="1921"/>
      <c r="I393" s="1921"/>
      <c r="J393" s="1921"/>
      <c r="K393" s="1921"/>
      <c r="L393" s="1921"/>
      <c r="M393" s="1921"/>
      <c r="N393" s="1921"/>
      <c r="O393" s="1921"/>
      <c r="P393" s="1921"/>
      <c r="Q393" s="1921"/>
      <c r="R393" s="1921"/>
      <c r="S393" s="1921"/>
      <c r="T393" s="1921"/>
      <c r="U393" s="1922"/>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55" t="s">
        <v>1612</v>
      </c>
      <c r="E395" s="1956"/>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76"/>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76"/>
    </row>
    <row r="397" spans="1:31" ht="30.75" thickBot="1" x14ac:dyDescent="0.3">
      <c r="A397" s="992"/>
      <c r="B397" s="957"/>
      <c r="C397" s="950" t="s">
        <v>1491</v>
      </c>
      <c r="D397" s="1957">
        <v>901</v>
      </c>
      <c r="E397" s="1958"/>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59" t="str">
        <f>AA30</f>
        <v/>
      </c>
      <c r="E399" s="1960"/>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59" t="str">
        <f>AB30</f>
        <v/>
      </c>
      <c r="E401" s="1960"/>
      <c r="F401" s="957"/>
      <c r="G401" s="957"/>
      <c r="H401" s="228" t="s">
        <v>1478</v>
      </c>
      <c r="I401" s="957"/>
      <c r="J401" s="228" t="s">
        <v>1479</v>
      </c>
      <c r="K401" s="957"/>
      <c r="L401" s="1036" t="s">
        <v>1135</v>
      </c>
      <c r="M401" s="957"/>
      <c r="N401" s="1036"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29" t="s">
        <v>646</v>
      </c>
      <c r="E403" s="1930"/>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57" t="s">
        <v>1606</v>
      </c>
      <c r="E405" s="1922"/>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50" t="s">
        <v>1613</v>
      </c>
      <c r="C407" s="1921"/>
      <c r="D407" s="1921"/>
      <c r="E407" s="1921"/>
      <c r="F407" s="1921"/>
      <c r="G407" s="1921"/>
      <c r="H407" s="1921"/>
      <c r="I407" s="1921"/>
      <c r="J407" s="1921"/>
      <c r="K407" s="1921"/>
      <c r="L407" s="1921"/>
      <c r="M407" s="1921"/>
      <c r="N407" s="1921"/>
      <c r="O407" s="1921"/>
      <c r="P407" s="1921"/>
      <c r="Q407" s="1921"/>
      <c r="R407" s="1921"/>
      <c r="S407" s="1921"/>
      <c r="T407" s="1921"/>
      <c r="U407" s="1922"/>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55" t="s">
        <v>1614</v>
      </c>
      <c r="E409" s="1956"/>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76"/>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76"/>
    </row>
    <row r="411" spans="1:31" ht="30.75" thickBot="1" x14ac:dyDescent="0.3">
      <c r="A411" s="992"/>
      <c r="B411" s="957"/>
      <c r="C411" s="950" t="s">
        <v>1491</v>
      </c>
      <c r="D411" s="1957">
        <v>501</v>
      </c>
      <c r="E411" s="1958"/>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59" t="str">
        <f>AA31</f>
        <v/>
      </c>
      <c r="E413" s="1960"/>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59" t="str">
        <f>AB31</f>
        <v/>
      </c>
      <c r="E415" s="1960"/>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29" t="s">
        <v>646</v>
      </c>
      <c r="E417" s="1930"/>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57" t="s">
        <v>1606</v>
      </c>
      <c r="E419" s="1922"/>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50" t="s">
        <v>1615</v>
      </c>
      <c r="C421" s="1921"/>
      <c r="D421" s="1921"/>
      <c r="E421" s="1921"/>
      <c r="F421" s="1921"/>
      <c r="G421" s="1921"/>
      <c r="H421" s="1921"/>
      <c r="I421" s="1921"/>
      <c r="J421" s="1921"/>
      <c r="K421" s="1921"/>
      <c r="L421" s="1921"/>
      <c r="M421" s="1921"/>
      <c r="N421" s="1921"/>
      <c r="O421" s="1921"/>
      <c r="P421" s="1921"/>
      <c r="Q421" s="1921"/>
      <c r="R421" s="1921"/>
      <c r="S421" s="1921"/>
      <c r="T421" s="1921"/>
      <c r="U421" s="1922"/>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55" t="s">
        <v>1614</v>
      </c>
      <c r="E423" s="1956"/>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76"/>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76"/>
    </row>
    <row r="425" spans="1:31" ht="30.75" thickBot="1" x14ac:dyDescent="0.3">
      <c r="A425" s="992"/>
      <c r="B425" s="957"/>
      <c r="C425" s="950" t="s">
        <v>1491</v>
      </c>
      <c r="D425" s="1975">
        <v>502</v>
      </c>
      <c r="E425" s="1958"/>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59" t="str">
        <f>AA32</f>
        <v/>
      </c>
      <c r="E427" s="1960"/>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59" t="str">
        <f>AB32</f>
        <v/>
      </c>
      <c r="E429" s="1960"/>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29" t="s">
        <v>646</v>
      </c>
      <c r="E431" s="1930"/>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57" t="s">
        <v>1606</v>
      </c>
      <c r="E433" s="1922"/>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50" t="s">
        <v>1616</v>
      </c>
      <c r="C435" s="1921"/>
      <c r="D435" s="1921"/>
      <c r="E435" s="1921"/>
      <c r="F435" s="1921"/>
      <c r="G435" s="1921"/>
      <c r="H435" s="1921"/>
      <c r="I435" s="1921"/>
      <c r="J435" s="1921"/>
      <c r="K435" s="1921"/>
      <c r="L435" s="1921"/>
      <c r="M435" s="1921"/>
      <c r="N435" s="1921"/>
      <c r="O435" s="1921"/>
      <c r="P435" s="1921"/>
      <c r="Q435" s="1921"/>
      <c r="R435" s="1921"/>
      <c r="S435" s="1921"/>
      <c r="T435" s="1921"/>
      <c r="U435" s="1922"/>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55" t="s">
        <v>1617</v>
      </c>
      <c r="E437" s="1956"/>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76"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76"/>
    </row>
    <row r="439" spans="1:31" ht="30.75" thickBot="1" x14ac:dyDescent="0.3">
      <c r="A439" s="992"/>
      <c r="B439" s="957"/>
      <c r="C439" s="950" t="s">
        <v>1491</v>
      </c>
      <c r="D439" s="1957">
        <v>5601</v>
      </c>
      <c r="E439" s="1958"/>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59" t="str">
        <f>AA33</f>
        <v/>
      </c>
      <c r="E441" s="1960"/>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59" t="str">
        <f>AB33</f>
        <v/>
      </c>
      <c r="E443" s="1960"/>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29" t="s">
        <v>646</v>
      </c>
      <c r="E445" s="1930"/>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57" t="s">
        <v>1606</v>
      </c>
      <c r="E447" s="1922"/>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50" t="s">
        <v>1618</v>
      </c>
      <c r="C449" s="1921"/>
      <c r="D449" s="1921"/>
      <c r="E449" s="1921"/>
      <c r="F449" s="1921"/>
      <c r="G449" s="1921"/>
      <c r="H449" s="1921"/>
      <c r="I449" s="1921"/>
      <c r="J449" s="1921"/>
      <c r="K449" s="1921"/>
      <c r="L449" s="1921"/>
      <c r="M449" s="1921"/>
      <c r="N449" s="1921"/>
      <c r="O449" s="1921"/>
      <c r="P449" s="1921"/>
      <c r="Q449" s="1921"/>
      <c r="R449" s="1921"/>
      <c r="S449" s="1921"/>
      <c r="T449" s="1921"/>
      <c r="U449" s="1922"/>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55" t="s">
        <v>1617</v>
      </c>
      <c r="E451" s="1956"/>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76"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76"/>
    </row>
    <row r="453" spans="1:31" ht="30.75" thickBot="1" x14ac:dyDescent="0.3">
      <c r="A453" s="992"/>
      <c r="B453" s="957"/>
      <c r="C453" s="950" t="s">
        <v>1491</v>
      </c>
      <c r="D453" s="1957">
        <v>5602</v>
      </c>
      <c r="E453" s="1958"/>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59" t="str">
        <f>AA34</f>
        <v/>
      </c>
      <c r="E455" s="1960"/>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59" t="str">
        <f>AB34</f>
        <v/>
      </c>
      <c r="E457" s="1960"/>
      <c r="F457" s="957"/>
      <c r="G457" s="957"/>
      <c r="H457" s="1028"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29" t="s">
        <v>646</v>
      </c>
      <c r="E459" s="1930"/>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57" t="s">
        <v>1606</v>
      </c>
      <c r="E461" s="1922"/>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50" t="s">
        <v>1619</v>
      </c>
      <c r="C463" s="1921"/>
      <c r="D463" s="1921"/>
      <c r="E463" s="1921"/>
      <c r="F463" s="1921"/>
      <c r="G463" s="1921"/>
      <c r="H463" s="1921"/>
      <c r="I463" s="1921"/>
      <c r="J463" s="1921"/>
      <c r="K463" s="1921"/>
      <c r="L463" s="1921"/>
      <c r="M463" s="1921"/>
      <c r="N463" s="1921"/>
      <c r="O463" s="1921"/>
      <c r="P463" s="1921"/>
      <c r="Q463" s="1921"/>
      <c r="R463" s="1921"/>
      <c r="S463" s="1921"/>
      <c r="T463" s="1921"/>
      <c r="U463" s="1922"/>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55" t="s">
        <v>1620</v>
      </c>
      <c r="E465" s="1956"/>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76"/>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76"/>
    </row>
    <row r="467" spans="1:31" ht="30.75" thickBot="1" x14ac:dyDescent="0.3">
      <c r="A467" s="992"/>
      <c r="B467" s="957"/>
      <c r="C467" s="950" t="s">
        <v>1491</v>
      </c>
      <c r="D467" s="1957">
        <v>601</v>
      </c>
      <c r="E467" s="1958"/>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52" t="s">
        <v>1621</v>
      </c>
      <c r="O468" s="1952"/>
      <c r="P468" s="1952"/>
      <c r="Q468" s="957"/>
      <c r="R468" s="953" t="s">
        <v>1603</v>
      </c>
      <c r="S468" s="957"/>
      <c r="T468" s="953" t="s">
        <v>1604</v>
      </c>
      <c r="U468" s="957"/>
    </row>
    <row r="469" spans="1:31" ht="30.75" customHeight="1" thickBot="1" x14ac:dyDescent="0.3">
      <c r="A469" s="992"/>
      <c r="B469" s="957"/>
      <c r="C469" s="950" t="s">
        <v>1385</v>
      </c>
      <c r="D469" s="1959" t="str">
        <f>AA35</f>
        <v/>
      </c>
      <c r="E469" s="1960"/>
      <c r="F469" s="957"/>
      <c r="G469" s="957"/>
      <c r="H469" s="918"/>
      <c r="I469" s="957"/>
      <c r="J469" s="919">
        <v>1</v>
      </c>
      <c r="K469" s="957"/>
      <c r="L469" s="918"/>
      <c r="M469" s="957"/>
      <c r="N469" s="1953" t="s">
        <v>1622</v>
      </c>
      <c r="O469" s="1953"/>
      <c r="P469" s="1953"/>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54" t="s">
        <v>1623</v>
      </c>
      <c r="O470" s="1954"/>
      <c r="P470" s="1954"/>
      <c r="Q470" s="957"/>
      <c r="R470" s="957"/>
      <c r="S470" s="957"/>
      <c r="T470" s="957"/>
      <c r="U470" s="957"/>
    </row>
    <row r="471" spans="1:31" ht="30.75" thickBot="1" x14ac:dyDescent="0.3">
      <c r="A471" s="992"/>
      <c r="B471" s="957"/>
      <c r="C471" s="950" t="s">
        <v>1386</v>
      </c>
      <c r="D471" s="1959" t="str">
        <f>AB35</f>
        <v/>
      </c>
      <c r="E471" s="1960"/>
      <c r="F471" s="957"/>
      <c r="G471" s="957"/>
      <c r="H471" s="952" t="s">
        <v>1492</v>
      </c>
      <c r="I471" s="957"/>
      <c r="J471" s="919">
        <v>3</v>
      </c>
      <c r="K471" s="957"/>
      <c r="L471" s="944"/>
      <c r="M471" s="957"/>
      <c r="N471" s="1954" t="s">
        <v>1624</v>
      </c>
      <c r="O471" s="1954"/>
      <c r="P471" s="1954"/>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53" t="s">
        <v>1625</v>
      </c>
      <c r="O472" s="1953"/>
      <c r="P472" s="1953"/>
      <c r="Q472" s="957"/>
      <c r="R472" s="957"/>
      <c r="S472" s="957"/>
      <c r="T472" s="981" t="s">
        <v>648</v>
      </c>
      <c r="U472" s="957"/>
    </row>
    <row r="473" spans="1:31" ht="30.75" thickBot="1" x14ac:dyDescent="0.3">
      <c r="A473" s="992"/>
      <c r="B473" s="957"/>
      <c r="C473" s="951" t="s">
        <v>1495</v>
      </c>
      <c r="D473" s="1929" t="s">
        <v>646</v>
      </c>
      <c r="E473" s="1930"/>
      <c r="F473" s="957"/>
      <c r="G473" s="957"/>
      <c r="H473" s="957"/>
      <c r="I473" s="957"/>
      <c r="J473" s="919">
        <v>5</v>
      </c>
      <c r="K473" s="957"/>
      <c r="L473" s="944"/>
      <c r="M473" s="957"/>
      <c r="N473" s="1953" t="s">
        <v>1626</v>
      </c>
      <c r="O473" s="1953"/>
      <c r="P473" s="1953"/>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57" t="s">
        <v>1606</v>
      </c>
      <c r="E475" s="1922"/>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50" t="s">
        <v>1627</v>
      </c>
      <c r="C477" s="1921"/>
      <c r="D477" s="1921"/>
      <c r="E477" s="1921"/>
      <c r="F477" s="1921"/>
      <c r="G477" s="1921"/>
      <c r="H477" s="1921"/>
      <c r="I477" s="1921"/>
      <c r="J477" s="1921"/>
      <c r="K477" s="1921"/>
      <c r="L477" s="1921"/>
      <c r="M477" s="1921"/>
      <c r="N477" s="1921"/>
      <c r="O477" s="1921"/>
      <c r="P477" s="1921"/>
      <c r="Q477" s="1921"/>
      <c r="R477" s="1921"/>
      <c r="S477" s="1921"/>
      <c r="T477" s="1921"/>
      <c r="U477" s="1922"/>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55" t="s">
        <v>1620</v>
      </c>
      <c r="E479" s="1956"/>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76"/>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76"/>
    </row>
    <row r="481" spans="1:31" ht="30.75" thickBot="1" x14ac:dyDescent="0.3">
      <c r="A481" s="992"/>
      <c r="B481" s="957"/>
      <c r="C481" s="950" t="s">
        <v>1491</v>
      </c>
      <c r="D481" s="1957">
        <v>602</v>
      </c>
      <c r="E481" s="1958"/>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52" t="s">
        <v>1621</v>
      </c>
      <c r="O482" s="1952"/>
      <c r="P482" s="1952"/>
      <c r="Q482" s="957"/>
      <c r="R482" s="953" t="s">
        <v>1603</v>
      </c>
      <c r="S482" s="957"/>
      <c r="T482" s="953" t="s">
        <v>1604</v>
      </c>
      <c r="U482" s="957"/>
    </row>
    <row r="483" spans="1:31" ht="30.75" customHeight="1" thickBot="1" x14ac:dyDescent="0.3">
      <c r="A483" s="992"/>
      <c r="B483" s="957"/>
      <c r="C483" s="950" t="s">
        <v>1385</v>
      </c>
      <c r="D483" s="1959" t="str">
        <f>AA36</f>
        <v/>
      </c>
      <c r="E483" s="1960"/>
      <c r="F483" s="957"/>
      <c r="G483" s="957"/>
      <c r="H483" s="980"/>
      <c r="I483" s="957"/>
      <c r="J483" s="919">
        <v>1</v>
      </c>
      <c r="K483" s="957"/>
      <c r="L483" s="944"/>
      <c r="M483" s="957"/>
      <c r="N483" s="1953" t="s">
        <v>1622</v>
      </c>
      <c r="O483" s="1953"/>
      <c r="P483" s="1953"/>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53" t="s">
        <v>1623</v>
      </c>
      <c r="O484" s="1953"/>
      <c r="P484" s="1953"/>
      <c r="Q484" s="957"/>
      <c r="R484" s="957"/>
      <c r="S484" s="957"/>
      <c r="T484" s="957"/>
      <c r="U484" s="957"/>
    </row>
    <row r="485" spans="1:31" ht="30.75" thickBot="1" x14ac:dyDescent="0.3">
      <c r="A485" s="992"/>
      <c r="B485" s="957"/>
      <c r="C485" s="950" t="s">
        <v>1386</v>
      </c>
      <c r="D485" s="1959" t="str">
        <f>AB36</f>
        <v/>
      </c>
      <c r="E485" s="1960"/>
      <c r="F485" s="957"/>
      <c r="G485" s="957"/>
      <c r="H485" s="952" t="s">
        <v>1492</v>
      </c>
      <c r="I485" s="957"/>
      <c r="J485" s="919">
        <v>3</v>
      </c>
      <c r="K485" s="957"/>
      <c r="L485" s="944"/>
      <c r="M485" s="957"/>
      <c r="N485" s="1953" t="s">
        <v>1624</v>
      </c>
      <c r="O485" s="1953"/>
      <c r="P485" s="1953"/>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53" t="s">
        <v>1625</v>
      </c>
      <c r="O486" s="1953"/>
      <c r="P486" s="1953"/>
      <c r="Q486" s="957"/>
      <c r="R486" s="957"/>
      <c r="S486" s="957"/>
      <c r="T486" s="981" t="s">
        <v>648</v>
      </c>
      <c r="U486" s="957"/>
    </row>
    <row r="487" spans="1:31" ht="30.75" thickBot="1" x14ac:dyDescent="0.3">
      <c r="A487" s="992"/>
      <c r="B487" s="957"/>
      <c r="C487" s="951" t="s">
        <v>1495</v>
      </c>
      <c r="D487" s="1929" t="s">
        <v>646</v>
      </c>
      <c r="E487" s="1930"/>
      <c r="F487" s="957"/>
      <c r="G487" s="957"/>
      <c r="H487" s="957"/>
      <c r="I487" s="957"/>
      <c r="J487" s="919">
        <v>5</v>
      </c>
      <c r="K487" s="957"/>
      <c r="L487" s="944"/>
      <c r="M487" s="957"/>
      <c r="N487" s="1953" t="s">
        <v>1626</v>
      </c>
      <c r="O487" s="1953"/>
      <c r="P487" s="1953"/>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57" t="s">
        <v>1606</v>
      </c>
      <c r="E489" s="1922"/>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50" t="s">
        <v>1628</v>
      </c>
      <c r="C491" s="1921"/>
      <c r="D491" s="1921"/>
      <c r="E491" s="1921"/>
      <c r="F491" s="1921"/>
      <c r="G491" s="1921"/>
      <c r="H491" s="1921"/>
      <c r="I491" s="1921"/>
      <c r="J491" s="1921"/>
      <c r="K491" s="1921"/>
      <c r="L491" s="1921"/>
      <c r="M491" s="1921"/>
      <c r="N491" s="1921"/>
      <c r="O491" s="1921"/>
      <c r="P491" s="1921"/>
      <c r="Q491" s="1921"/>
      <c r="R491" s="1921"/>
      <c r="S491" s="1921"/>
      <c r="T491" s="1921"/>
      <c r="U491" s="1922"/>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55" t="s">
        <v>1629</v>
      </c>
      <c r="E493" s="1956"/>
      <c r="F493" s="957"/>
      <c r="G493" s="957"/>
      <c r="H493" s="957"/>
      <c r="I493" s="957"/>
      <c r="J493" s="953" t="s">
        <v>1381</v>
      </c>
      <c r="K493" s="957"/>
      <c r="L493" s="953" t="s">
        <v>1397</v>
      </c>
      <c r="M493" s="957"/>
      <c r="N493" s="957"/>
      <c r="O493" s="957"/>
      <c r="P493" s="957"/>
      <c r="Q493" s="957"/>
      <c r="R493" s="957"/>
      <c r="S493" s="957"/>
      <c r="T493" s="957"/>
      <c r="U493" s="957"/>
      <c r="AE493" s="1976"/>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76"/>
    </row>
    <row r="495" spans="1:31" ht="30.75" thickBot="1" x14ac:dyDescent="0.3">
      <c r="A495" s="992"/>
      <c r="B495" s="957"/>
      <c r="C495" s="950" t="s">
        <v>1491</v>
      </c>
      <c r="D495" s="1957">
        <v>1001</v>
      </c>
      <c r="E495" s="1958"/>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59" t="str">
        <f>AA37</f>
        <v/>
      </c>
      <c r="E497" s="1960"/>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59" t="str">
        <f>AB37</f>
        <v/>
      </c>
      <c r="E499" s="1960"/>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29" t="s">
        <v>646</v>
      </c>
      <c r="E501" s="1930"/>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50" t="s">
        <v>2008</v>
      </c>
      <c r="C503" s="1921"/>
      <c r="D503" s="1921"/>
      <c r="E503" s="1921"/>
      <c r="F503" s="1921"/>
      <c r="G503" s="1921"/>
      <c r="H503" s="1921"/>
      <c r="I503" s="1921"/>
      <c r="J503" s="1921"/>
      <c r="K503" s="1921"/>
      <c r="L503" s="1921"/>
      <c r="M503" s="1921"/>
      <c r="N503" s="1921"/>
      <c r="O503" s="1921"/>
      <c r="P503" s="1921"/>
      <c r="Q503" s="1921"/>
      <c r="R503" s="1921"/>
      <c r="S503" s="1921"/>
      <c r="T503" s="1921"/>
      <c r="U503" s="1922"/>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55" t="s">
        <v>1775</v>
      </c>
      <c r="E505" s="1956"/>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1602</v>
      </c>
      <c r="S506" s="957"/>
      <c r="T506" s="1334" t="s">
        <v>646</v>
      </c>
      <c r="U506" s="957"/>
    </row>
    <row r="507" spans="1:21" ht="30.75" thickBot="1" x14ac:dyDescent="0.3">
      <c r="A507" s="565"/>
      <c r="B507" s="957"/>
      <c r="C507" s="950" t="s">
        <v>1491</v>
      </c>
      <c r="D507" s="1957">
        <v>5301</v>
      </c>
      <c r="E507" s="1958"/>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59" t="str">
        <f>IF(T515="Yes",Incentives!E229,"")</f>
        <v/>
      </c>
      <c r="E509" s="1960"/>
      <c r="F509" s="957"/>
      <c r="G509" s="957"/>
      <c r="H509" s="1337" t="str">
        <f>IF(T515="Yes",Incentives!G230,"")</f>
        <v/>
      </c>
      <c r="I509" s="957"/>
      <c r="J509" s="957"/>
      <c r="K509" s="957"/>
      <c r="L509" s="957"/>
      <c r="M509" s="957"/>
      <c r="N509" s="957"/>
      <c r="O509" s="957"/>
      <c r="P509" s="957"/>
      <c r="Q509" s="957"/>
      <c r="R509" s="1334" t="s">
        <v>1610</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59" t="str">
        <f>IF(T515="Yes",Incentives!E230,"")</f>
        <v/>
      </c>
      <c r="E511" s="1960"/>
      <c r="F511" s="957"/>
      <c r="G511" s="957"/>
      <c r="H511" s="1363" t="s">
        <v>1492</v>
      </c>
      <c r="I511" s="957"/>
      <c r="J511" s="1364" t="s">
        <v>2005</v>
      </c>
      <c r="K511" s="957"/>
      <c r="L511" s="1610"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1495</v>
      </c>
      <c r="D513" s="1975" t="s">
        <v>648</v>
      </c>
      <c r="E513" s="1958"/>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57" t="s">
        <v>1606</v>
      </c>
      <c r="E515" s="1922"/>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50" t="s">
        <v>2009</v>
      </c>
      <c r="C517" s="1921"/>
      <c r="D517" s="1921"/>
      <c r="E517" s="1921"/>
      <c r="F517" s="1921"/>
      <c r="G517" s="1921"/>
      <c r="H517" s="1921"/>
      <c r="I517" s="1921"/>
      <c r="J517" s="1921"/>
      <c r="K517" s="1921"/>
      <c r="L517" s="1921"/>
      <c r="M517" s="1921"/>
      <c r="N517" s="1921"/>
      <c r="O517" s="1921"/>
      <c r="P517" s="1921"/>
      <c r="Q517" s="1921"/>
      <c r="R517" s="1921"/>
      <c r="S517" s="1921"/>
      <c r="T517" s="1921"/>
      <c r="U517" s="1922"/>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55" t="s">
        <v>1775</v>
      </c>
      <c r="E519" s="1956"/>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1602</v>
      </c>
      <c r="S520" s="957"/>
      <c r="T520" s="1334" t="s">
        <v>646</v>
      </c>
      <c r="U520" s="957"/>
    </row>
    <row r="521" spans="1:21" ht="30.75" thickBot="1" x14ac:dyDescent="0.3">
      <c r="A521" s="565"/>
      <c r="B521" s="957"/>
      <c r="C521" s="950" t="s">
        <v>1491</v>
      </c>
      <c r="D521" s="1957">
        <v>5302</v>
      </c>
      <c r="E521" s="1958"/>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59" t="str">
        <f>IF(T529="Yes",Incentives!E240,"")</f>
        <v/>
      </c>
      <c r="E523" s="1960"/>
      <c r="F523" s="957"/>
      <c r="G523" s="957"/>
      <c r="H523" s="1337" t="str">
        <f>IF(T529="Yes",Incentives!G241,"")</f>
        <v/>
      </c>
      <c r="I523" s="957"/>
      <c r="J523" s="957"/>
      <c r="K523" s="957"/>
      <c r="L523" s="957"/>
      <c r="M523" s="957"/>
      <c r="N523" s="957"/>
      <c r="O523" s="957"/>
      <c r="P523" s="957"/>
      <c r="Q523" s="957"/>
      <c r="R523" s="1334" t="s">
        <v>1610</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59" t="str">
        <f>IF(T529="Yes",Incentives!E241,"")</f>
        <v/>
      </c>
      <c r="E525" s="1960"/>
      <c r="F525" s="957"/>
      <c r="G525" s="957"/>
      <c r="H525" s="1363" t="s">
        <v>1492</v>
      </c>
      <c r="I525" s="957"/>
      <c r="J525" s="1363" t="s">
        <v>2005</v>
      </c>
      <c r="K525" s="957"/>
      <c r="L525" s="1610"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1495</v>
      </c>
      <c r="D527" s="1975" t="s">
        <v>648</v>
      </c>
      <c r="E527" s="1958"/>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57" t="s">
        <v>1606</v>
      </c>
      <c r="E529" s="1922"/>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50" t="s">
        <v>2010</v>
      </c>
      <c r="C531" s="1921"/>
      <c r="D531" s="1921"/>
      <c r="E531" s="1921"/>
      <c r="F531" s="1921"/>
      <c r="G531" s="1921"/>
      <c r="H531" s="1921"/>
      <c r="I531" s="1921"/>
      <c r="J531" s="1921"/>
      <c r="K531" s="1921"/>
      <c r="L531" s="1921"/>
      <c r="M531" s="1921"/>
      <c r="N531" s="1921"/>
      <c r="O531" s="1921"/>
      <c r="P531" s="1921"/>
      <c r="Q531" s="1921"/>
      <c r="R531" s="1921"/>
      <c r="S531" s="1921"/>
      <c r="T531" s="1921"/>
      <c r="U531" s="1922"/>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55" t="s">
        <v>1775</v>
      </c>
      <c r="E533" s="1956"/>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1602</v>
      </c>
      <c r="S534" s="957"/>
      <c r="T534" s="1334" t="s">
        <v>646</v>
      </c>
      <c r="U534" s="957"/>
    </row>
    <row r="535" spans="1:21" ht="30.75" thickBot="1" x14ac:dyDescent="0.3">
      <c r="A535" s="565"/>
      <c r="B535" s="957"/>
      <c r="C535" s="950" t="s">
        <v>1491</v>
      </c>
      <c r="D535" s="1957">
        <v>5303</v>
      </c>
      <c r="E535" s="1958"/>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59" t="str">
        <f>IF(T543="Yes",Incentives!E251,"")</f>
        <v/>
      </c>
      <c r="E537" s="1960"/>
      <c r="F537" s="957"/>
      <c r="G537" s="957"/>
      <c r="H537" s="1337" t="str">
        <f>IF(T543="Yes",Incentives!G252,"")</f>
        <v/>
      </c>
      <c r="I537" s="957"/>
      <c r="J537" s="957"/>
      <c r="K537" s="957"/>
      <c r="L537" s="957"/>
      <c r="M537" s="957"/>
      <c r="N537" s="957"/>
      <c r="O537" s="957"/>
      <c r="P537" s="957"/>
      <c r="Q537" s="957"/>
      <c r="R537" s="1334" t="s">
        <v>1610</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59" t="str">
        <f>IF(T543="Yes",Incentives!E252,"")</f>
        <v/>
      </c>
      <c r="E539" s="1960"/>
      <c r="F539" s="957"/>
      <c r="G539" s="957"/>
      <c r="H539" s="1363" t="s">
        <v>1492</v>
      </c>
      <c r="I539" s="957"/>
      <c r="J539" s="1363" t="s">
        <v>2005</v>
      </c>
      <c r="K539" s="957"/>
      <c r="L539" s="1610"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1495</v>
      </c>
      <c r="D541" s="1975" t="s">
        <v>648</v>
      </c>
      <c r="E541" s="1958"/>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57" t="s">
        <v>1606</v>
      </c>
      <c r="E543" s="1922"/>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50" t="s">
        <v>2011</v>
      </c>
      <c r="C545" s="1921"/>
      <c r="D545" s="1921"/>
      <c r="E545" s="1921"/>
      <c r="F545" s="1921"/>
      <c r="G545" s="1921"/>
      <c r="H545" s="1921"/>
      <c r="I545" s="1921"/>
      <c r="J545" s="1921"/>
      <c r="K545" s="1921"/>
      <c r="L545" s="1921"/>
      <c r="M545" s="1921"/>
      <c r="N545" s="1921"/>
      <c r="O545" s="1921"/>
      <c r="P545" s="1921"/>
      <c r="Q545" s="1921"/>
      <c r="R545" s="1921"/>
      <c r="S545" s="1921"/>
      <c r="T545" s="1921"/>
      <c r="U545" s="1922"/>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55" t="s">
        <v>1775</v>
      </c>
      <c r="E547" s="1956"/>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1602</v>
      </c>
      <c r="S548" s="957"/>
      <c r="T548" s="1334" t="s">
        <v>646</v>
      </c>
      <c r="U548" s="957"/>
    </row>
    <row r="549" spans="1:21" ht="30.75" thickBot="1" x14ac:dyDescent="0.3">
      <c r="A549" s="565"/>
      <c r="B549" s="957"/>
      <c r="C549" s="950" t="s">
        <v>1491</v>
      </c>
      <c r="D549" s="1957">
        <v>5304</v>
      </c>
      <c r="E549" s="1958"/>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59" t="str">
        <f>IF(T557="Yes",Incentives!E262,"")</f>
        <v/>
      </c>
      <c r="E551" s="1960"/>
      <c r="F551" s="957"/>
      <c r="G551" s="957"/>
      <c r="H551" s="1337" t="str">
        <f>IF(T557="Yes",Incentives!G263,"")</f>
        <v/>
      </c>
      <c r="I551" s="957"/>
      <c r="J551" s="957"/>
      <c r="K551" s="957"/>
      <c r="L551" s="957"/>
      <c r="M551" s="957"/>
      <c r="N551" s="957"/>
      <c r="O551" s="957"/>
      <c r="P551" s="957"/>
      <c r="Q551" s="957"/>
      <c r="R551" s="1334" t="s">
        <v>1610</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59" t="str">
        <f>IF(T557="Yes",Incentives!E263,"")</f>
        <v/>
      </c>
      <c r="E553" s="1960"/>
      <c r="F553" s="957"/>
      <c r="G553" s="957"/>
      <c r="H553" s="1363" t="s">
        <v>1492</v>
      </c>
      <c r="I553" s="957"/>
      <c r="J553" s="1363" t="s">
        <v>2005</v>
      </c>
      <c r="K553" s="957"/>
      <c r="L553" s="1610"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1495</v>
      </c>
      <c r="D555" s="1975" t="s">
        <v>648</v>
      </c>
      <c r="E555" s="1958"/>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57" t="s">
        <v>1606</v>
      </c>
      <c r="E557" s="1922"/>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50" t="s">
        <v>2012</v>
      </c>
      <c r="C559" s="1921"/>
      <c r="D559" s="1921"/>
      <c r="E559" s="1921"/>
      <c r="F559" s="1921"/>
      <c r="G559" s="1921"/>
      <c r="H559" s="1921"/>
      <c r="I559" s="1921"/>
      <c r="J559" s="1921"/>
      <c r="K559" s="1921"/>
      <c r="L559" s="1921"/>
      <c r="M559" s="1921"/>
      <c r="N559" s="1921"/>
      <c r="O559" s="1921"/>
      <c r="P559" s="1921"/>
      <c r="Q559" s="1921"/>
      <c r="R559" s="1921"/>
      <c r="S559" s="1921"/>
      <c r="T559" s="1921"/>
      <c r="U559" s="1922"/>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55" t="s">
        <v>1775</v>
      </c>
      <c r="E561" s="1956"/>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1602</v>
      </c>
      <c r="S562" s="957"/>
      <c r="T562" s="1334" t="s">
        <v>646</v>
      </c>
      <c r="U562" s="957"/>
    </row>
    <row r="563" spans="1:21" ht="30.75" thickBot="1" x14ac:dyDescent="0.3">
      <c r="A563" s="565"/>
      <c r="B563" s="957"/>
      <c r="C563" s="950" t="s">
        <v>1491</v>
      </c>
      <c r="D563" s="1957">
        <v>5305</v>
      </c>
      <c r="E563" s="1958"/>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59" t="str">
        <f>IF(T571="Yes",Incentives!E273,"")</f>
        <v/>
      </c>
      <c r="E565" s="1960"/>
      <c r="F565" s="957"/>
      <c r="G565" s="957"/>
      <c r="H565" s="1337" t="str">
        <f>IF(T571="Yes",Incentives!G274,"")</f>
        <v/>
      </c>
      <c r="I565" s="957"/>
      <c r="J565" s="957"/>
      <c r="K565" s="957"/>
      <c r="L565" s="957"/>
      <c r="M565" s="957"/>
      <c r="N565" s="957"/>
      <c r="O565" s="957"/>
      <c r="P565" s="957"/>
      <c r="Q565" s="957"/>
      <c r="R565" s="1334" t="s">
        <v>1610</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59" t="str">
        <f>IF(T571="Yes",Incentives!E274,"")</f>
        <v/>
      </c>
      <c r="E567" s="1960"/>
      <c r="F567" s="957"/>
      <c r="G567" s="957"/>
      <c r="H567" s="1363" t="s">
        <v>1492</v>
      </c>
      <c r="I567" s="957"/>
      <c r="J567" s="1363" t="s">
        <v>2005</v>
      </c>
      <c r="K567" s="957"/>
      <c r="L567" s="1610"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1495</v>
      </c>
      <c r="D569" s="1975" t="s">
        <v>648</v>
      </c>
      <c r="E569" s="1958"/>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57" t="s">
        <v>1606</v>
      </c>
      <c r="E571" s="1922"/>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50" t="s">
        <v>2013</v>
      </c>
      <c r="C573" s="1921"/>
      <c r="D573" s="1921"/>
      <c r="E573" s="1921"/>
      <c r="F573" s="1921"/>
      <c r="G573" s="1921"/>
      <c r="H573" s="1921"/>
      <c r="I573" s="1921"/>
      <c r="J573" s="1921"/>
      <c r="K573" s="1921"/>
      <c r="L573" s="1921"/>
      <c r="M573" s="1921"/>
      <c r="N573" s="1921"/>
      <c r="O573" s="1921"/>
      <c r="P573" s="1921"/>
      <c r="Q573" s="1921"/>
      <c r="R573" s="1921"/>
      <c r="S573" s="1921"/>
      <c r="T573" s="1921"/>
      <c r="U573" s="1922"/>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55" t="s">
        <v>1775</v>
      </c>
      <c r="E575" s="1956"/>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1602</v>
      </c>
      <c r="S576" s="957"/>
      <c r="T576" s="1334" t="s">
        <v>646</v>
      </c>
      <c r="U576" s="957"/>
    </row>
    <row r="577" spans="1:21" ht="30.75" thickBot="1" x14ac:dyDescent="0.3">
      <c r="A577" s="565"/>
      <c r="B577" s="957"/>
      <c r="C577" s="950" t="s">
        <v>1491</v>
      </c>
      <c r="D577" s="1957">
        <v>5306</v>
      </c>
      <c r="E577" s="1958"/>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59" t="str">
        <f>IF(T585="Yes",Incentives!E284,"")</f>
        <v/>
      </c>
      <c r="E579" s="1960"/>
      <c r="F579" s="957"/>
      <c r="G579" s="957"/>
      <c r="H579" s="1337" t="str">
        <f>IF(T585="Yes",Incentives!G285,"")</f>
        <v/>
      </c>
      <c r="I579" s="957"/>
      <c r="J579" s="957"/>
      <c r="K579" s="957"/>
      <c r="L579" s="957"/>
      <c r="M579" s="957"/>
      <c r="N579" s="957"/>
      <c r="O579" s="957"/>
      <c r="P579" s="957"/>
      <c r="Q579" s="957"/>
      <c r="R579" s="1334" t="s">
        <v>1610</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59" t="str">
        <f>IF(T585="Yes",Incentives!E285,"")</f>
        <v/>
      </c>
      <c r="E581" s="1960"/>
      <c r="F581" s="957"/>
      <c r="G581" s="957"/>
      <c r="H581" s="1363" t="s">
        <v>1492</v>
      </c>
      <c r="I581" s="957"/>
      <c r="J581" s="1363" t="s">
        <v>2005</v>
      </c>
      <c r="K581" s="957"/>
      <c r="L581" s="1610"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1495</v>
      </c>
      <c r="D583" s="1975" t="s">
        <v>648</v>
      </c>
      <c r="E583" s="1958"/>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57" t="s">
        <v>1606</v>
      </c>
      <c r="E585" s="1922"/>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50" t="s">
        <v>2014</v>
      </c>
      <c r="C587" s="1921"/>
      <c r="D587" s="1921"/>
      <c r="E587" s="1921"/>
      <c r="F587" s="1921"/>
      <c r="G587" s="1921"/>
      <c r="H587" s="1921"/>
      <c r="I587" s="1921"/>
      <c r="J587" s="1921"/>
      <c r="K587" s="1921"/>
      <c r="L587" s="1921"/>
      <c r="M587" s="1921"/>
      <c r="N587" s="1921"/>
      <c r="O587" s="1921"/>
      <c r="P587" s="1921"/>
      <c r="Q587" s="1921"/>
      <c r="R587" s="1921"/>
      <c r="S587" s="1921"/>
      <c r="T587" s="1921"/>
      <c r="U587" s="1922"/>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55" t="s">
        <v>1775</v>
      </c>
      <c r="E589" s="1956"/>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1602</v>
      </c>
      <c r="S590" s="957"/>
      <c r="T590" s="1334" t="s">
        <v>646</v>
      </c>
      <c r="U590" s="957"/>
    </row>
    <row r="591" spans="1:21" ht="30.75" thickBot="1" x14ac:dyDescent="0.3">
      <c r="A591" s="565"/>
      <c r="B591" s="957"/>
      <c r="C591" s="950" t="s">
        <v>1491</v>
      </c>
      <c r="D591" s="1957">
        <v>5307</v>
      </c>
      <c r="E591" s="1958"/>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59" t="str">
        <f>IF(T599="Yes",Incentives!E295,"")</f>
        <v/>
      </c>
      <c r="E593" s="1960"/>
      <c r="F593" s="957"/>
      <c r="G593" s="957"/>
      <c r="H593" s="1337" t="str">
        <f>IF(T599="Yes",Incentives!G296,"")</f>
        <v/>
      </c>
      <c r="I593" s="957"/>
      <c r="J593" s="957"/>
      <c r="K593" s="957"/>
      <c r="L593" s="957"/>
      <c r="M593" s="957"/>
      <c r="N593" s="957"/>
      <c r="O593" s="957"/>
      <c r="P593" s="957"/>
      <c r="Q593" s="957"/>
      <c r="R593" s="1334" t="s">
        <v>1610</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59" t="str">
        <f>IF(T599="Yes",Incentives!E296,"")</f>
        <v/>
      </c>
      <c r="E595" s="1960"/>
      <c r="F595" s="957"/>
      <c r="G595" s="957"/>
      <c r="H595" s="1363" t="s">
        <v>1492</v>
      </c>
      <c r="I595" s="957"/>
      <c r="J595" s="1363" t="s">
        <v>2005</v>
      </c>
      <c r="K595" s="957"/>
      <c r="L595" s="1610"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1495</v>
      </c>
      <c r="D597" s="1975" t="s">
        <v>648</v>
      </c>
      <c r="E597" s="1958"/>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57" t="s">
        <v>1606</v>
      </c>
      <c r="E599" s="1922"/>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50" t="s">
        <v>2015</v>
      </c>
      <c r="C601" s="1921"/>
      <c r="D601" s="1921"/>
      <c r="E601" s="1921"/>
      <c r="F601" s="1921"/>
      <c r="G601" s="1921"/>
      <c r="H601" s="1921"/>
      <c r="I601" s="1921"/>
      <c r="J601" s="1921"/>
      <c r="K601" s="1921"/>
      <c r="L601" s="1921"/>
      <c r="M601" s="1921"/>
      <c r="N601" s="1921"/>
      <c r="O601" s="1921"/>
      <c r="P601" s="1921"/>
      <c r="Q601" s="1921"/>
      <c r="R601" s="1921"/>
      <c r="S601" s="1921"/>
      <c r="T601" s="1921"/>
      <c r="U601" s="1922"/>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55" t="s">
        <v>1775</v>
      </c>
      <c r="E603" s="1956"/>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1602</v>
      </c>
      <c r="S604" s="957"/>
      <c r="T604" s="1334" t="s">
        <v>646</v>
      </c>
      <c r="U604" s="957"/>
    </row>
    <row r="605" spans="1:21" ht="30.75" thickBot="1" x14ac:dyDescent="0.3">
      <c r="A605" s="565"/>
      <c r="B605" s="957"/>
      <c r="C605" s="950" t="s">
        <v>1491</v>
      </c>
      <c r="D605" s="1957">
        <v>5308</v>
      </c>
      <c r="E605" s="1958"/>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59" t="str">
        <f>IF(T613="Yes",Incentives!E306,"")</f>
        <v/>
      </c>
      <c r="E607" s="1960"/>
      <c r="F607" s="957"/>
      <c r="G607" s="957"/>
      <c r="H607" s="1337" t="str">
        <f>IF(T613="Yes",Incentives!G307,"")</f>
        <v/>
      </c>
      <c r="I607" s="957"/>
      <c r="J607" s="957"/>
      <c r="K607" s="957"/>
      <c r="L607" s="957"/>
      <c r="M607" s="957"/>
      <c r="N607" s="957"/>
      <c r="O607" s="957"/>
      <c r="P607" s="957"/>
      <c r="Q607" s="957"/>
      <c r="R607" s="1334" t="s">
        <v>1610</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59" t="str">
        <f>IF(T613="Yes",Incentives!E307,"")</f>
        <v/>
      </c>
      <c r="E609" s="1960"/>
      <c r="F609" s="957"/>
      <c r="G609" s="957"/>
      <c r="H609" s="1363" t="s">
        <v>1492</v>
      </c>
      <c r="I609" s="957"/>
      <c r="J609" s="1363" t="s">
        <v>2005</v>
      </c>
      <c r="K609" s="957"/>
      <c r="L609" s="1610"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1495</v>
      </c>
      <c r="D611" s="1975" t="s">
        <v>648</v>
      </c>
      <c r="E611" s="1958"/>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57" t="s">
        <v>1606</v>
      </c>
      <c r="E613" s="1922"/>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50" t="s">
        <v>2016</v>
      </c>
      <c r="C615" s="1921"/>
      <c r="D615" s="1921"/>
      <c r="E615" s="1921"/>
      <c r="F615" s="1921"/>
      <c r="G615" s="1921"/>
      <c r="H615" s="1921"/>
      <c r="I615" s="1921"/>
      <c r="J615" s="1921"/>
      <c r="K615" s="1921"/>
      <c r="L615" s="1921"/>
      <c r="M615" s="1921"/>
      <c r="N615" s="1921"/>
      <c r="O615" s="1921"/>
      <c r="P615" s="1921"/>
      <c r="Q615" s="1921"/>
      <c r="R615" s="1921"/>
      <c r="S615" s="1921"/>
      <c r="T615" s="1921"/>
      <c r="U615" s="1922"/>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55" t="s">
        <v>1775</v>
      </c>
      <c r="E617" s="1956"/>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1602</v>
      </c>
      <c r="S618" s="957"/>
      <c r="T618" s="1334" t="s">
        <v>646</v>
      </c>
      <c r="U618" s="957"/>
    </row>
    <row r="619" spans="1:21" ht="30.75" thickBot="1" x14ac:dyDescent="0.3">
      <c r="A619" s="565"/>
      <c r="B619" s="957"/>
      <c r="C619" s="950" t="s">
        <v>1491</v>
      </c>
      <c r="D619" s="1957">
        <v>5309</v>
      </c>
      <c r="E619" s="1958"/>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59" t="str">
        <f>IF(T627="Yes",Incentives!E317,"")</f>
        <v/>
      </c>
      <c r="E621" s="1960"/>
      <c r="F621" s="957"/>
      <c r="G621" s="957"/>
      <c r="H621" s="1337" t="str">
        <f>IF(T627="Yes",Incentives!G329,"")</f>
        <v/>
      </c>
      <c r="I621" s="957"/>
      <c r="J621" s="957"/>
      <c r="K621" s="957"/>
      <c r="L621" s="957"/>
      <c r="M621" s="957"/>
      <c r="N621" s="957"/>
      <c r="O621" s="957"/>
      <c r="P621" s="957"/>
      <c r="Q621" s="957"/>
      <c r="R621" s="1334" t="s">
        <v>1610</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59" t="str">
        <f>IF(T627="Yes",Incentives!E318,"")</f>
        <v/>
      </c>
      <c r="E623" s="1960"/>
      <c r="F623" s="957"/>
      <c r="G623" s="957"/>
      <c r="H623" s="1363" t="s">
        <v>1492</v>
      </c>
      <c r="I623" s="957"/>
      <c r="J623" s="1363" t="s">
        <v>2005</v>
      </c>
      <c r="K623" s="957"/>
      <c r="L623" s="1610"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1495</v>
      </c>
      <c r="D625" s="1975" t="s">
        <v>648</v>
      </c>
      <c r="E625" s="1958"/>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57" t="s">
        <v>1606</v>
      </c>
      <c r="E627" s="1922"/>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s="1708" customFormat="1" ht="15.75" customHeight="1" thickBot="1" x14ac:dyDescent="0.3">
      <c r="A629" s="565"/>
      <c r="B629" s="1950" t="s">
        <v>2171</v>
      </c>
      <c r="C629" s="1921"/>
      <c r="D629" s="1921"/>
      <c r="E629" s="1921"/>
      <c r="F629" s="1921"/>
      <c r="G629" s="1921"/>
      <c r="H629" s="1921"/>
      <c r="I629" s="1921"/>
      <c r="J629" s="1921"/>
      <c r="K629" s="1921"/>
      <c r="L629" s="1921"/>
      <c r="M629" s="1921"/>
      <c r="N629" s="1921"/>
      <c r="O629" s="1921"/>
      <c r="P629" s="1921"/>
      <c r="Q629" s="1921"/>
      <c r="R629" s="1921"/>
      <c r="S629" s="1921"/>
      <c r="T629" s="1921"/>
      <c r="U629" s="1922"/>
    </row>
    <row r="630" spans="1:21" s="1708" customFormat="1" ht="15.75" thickBot="1" x14ac:dyDescent="0.3">
      <c r="A630" s="565"/>
      <c r="B630" s="957"/>
      <c r="C630" s="957"/>
      <c r="D630" s="957"/>
      <c r="E630" s="957"/>
      <c r="F630" s="957"/>
      <c r="G630" s="957"/>
      <c r="H630" s="957"/>
      <c r="I630" s="957"/>
      <c r="J630" s="957"/>
      <c r="K630" s="957"/>
      <c r="L630" s="957"/>
      <c r="M630" s="957"/>
      <c r="N630" s="957"/>
      <c r="O630" s="957"/>
      <c r="P630" s="957"/>
      <c r="Q630" s="957"/>
      <c r="R630" s="957"/>
      <c r="S630" s="957"/>
      <c r="T630" s="957"/>
      <c r="U630" s="957"/>
    </row>
    <row r="631" spans="1:21" s="1708" customFormat="1" ht="30.75" customHeight="1" thickBot="1" x14ac:dyDescent="0.3">
      <c r="A631" s="565"/>
      <c r="B631" s="957"/>
      <c r="C631" s="950" t="s">
        <v>1383</v>
      </c>
      <c r="D631" s="1955" t="s">
        <v>1775</v>
      </c>
      <c r="E631" s="1956"/>
      <c r="F631" s="957"/>
      <c r="G631" s="957"/>
      <c r="H631" s="953" t="s">
        <v>1380</v>
      </c>
      <c r="I631" s="957"/>
      <c r="J631" s="953" t="s">
        <v>1381</v>
      </c>
      <c r="K631" s="957"/>
      <c r="L631" s="953" t="s">
        <v>1397</v>
      </c>
      <c r="M631" s="957"/>
      <c r="N631" s="953" t="s">
        <v>1382</v>
      </c>
      <c r="O631" s="957"/>
      <c r="P631" s="957"/>
      <c r="Q631" s="957"/>
      <c r="R631" s="953" t="s">
        <v>1487</v>
      </c>
      <c r="S631" s="957"/>
      <c r="T631" s="953" t="s">
        <v>1488</v>
      </c>
      <c r="U631" s="957"/>
    </row>
    <row r="632" spans="1:21" s="1708" customFormat="1" ht="15.75" thickBot="1" x14ac:dyDescent="0.3">
      <c r="A632" s="565"/>
      <c r="B632" s="957"/>
      <c r="C632" s="945"/>
      <c r="D632" s="945"/>
      <c r="E632" s="945"/>
      <c r="F632" s="957"/>
      <c r="G632" s="957"/>
      <c r="H632" s="983" t="str">
        <f>IF(T641="Yes",Incentives!G326,"")</f>
        <v/>
      </c>
      <c r="I632" s="957"/>
      <c r="J632" s="943" t="str">
        <f>IF(T641="Yes",Incentives!I326,"")</f>
        <v/>
      </c>
      <c r="K632" s="957"/>
      <c r="L632" s="1367" t="str">
        <f>IF(T641="Yes",Incentives!K326,"")</f>
        <v/>
      </c>
      <c r="M632" s="957"/>
      <c r="N632" s="983" t="str">
        <f>IF(AND(Incentives!M326&lt;&gt;"",T641="Yes"),Incentives!M326,"")</f>
        <v/>
      </c>
      <c r="O632" s="957"/>
      <c r="P632" s="957"/>
      <c r="Q632" s="957"/>
      <c r="R632" s="1514" t="s">
        <v>1602</v>
      </c>
      <c r="S632" s="957"/>
      <c r="T632" s="1514" t="s">
        <v>646</v>
      </c>
      <c r="U632" s="957"/>
    </row>
    <row r="633" spans="1:21" s="1708" customFormat="1" ht="30.75" thickBot="1" x14ac:dyDescent="0.3">
      <c r="A633" s="565"/>
      <c r="B633" s="957"/>
      <c r="C633" s="950" t="s">
        <v>1491</v>
      </c>
      <c r="D633" s="1957">
        <v>5309</v>
      </c>
      <c r="E633" s="1958"/>
      <c r="F633" s="957"/>
      <c r="G633" s="957"/>
      <c r="H633" s="957"/>
      <c r="I633" s="957"/>
      <c r="J633" s="957"/>
      <c r="K633" s="957"/>
      <c r="L633" s="957"/>
      <c r="M633" s="957"/>
      <c r="N633" s="957"/>
      <c r="O633" s="957"/>
      <c r="P633" s="957"/>
      <c r="Q633" s="957"/>
      <c r="R633" s="957"/>
      <c r="S633" s="957"/>
      <c r="T633" s="957"/>
      <c r="U633" s="957"/>
    </row>
    <row r="634" spans="1:21" s="1708" customFormat="1" ht="15.75" thickBot="1" x14ac:dyDescent="0.3">
      <c r="A634" s="565"/>
      <c r="B634" s="957"/>
      <c r="C634" s="945"/>
      <c r="D634" s="945"/>
      <c r="E634" s="945"/>
      <c r="F634" s="957"/>
      <c r="G634" s="957"/>
      <c r="H634" s="1709" t="s">
        <v>1396</v>
      </c>
      <c r="I634" s="957"/>
      <c r="J634" s="957"/>
      <c r="K634" s="957"/>
      <c r="L634" s="957"/>
      <c r="M634" s="957"/>
      <c r="N634" s="957"/>
      <c r="O634" s="957"/>
      <c r="P634" s="957"/>
      <c r="Q634" s="957"/>
      <c r="R634" s="953" t="s">
        <v>1603</v>
      </c>
      <c r="S634" s="957"/>
      <c r="T634" s="953" t="s">
        <v>1604</v>
      </c>
      <c r="U634" s="957"/>
    </row>
    <row r="635" spans="1:21" s="1708" customFormat="1" ht="15.75" thickBot="1" x14ac:dyDescent="0.3">
      <c r="A635" s="565"/>
      <c r="B635" s="957"/>
      <c r="C635" s="950" t="s">
        <v>1385</v>
      </c>
      <c r="D635" s="1959" t="str">
        <f>IF(T641="Yes",Incentives!E331,"")</f>
        <v/>
      </c>
      <c r="E635" s="1960"/>
      <c r="F635" s="957"/>
      <c r="G635" s="957"/>
      <c r="H635" s="1518" t="str">
        <f>IF(T641="Yes",Incentives!G332,"")</f>
        <v/>
      </c>
      <c r="I635" s="957"/>
      <c r="J635" s="957"/>
      <c r="K635" s="957"/>
      <c r="L635" s="957"/>
      <c r="M635" s="957"/>
      <c r="N635" s="957"/>
      <c r="O635" s="957"/>
      <c r="P635" s="957"/>
      <c r="Q635" s="957"/>
      <c r="R635" s="1514" t="s">
        <v>1610</v>
      </c>
      <c r="S635" s="957"/>
      <c r="T635" s="1514" t="s">
        <v>395</v>
      </c>
      <c r="U635" s="957"/>
    </row>
    <row r="636" spans="1:21" s="1708" customFormat="1" ht="15.75" thickBot="1" x14ac:dyDescent="0.3">
      <c r="A636" s="565"/>
      <c r="B636" s="957"/>
      <c r="C636" s="945"/>
      <c r="D636" s="945"/>
      <c r="E636" s="945"/>
      <c r="F636" s="957"/>
      <c r="G636" s="957"/>
      <c r="H636" s="957"/>
      <c r="I636" s="957"/>
      <c r="J636" s="957"/>
      <c r="K636" s="957"/>
      <c r="L636" s="957"/>
      <c r="M636" s="957"/>
      <c r="N636" s="957"/>
      <c r="O636" s="957"/>
      <c r="P636" s="957"/>
      <c r="Q636" s="957"/>
      <c r="R636" s="957"/>
      <c r="S636" s="957"/>
      <c r="T636" s="957"/>
      <c r="U636" s="957"/>
    </row>
    <row r="637" spans="1:21" s="1708" customFormat="1" ht="30.75" thickBot="1" x14ac:dyDescent="0.3">
      <c r="A637" s="565"/>
      <c r="B637" s="957"/>
      <c r="C637" s="950" t="s">
        <v>1386</v>
      </c>
      <c r="D637" s="1959" t="str">
        <f>IF(T641="Yes",Incentives!E332,"")</f>
        <v/>
      </c>
      <c r="E637" s="1960"/>
      <c r="F637" s="957"/>
      <c r="G637" s="957"/>
      <c r="H637" s="1709" t="s">
        <v>1492</v>
      </c>
      <c r="I637" s="957"/>
      <c r="J637" s="1709" t="s">
        <v>2005</v>
      </c>
      <c r="K637" s="957"/>
      <c r="L637" s="1610" t="s">
        <v>2135</v>
      </c>
      <c r="M637" s="957"/>
      <c r="N637" s="953" t="s">
        <v>1482</v>
      </c>
      <c r="O637" s="957"/>
      <c r="P637" s="957"/>
      <c r="Q637" s="957"/>
      <c r="R637" s="957"/>
      <c r="S637" s="957"/>
      <c r="T637" s="953" t="s">
        <v>1599</v>
      </c>
      <c r="U637" s="957"/>
    </row>
    <row r="638" spans="1:21" s="1708" customFormat="1" ht="15.75" thickBot="1" x14ac:dyDescent="0.3">
      <c r="A638" s="565"/>
      <c r="B638" s="957"/>
      <c r="C638" s="945"/>
      <c r="D638" s="945"/>
      <c r="E638" s="945"/>
      <c r="F638" s="957"/>
      <c r="G638" s="957"/>
      <c r="H638" s="1514" t="s">
        <v>648</v>
      </c>
      <c r="I638" s="957"/>
      <c r="J638" s="1027" t="str">
        <f>IF(T641="Yes",Incentives!G332,"")</f>
        <v/>
      </c>
      <c r="K638" s="957"/>
      <c r="L638" s="1611" t="str">
        <f>IF(T641="Yes",IF(R641="Yes","No","Yes"),"")</f>
        <v/>
      </c>
      <c r="M638" s="957"/>
      <c r="N638" s="1518" t="str">
        <f>IF(T641="Yes",Incentives!K332,"")</f>
        <v/>
      </c>
      <c r="O638" s="957"/>
      <c r="P638" s="957"/>
      <c r="Q638" s="957"/>
      <c r="R638" s="957"/>
      <c r="S638" s="957"/>
      <c r="T638" s="1514" t="s">
        <v>648</v>
      </c>
      <c r="U638" s="957"/>
    </row>
    <row r="639" spans="1:21" s="1708" customFormat="1" ht="30.75" thickBot="1" x14ac:dyDescent="0.3">
      <c r="A639" s="565"/>
      <c r="B639" s="957"/>
      <c r="C639" s="951" t="s">
        <v>1495</v>
      </c>
      <c r="D639" s="1975" t="s">
        <v>648</v>
      </c>
      <c r="E639" s="1958"/>
      <c r="F639" s="957"/>
      <c r="G639" s="957"/>
      <c r="H639" s="957"/>
      <c r="I639" s="957"/>
      <c r="J639" s="957"/>
      <c r="K639" s="957"/>
      <c r="L639" s="957"/>
      <c r="M639" s="957"/>
      <c r="N639" s="957"/>
      <c r="O639" s="957"/>
      <c r="P639" s="957"/>
      <c r="Q639" s="957"/>
      <c r="R639" s="957"/>
      <c r="S639" s="957"/>
      <c r="T639" s="957"/>
      <c r="U639" s="957"/>
    </row>
    <row r="640" spans="1:21" s="1708" customFormat="1" ht="15.75" thickBot="1" x14ac:dyDescent="0.3">
      <c r="A640" s="565"/>
      <c r="B640" s="957"/>
      <c r="C640" s="945"/>
      <c r="D640" s="945"/>
      <c r="E640" s="945"/>
      <c r="F640" s="957"/>
      <c r="G640" s="957"/>
      <c r="H640" s="957"/>
      <c r="I640" s="957"/>
      <c r="J640" s="957"/>
      <c r="K640" s="957"/>
      <c r="L640" s="957"/>
      <c r="M640" s="957"/>
      <c r="N640" s="957"/>
      <c r="O640" s="957"/>
      <c r="P640" s="957"/>
      <c r="Q640" s="957"/>
      <c r="R640" s="957"/>
      <c r="S640" s="957"/>
      <c r="T640" s="953" t="s">
        <v>523</v>
      </c>
      <c r="U640" s="957"/>
    </row>
    <row r="641" spans="1:21" s="1708" customFormat="1" ht="15.75" thickBot="1" x14ac:dyDescent="0.3">
      <c r="A641" s="565"/>
      <c r="B641" s="957"/>
      <c r="C641" s="950" t="s">
        <v>1496</v>
      </c>
      <c r="D641" s="1957" t="s">
        <v>1606</v>
      </c>
      <c r="E641" s="1922"/>
      <c r="F641" s="957"/>
      <c r="G641" s="957"/>
      <c r="H641" s="957"/>
      <c r="I641" s="957"/>
      <c r="J641" s="957"/>
      <c r="K641" s="957"/>
      <c r="L641" s="957"/>
      <c r="M641" s="957"/>
      <c r="N641" s="957"/>
      <c r="O641" s="957"/>
      <c r="P641" s="957"/>
      <c r="Q641" s="957"/>
      <c r="R641" s="1613">
        <f>Incentives!C328</f>
        <v>0</v>
      </c>
      <c r="S641" s="957"/>
      <c r="T641" s="1514" t="str">
        <f>Incentives!E325</f>
        <v>No</v>
      </c>
      <c r="U641" s="957"/>
    </row>
    <row r="642" spans="1:21" s="1708" customFormat="1" ht="15.75" thickBot="1" x14ac:dyDescent="0.3">
      <c r="A642" s="565"/>
      <c r="B642" s="957"/>
      <c r="C642" s="957"/>
      <c r="D642" s="957"/>
      <c r="E642" s="957"/>
      <c r="F642" s="957"/>
      <c r="G642" s="957"/>
      <c r="H642" s="957"/>
      <c r="I642" s="957"/>
      <c r="J642" s="957"/>
      <c r="K642" s="957"/>
      <c r="L642" s="957"/>
      <c r="M642" s="957"/>
      <c r="N642" s="957"/>
      <c r="O642" s="957"/>
      <c r="P642" s="957"/>
      <c r="Q642" s="957"/>
      <c r="R642" s="957"/>
      <c r="S642" s="957"/>
      <c r="T642" s="957"/>
      <c r="U642" s="957"/>
    </row>
    <row r="643" spans="1:21" s="1708" customFormat="1" ht="15.75" customHeight="1" thickBot="1" x14ac:dyDescent="0.3">
      <c r="A643" s="565"/>
      <c r="B643" s="1950" t="s">
        <v>2172</v>
      </c>
      <c r="C643" s="1921"/>
      <c r="D643" s="1921"/>
      <c r="E643" s="1921"/>
      <c r="F643" s="1921"/>
      <c r="G643" s="1921"/>
      <c r="H643" s="1921"/>
      <c r="I643" s="1921"/>
      <c r="J643" s="1921"/>
      <c r="K643" s="1921"/>
      <c r="L643" s="1921"/>
      <c r="M643" s="1921"/>
      <c r="N643" s="1921"/>
      <c r="O643" s="1921"/>
      <c r="P643" s="1921"/>
      <c r="Q643" s="1921"/>
      <c r="R643" s="1921"/>
      <c r="S643" s="1921"/>
      <c r="T643" s="1921"/>
      <c r="U643" s="1922"/>
    </row>
    <row r="644" spans="1:21" s="1708" customFormat="1" ht="15.75" thickBot="1" x14ac:dyDescent="0.3">
      <c r="A644" s="565"/>
      <c r="B644" s="957"/>
      <c r="C644" s="957"/>
      <c r="D644" s="957"/>
      <c r="E644" s="957"/>
      <c r="F644" s="957"/>
      <c r="G644" s="957"/>
      <c r="H644" s="957"/>
      <c r="I644" s="957"/>
      <c r="J644" s="957"/>
      <c r="K644" s="957"/>
      <c r="L644" s="957"/>
      <c r="M644" s="957"/>
      <c r="N644" s="957"/>
      <c r="O644" s="957"/>
      <c r="P644" s="957"/>
      <c r="Q644" s="957"/>
      <c r="R644" s="957"/>
      <c r="S644" s="957"/>
      <c r="T644" s="957"/>
      <c r="U644" s="957"/>
    </row>
    <row r="645" spans="1:21" s="1708" customFormat="1" ht="30.75" customHeight="1" thickBot="1" x14ac:dyDescent="0.3">
      <c r="A645" s="565"/>
      <c r="B645" s="957"/>
      <c r="C645" s="950" t="s">
        <v>1383</v>
      </c>
      <c r="D645" s="1955" t="s">
        <v>1775</v>
      </c>
      <c r="E645" s="1956"/>
      <c r="F645" s="957"/>
      <c r="G645" s="957"/>
      <c r="H645" s="953" t="s">
        <v>1380</v>
      </c>
      <c r="I645" s="957"/>
      <c r="J645" s="953" t="s">
        <v>1381</v>
      </c>
      <c r="K645" s="957"/>
      <c r="L645" s="953" t="s">
        <v>1397</v>
      </c>
      <c r="M645" s="957"/>
      <c r="N645" s="953" t="s">
        <v>1382</v>
      </c>
      <c r="O645" s="957"/>
      <c r="P645" s="957"/>
      <c r="Q645" s="957"/>
      <c r="R645" s="953" t="s">
        <v>1487</v>
      </c>
      <c r="S645" s="957"/>
      <c r="T645" s="953" t="s">
        <v>1488</v>
      </c>
      <c r="U645" s="957"/>
    </row>
    <row r="646" spans="1:21" s="1708" customFormat="1" ht="15.75" thickBot="1" x14ac:dyDescent="0.3">
      <c r="A646" s="565"/>
      <c r="B646" s="957"/>
      <c r="C646" s="945"/>
      <c r="D646" s="945"/>
      <c r="E646" s="945"/>
      <c r="F646" s="957"/>
      <c r="G646" s="957"/>
      <c r="H646" s="983" t="str">
        <f>IF(T655="Yes",Incentives!G337,"")</f>
        <v/>
      </c>
      <c r="I646" s="957"/>
      <c r="J646" s="943" t="str">
        <f>IF(T655="Yes",Incentives!I337,"")</f>
        <v/>
      </c>
      <c r="K646" s="957"/>
      <c r="L646" s="1367" t="str">
        <f>IF(T655="Yes",Incentives!K337,"")</f>
        <v/>
      </c>
      <c r="M646" s="957"/>
      <c r="N646" s="983" t="str">
        <f>IF(AND(Incentives!M337&lt;&gt;"",T655="Yes"),Incentives!M337,"")</f>
        <v/>
      </c>
      <c r="O646" s="957"/>
      <c r="P646" s="957"/>
      <c r="Q646" s="957"/>
      <c r="R646" s="1514" t="s">
        <v>1602</v>
      </c>
      <c r="S646" s="957"/>
      <c r="T646" s="1514" t="s">
        <v>646</v>
      </c>
      <c r="U646" s="957"/>
    </row>
    <row r="647" spans="1:21" s="1708" customFormat="1" ht="30.75" thickBot="1" x14ac:dyDescent="0.3">
      <c r="A647" s="565"/>
      <c r="B647" s="957"/>
      <c r="C647" s="950" t="s">
        <v>1491</v>
      </c>
      <c r="D647" s="1957">
        <v>5309</v>
      </c>
      <c r="E647" s="1958"/>
      <c r="F647" s="957"/>
      <c r="G647" s="957"/>
      <c r="H647" s="957"/>
      <c r="I647" s="957"/>
      <c r="J647" s="957"/>
      <c r="K647" s="957"/>
      <c r="L647" s="957"/>
      <c r="M647" s="957"/>
      <c r="N647" s="957"/>
      <c r="O647" s="957"/>
      <c r="P647" s="957"/>
      <c r="Q647" s="957"/>
      <c r="R647" s="957"/>
      <c r="S647" s="957"/>
      <c r="T647" s="957"/>
      <c r="U647" s="957"/>
    </row>
    <row r="648" spans="1:21" s="1708" customFormat="1" ht="15.75" thickBot="1" x14ac:dyDescent="0.3">
      <c r="A648" s="565"/>
      <c r="B648" s="957"/>
      <c r="C648" s="945"/>
      <c r="D648" s="945"/>
      <c r="E648" s="945"/>
      <c r="F648" s="957"/>
      <c r="G648" s="957"/>
      <c r="H648" s="1709" t="s">
        <v>1396</v>
      </c>
      <c r="I648" s="957"/>
      <c r="J648" s="957"/>
      <c r="K648" s="957"/>
      <c r="L648" s="957"/>
      <c r="M648" s="957"/>
      <c r="N648" s="957"/>
      <c r="O648" s="957"/>
      <c r="P648" s="957"/>
      <c r="Q648" s="957"/>
      <c r="R648" s="953" t="s">
        <v>1603</v>
      </c>
      <c r="S648" s="957"/>
      <c r="T648" s="953" t="s">
        <v>1604</v>
      </c>
      <c r="U648" s="957"/>
    </row>
    <row r="649" spans="1:21" s="1708" customFormat="1" ht="15.75" thickBot="1" x14ac:dyDescent="0.3">
      <c r="A649" s="565"/>
      <c r="B649" s="957"/>
      <c r="C649" s="950" t="s">
        <v>1385</v>
      </c>
      <c r="D649" s="1959" t="str">
        <f>IF(T655="Yes",Incentives!E345,"")</f>
        <v/>
      </c>
      <c r="E649" s="1960"/>
      <c r="F649" s="957"/>
      <c r="G649" s="957"/>
      <c r="H649" s="1518" t="str">
        <f>IF(T655="Yes",Incentives!G340,"")</f>
        <v/>
      </c>
      <c r="I649" s="957"/>
      <c r="J649" s="957"/>
      <c r="K649" s="957"/>
      <c r="L649" s="957"/>
      <c r="M649" s="957"/>
      <c r="N649" s="957"/>
      <c r="O649" s="957"/>
      <c r="P649" s="957"/>
      <c r="Q649" s="957"/>
      <c r="R649" s="1514" t="s">
        <v>1610</v>
      </c>
      <c r="S649" s="957"/>
      <c r="T649" s="1514" t="s">
        <v>395</v>
      </c>
      <c r="U649" s="957"/>
    </row>
    <row r="650" spans="1:21" s="1708" customFormat="1" ht="15.75" thickBot="1" x14ac:dyDescent="0.3">
      <c r="A650" s="565"/>
      <c r="B650" s="957"/>
      <c r="C650" s="945"/>
      <c r="D650" s="945"/>
      <c r="E650" s="945"/>
      <c r="F650" s="957"/>
      <c r="G650" s="957"/>
      <c r="H650" s="957"/>
      <c r="I650" s="957"/>
      <c r="J650" s="957"/>
      <c r="K650" s="957"/>
      <c r="L650" s="957"/>
      <c r="M650" s="957"/>
      <c r="N650" s="957"/>
      <c r="O650" s="957"/>
      <c r="P650" s="957"/>
      <c r="Q650" s="957"/>
      <c r="R650" s="957"/>
      <c r="S650" s="957"/>
      <c r="T650" s="957"/>
      <c r="U650" s="957"/>
    </row>
    <row r="651" spans="1:21" s="1708" customFormat="1" ht="30.75" thickBot="1" x14ac:dyDescent="0.3">
      <c r="A651" s="565"/>
      <c r="B651" s="957"/>
      <c r="C651" s="950" t="s">
        <v>1386</v>
      </c>
      <c r="D651" s="1959" t="str">
        <f>IF(T655="Yes",Incentives!E346,"")</f>
        <v/>
      </c>
      <c r="E651" s="1960"/>
      <c r="F651" s="957"/>
      <c r="G651" s="957"/>
      <c r="H651" s="1709" t="s">
        <v>1492</v>
      </c>
      <c r="I651" s="957"/>
      <c r="J651" s="1709" t="s">
        <v>2005</v>
      </c>
      <c r="K651" s="957"/>
      <c r="L651" s="1610" t="s">
        <v>2135</v>
      </c>
      <c r="M651" s="957"/>
      <c r="N651" s="953" t="s">
        <v>1482</v>
      </c>
      <c r="O651" s="957"/>
      <c r="P651" s="957"/>
      <c r="Q651" s="957"/>
      <c r="R651" s="957"/>
      <c r="S651" s="957"/>
      <c r="T651" s="953" t="s">
        <v>1599</v>
      </c>
      <c r="U651" s="957"/>
    </row>
    <row r="652" spans="1:21" s="1708" customFormat="1" ht="15.75" thickBot="1" x14ac:dyDescent="0.3">
      <c r="A652" s="565"/>
      <c r="B652" s="957"/>
      <c r="C652" s="945"/>
      <c r="D652" s="945"/>
      <c r="E652" s="945"/>
      <c r="F652" s="957"/>
      <c r="G652" s="957"/>
      <c r="H652" s="1514" t="s">
        <v>648</v>
      </c>
      <c r="I652" s="957"/>
      <c r="J652" s="1027" t="str">
        <f>IF(T655="Yes",Incentives!G343,"")</f>
        <v/>
      </c>
      <c r="K652" s="957"/>
      <c r="L652" s="1611" t="str">
        <f>IF(T655="Yes",IF(R655="Yes","No","Yes"),"")</f>
        <v/>
      </c>
      <c r="M652" s="957"/>
      <c r="N652" s="1518" t="str">
        <f>IF(T655="Yes",Incentives!K343,"")</f>
        <v/>
      </c>
      <c r="O652" s="957"/>
      <c r="P652" s="957"/>
      <c r="Q652" s="957"/>
      <c r="R652" s="957"/>
      <c r="S652" s="957"/>
      <c r="T652" s="1514" t="s">
        <v>648</v>
      </c>
      <c r="U652" s="957"/>
    </row>
    <row r="653" spans="1:21" s="1708" customFormat="1" ht="30.75" thickBot="1" x14ac:dyDescent="0.3">
      <c r="A653" s="565"/>
      <c r="B653" s="957"/>
      <c r="C653" s="951" t="s">
        <v>1495</v>
      </c>
      <c r="D653" s="1975" t="s">
        <v>648</v>
      </c>
      <c r="E653" s="1958"/>
      <c r="F653" s="957"/>
      <c r="G653" s="957"/>
      <c r="H653" s="957"/>
      <c r="I653" s="957"/>
      <c r="J653" s="957"/>
      <c r="K653" s="957"/>
      <c r="L653" s="957"/>
      <c r="M653" s="957"/>
      <c r="N653" s="957"/>
      <c r="O653" s="957"/>
      <c r="P653" s="957"/>
      <c r="Q653" s="957"/>
      <c r="R653" s="957"/>
      <c r="S653" s="957"/>
      <c r="T653" s="957"/>
      <c r="U653" s="957"/>
    </row>
    <row r="654" spans="1:21" s="1708" customFormat="1" ht="15.75" thickBot="1" x14ac:dyDescent="0.3">
      <c r="A654" s="565"/>
      <c r="B654" s="957"/>
      <c r="C654" s="945"/>
      <c r="D654" s="945"/>
      <c r="E654" s="945"/>
      <c r="F654" s="957"/>
      <c r="G654" s="957"/>
      <c r="H654" s="957"/>
      <c r="I654" s="957"/>
      <c r="J654" s="957"/>
      <c r="K654" s="957"/>
      <c r="L654" s="957"/>
      <c r="M654" s="957"/>
      <c r="N654" s="957"/>
      <c r="O654" s="957"/>
      <c r="P654" s="957"/>
      <c r="Q654" s="957"/>
      <c r="R654" s="957"/>
      <c r="S654" s="957"/>
      <c r="T654" s="953" t="s">
        <v>523</v>
      </c>
      <c r="U654" s="957"/>
    </row>
    <row r="655" spans="1:21" s="1708" customFormat="1" ht="15.75" thickBot="1" x14ac:dyDescent="0.3">
      <c r="A655" s="565"/>
      <c r="B655" s="957"/>
      <c r="C655" s="950" t="s">
        <v>1496</v>
      </c>
      <c r="D655" s="1957" t="s">
        <v>1606</v>
      </c>
      <c r="E655" s="1922"/>
      <c r="F655" s="957"/>
      <c r="G655" s="957"/>
      <c r="H655" s="957"/>
      <c r="I655" s="957"/>
      <c r="J655" s="957"/>
      <c r="K655" s="957"/>
      <c r="L655" s="957"/>
      <c r="M655" s="957"/>
      <c r="N655" s="957"/>
      <c r="O655" s="957"/>
      <c r="P655" s="957"/>
      <c r="Q655" s="957"/>
      <c r="R655" s="1613">
        <f>Incentives!C342</f>
        <v>0</v>
      </c>
      <c r="S655" s="957"/>
      <c r="T655" s="1514" t="str">
        <f>Incentives!E336</f>
        <v>No</v>
      </c>
      <c r="U655" s="957"/>
    </row>
    <row r="656" spans="1:21" s="1708" customFormat="1" ht="15.75" thickBot="1" x14ac:dyDescent="0.3">
      <c r="A656" s="565"/>
      <c r="B656" s="957"/>
      <c r="C656" s="957"/>
      <c r="D656" s="957"/>
      <c r="E656" s="957"/>
      <c r="F656" s="957"/>
      <c r="G656" s="957"/>
      <c r="H656" s="957"/>
      <c r="I656" s="957"/>
      <c r="J656" s="957"/>
      <c r="K656" s="957"/>
      <c r="L656" s="957"/>
      <c r="M656" s="957"/>
      <c r="N656" s="957"/>
      <c r="O656" s="957"/>
      <c r="P656" s="957"/>
      <c r="Q656" s="957"/>
      <c r="R656" s="957"/>
      <c r="S656" s="957"/>
      <c r="T656" s="957"/>
      <c r="U656" s="957"/>
    </row>
    <row r="657" spans="1:21" s="1708" customFormat="1" ht="15.75" customHeight="1" thickBot="1" x14ac:dyDescent="0.3">
      <c r="A657" s="565"/>
      <c r="B657" s="1950" t="s">
        <v>2173</v>
      </c>
      <c r="C657" s="1921"/>
      <c r="D657" s="1921"/>
      <c r="E657" s="1921"/>
      <c r="F657" s="1921"/>
      <c r="G657" s="1921"/>
      <c r="H657" s="1921"/>
      <c r="I657" s="1921"/>
      <c r="J657" s="1921"/>
      <c r="K657" s="1921"/>
      <c r="L657" s="1921"/>
      <c r="M657" s="1921"/>
      <c r="N657" s="1921"/>
      <c r="O657" s="1921"/>
      <c r="P657" s="1921"/>
      <c r="Q657" s="1921"/>
      <c r="R657" s="1921"/>
      <c r="S657" s="1921"/>
      <c r="T657" s="1921"/>
      <c r="U657" s="1922"/>
    </row>
    <row r="658" spans="1:21" s="1708" customFormat="1" ht="15.75" thickBot="1" x14ac:dyDescent="0.3">
      <c r="A658" s="565"/>
      <c r="B658" s="957"/>
      <c r="C658" s="957"/>
      <c r="D658" s="957"/>
      <c r="E658" s="957"/>
      <c r="F658" s="957"/>
      <c r="G658" s="957"/>
      <c r="H658" s="957"/>
      <c r="I658" s="957"/>
      <c r="J658" s="957"/>
      <c r="K658" s="957"/>
      <c r="L658" s="957"/>
      <c r="M658" s="957"/>
      <c r="N658" s="957"/>
      <c r="O658" s="957"/>
      <c r="P658" s="957"/>
      <c r="Q658" s="957"/>
      <c r="R658" s="957"/>
      <c r="S658" s="957"/>
      <c r="T658" s="957"/>
      <c r="U658" s="957"/>
    </row>
    <row r="659" spans="1:21" s="1708" customFormat="1" ht="30.75" customHeight="1" thickBot="1" x14ac:dyDescent="0.3">
      <c r="A659" s="565"/>
      <c r="B659" s="957"/>
      <c r="C659" s="950" t="s">
        <v>1383</v>
      </c>
      <c r="D659" s="1955" t="s">
        <v>1775</v>
      </c>
      <c r="E659" s="1956"/>
      <c r="F659" s="957"/>
      <c r="G659" s="957"/>
      <c r="H659" s="953" t="s">
        <v>1380</v>
      </c>
      <c r="I659" s="957"/>
      <c r="J659" s="953" t="s">
        <v>1381</v>
      </c>
      <c r="K659" s="957"/>
      <c r="L659" s="953" t="s">
        <v>1397</v>
      </c>
      <c r="M659" s="957"/>
      <c r="N659" s="953" t="s">
        <v>1382</v>
      </c>
      <c r="O659" s="957"/>
      <c r="P659" s="957"/>
      <c r="Q659" s="957"/>
      <c r="R659" s="953" t="s">
        <v>1487</v>
      </c>
      <c r="S659" s="957"/>
      <c r="T659" s="953" t="s">
        <v>1488</v>
      </c>
      <c r="U659" s="957"/>
    </row>
    <row r="660" spans="1:21" s="1708" customFormat="1" ht="15.75" thickBot="1" x14ac:dyDescent="0.3">
      <c r="A660" s="565"/>
      <c r="B660" s="957"/>
      <c r="C660" s="945"/>
      <c r="D660" s="945"/>
      <c r="E660" s="945"/>
      <c r="F660" s="957"/>
      <c r="G660" s="957"/>
      <c r="H660" s="983" t="str">
        <f>IF(T669="Yes",Incentives!G348,"")</f>
        <v/>
      </c>
      <c r="I660" s="957"/>
      <c r="J660" s="943" t="str">
        <f>IF(T669="Yes",Incentives!I348,"")</f>
        <v/>
      </c>
      <c r="K660" s="957"/>
      <c r="L660" s="1367" t="str">
        <f>IF(T669="Yes",Incentives!K348,"")</f>
        <v/>
      </c>
      <c r="M660" s="957"/>
      <c r="N660" s="983" t="str">
        <f>IF(AND(Incentives!M348&lt;&gt;"",T669="Yes"),Incentives!M348,"")</f>
        <v/>
      </c>
      <c r="O660" s="957"/>
      <c r="P660" s="957"/>
      <c r="Q660" s="957"/>
      <c r="R660" s="1514" t="s">
        <v>1602</v>
      </c>
      <c r="S660" s="957"/>
      <c r="T660" s="1514" t="s">
        <v>646</v>
      </c>
      <c r="U660" s="957"/>
    </row>
    <row r="661" spans="1:21" s="1708" customFormat="1" ht="30.75" thickBot="1" x14ac:dyDescent="0.3">
      <c r="A661" s="565"/>
      <c r="B661" s="957"/>
      <c r="C661" s="950" t="s">
        <v>1491</v>
      </c>
      <c r="D661" s="1957">
        <v>5309</v>
      </c>
      <c r="E661" s="1958"/>
      <c r="F661" s="957"/>
      <c r="G661" s="957"/>
      <c r="H661" s="957"/>
      <c r="I661" s="957"/>
      <c r="J661" s="957"/>
      <c r="K661" s="957"/>
      <c r="L661" s="957"/>
      <c r="M661" s="957"/>
      <c r="N661" s="957"/>
      <c r="O661" s="957"/>
      <c r="P661" s="957"/>
      <c r="Q661" s="957"/>
      <c r="R661" s="957"/>
      <c r="S661" s="957"/>
      <c r="T661" s="957"/>
      <c r="U661" s="957"/>
    </row>
    <row r="662" spans="1:21" s="1708" customFormat="1" ht="15.75" thickBot="1" x14ac:dyDescent="0.3">
      <c r="A662" s="565"/>
      <c r="B662" s="957"/>
      <c r="C662" s="945"/>
      <c r="D662" s="945"/>
      <c r="E662" s="945"/>
      <c r="F662" s="957"/>
      <c r="G662" s="957"/>
      <c r="H662" s="1709" t="s">
        <v>1396</v>
      </c>
      <c r="I662" s="957"/>
      <c r="J662" s="957"/>
      <c r="K662" s="957"/>
      <c r="L662" s="957"/>
      <c r="M662" s="957"/>
      <c r="N662" s="957"/>
      <c r="O662" s="957"/>
      <c r="P662" s="957"/>
      <c r="Q662" s="957"/>
      <c r="R662" s="953" t="s">
        <v>1603</v>
      </c>
      <c r="S662" s="957"/>
      <c r="T662" s="953" t="s">
        <v>1604</v>
      </c>
      <c r="U662" s="957"/>
    </row>
    <row r="663" spans="1:21" s="1708" customFormat="1" ht="15.75" thickBot="1" x14ac:dyDescent="0.3">
      <c r="A663" s="565"/>
      <c r="B663" s="957"/>
      <c r="C663" s="950" t="s">
        <v>1385</v>
      </c>
      <c r="D663" s="1959" t="str">
        <f>IF(T669="Yes",Incentives!E359,"")</f>
        <v/>
      </c>
      <c r="E663" s="1960"/>
      <c r="F663" s="957"/>
      <c r="G663" s="957"/>
      <c r="H663" s="1518" t="str">
        <f>IF(T669="Yes",Incentives!G351,"")</f>
        <v/>
      </c>
      <c r="I663" s="957"/>
      <c r="J663" s="957"/>
      <c r="K663" s="957"/>
      <c r="L663" s="957"/>
      <c r="M663" s="957"/>
      <c r="N663" s="957"/>
      <c r="O663" s="957"/>
      <c r="P663" s="957"/>
      <c r="Q663" s="957"/>
      <c r="R663" s="1514" t="s">
        <v>1610</v>
      </c>
      <c r="S663" s="957"/>
      <c r="T663" s="1514" t="s">
        <v>395</v>
      </c>
      <c r="U663" s="957"/>
    </row>
    <row r="664" spans="1:21" s="1708" customFormat="1" ht="15.75" thickBot="1" x14ac:dyDescent="0.3">
      <c r="A664" s="565"/>
      <c r="B664" s="957"/>
      <c r="C664" s="945"/>
      <c r="D664" s="945"/>
      <c r="E664" s="945"/>
      <c r="F664" s="957"/>
      <c r="G664" s="957"/>
      <c r="H664" s="957"/>
      <c r="I664" s="957"/>
      <c r="J664" s="957"/>
      <c r="K664" s="957"/>
      <c r="L664" s="957"/>
      <c r="M664" s="957"/>
      <c r="N664" s="957"/>
      <c r="O664" s="957"/>
      <c r="P664" s="957"/>
      <c r="Q664" s="957"/>
      <c r="R664" s="957"/>
      <c r="S664" s="957"/>
      <c r="T664" s="957"/>
      <c r="U664" s="957"/>
    </row>
    <row r="665" spans="1:21" s="1708" customFormat="1" ht="30.75" thickBot="1" x14ac:dyDescent="0.3">
      <c r="A665" s="565"/>
      <c r="B665" s="957"/>
      <c r="C665" s="950" t="s">
        <v>1386</v>
      </c>
      <c r="D665" s="1959" t="str">
        <f>IF(T669="Yes",Incentives!E360,"")</f>
        <v/>
      </c>
      <c r="E665" s="1960"/>
      <c r="F665" s="957"/>
      <c r="G665" s="957"/>
      <c r="H665" s="1709" t="s">
        <v>1492</v>
      </c>
      <c r="I665" s="957"/>
      <c r="J665" s="1709" t="s">
        <v>2005</v>
      </c>
      <c r="K665" s="957"/>
      <c r="L665" s="1610" t="s">
        <v>2135</v>
      </c>
      <c r="M665" s="957"/>
      <c r="N665" s="953" t="s">
        <v>1482</v>
      </c>
      <c r="O665" s="957"/>
      <c r="P665" s="957"/>
      <c r="Q665" s="957"/>
      <c r="R665" s="957"/>
      <c r="S665" s="957"/>
      <c r="T665" s="953" t="s">
        <v>1599</v>
      </c>
      <c r="U665" s="957"/>
    </row>
    <row r="666" spans="1:21" s="1708" customFormat="1" ht="15.75" thickBot="1" x14ac:dyDescent="0.3">
      <c r="A666" s="565"/>
      <c r="B666" s="957"/>
      <c r="C666" s="945"/>
      <c r="D666" s="945"/>
      <c r="E666" s="945"/>
      <c r="F666" s="957"/>
      <c r="G666" s="957"/>
      <c r="H666" s="1514" t="s">
        <v>648</v>
      </c>
      <c r="I666" s="957"/>
      <c r="J666" s="1027" t="str">
        <f>IF(T669="Yes",Incentives!G354,"")</f>
        <v/>
      </c>
      <c r="K666" s="957"/>
      <c r="L666" s="1611" t="str">
        <f>IF(T669="Yes",IF(R669="Yes","No","Yes"),"")</f>
        <v/>
      </c>
      <c r="M666" s="957"/>
      <c r="N666" s="1518" t="str">
        <f>IF(T669="Yes",Incentives!K354,"")</f>
        <v/>
      </c>
      <c r="O666" s="957"/>
      <c r="P666" s="957"/>
      <c r="Q666" s="957"/>
      <c r="R666" s="957"/>
      <c r="S666" s="957"/>
      <c r="T666" s="1514" t="s">
        <v>648</v>
      </c>
      <c r="U666" s="957"/>
    </row>
    <row r="667" spans="1:21" s="1708" customFormat="1" ht="30.75" thickBot="1" x14ac:dyDescent="0.3">
      <c r="A667" s="565"/>
      <c r="B667" s="957"/>
      <c r="C667" s="951" t="s">
        <v>1495</v>
      </c>
      <c r="D667" s="1975" t="s">
        <v>648</v>
      </c>
      <c r="E667" s="1958"/>
      <c r="F667" s="957"/>
      <c r="G667" s="957"/>
      <c r="H667" s="957"/>
      <c r="I667" s="957"/>
      <c r="J667" s="957"/>
      <c r="K667" s="957"/>
      <c r="L667" s="957"/>
      <c r="M667" s="957"/>
      <c r="N667" s="957"/>
      <c r="O667" s="957"/>
      <c r="P667" s="957"/>
      <c r="Q667" s="957"/>
      <c r="R667" s="957"/>
      <c r="S667" s="957"/>
      <c r="T667" s="957"/>
      <c r="U667" s="957"/>
    </row>
    <row r="668" spans="1:21" s="1708" customFormat="1" ht="15.75" thickBot="1" x14ac:dyDescent="0.3">
      <c r="A668" s="565"/>
      <c r="B668" s="957"/>
      <c r="C668" s="945"/>
      <c r="D668" s="945"/>
      <c r="E668" s="945"/>
      <c r="F668" s="957"/>
      <c r="G668" s="957"/>
      <c r="H668" s="957"/>
      <c r="I668" s="957"/>
      <c r="J668" s="957"/>
      <c r="K668" s="957"/>
      <c r="L668" s="957"/>
      <c r="M668" s="957"/>
      <c r="N668" s="957"/>
      <c r="O668" s="957"/>
      <c r="P668" s="957"/>
      <c r="Q668" s="957"/>
      <c r="R668" s="957"/>
      <c r="S668" s="957"/>
      <c r="T668" s="953" t="s">
        <v>523</v>
      </c>
      <c r="U668" s="957"/>
    </row>
    <row r="669" spans="1:21" s="1708" customFormat="1" ht="15.75" thickBot="1" x14ac:dyDescent="0.3">
      <c r="A669" s="565"/>
      <c r="B669" s="957"/>
      <c r="C669" s="950" t="s">
        <v>1496</v>
      </c>
      <c r="D669" s="1957" t="s">
        <v>1606</v>
      </c>
      <c r="E669" s="1922"/>
      <c r="F669" s="957"/>
      <c r="G669" s="957"/>
      <c r="H669" s="957"/>
      <c r="I669" s="957"/>
      <c r="J669" s="957"/>
      <c r="K669" s="957"/>
      <c r="L669" s="957"/>
      <c r="M669" s="957"/>
      <c r="N669" s="957"/>
      <c r="O669" s="957"/>
      <c r="P669" s="957"/>
      <c r="Q669" s="957"/>
      <c r="R669" s="1613">
        <f>Incentives!C356</f>
        <v>0</v>
      </c>
      <c r="S669" s="957"/>
      <c r="T669" s="1514" t="str">
        <f>Incentives!E347</f>
        <v>No</v>
      </c>
      <c r="U669" s="957"/>
    </row>
    <row r="670" spans="1:21" s="1708" customFormat="1" ht="15.75" thickBot="1" x14ac:dyDescent="0.3">
      <c r="A670" s="565"/>
      <c r="B670" s="957"/>
      <c r="C670" s="957"/>
      <c r="D670" s="957"/>
      <c r="E670" s="957"/>
      <c r="F670" s="957"/>
      <c r="G670" s="957"/>
      <c r="H670" s="957"/>
      <c r="I670" s="957"/>
      <c r="J670" s="957"/>
      <c r="K670" s="957"/>
      <c r="L670" s="957"/>
      <c r="M670" s="957"/>
      <c r="N670" s="957"/>
      <c r="O670" s="957"/>
      <c r="P670" s="957"/>
      <c r="Q670" s="957"/>
      <c r="R670" s="957"/>
      <c r="S670" s="957"/>
      <c r="T670" s="957"/>
      <c r="U670" s="957"/>
    </row>
    <row r="671" spans="1:21" s="1708" customFormat="1" ht="15.75" customHeight="1" thickBot="1" x14ac:dyDescent="0.3">
      <c r="A671" s="565"/>
      <c r="B671" s="1950" t="s">
        <v>2174</v>
      </c>
      <c r="C671" s="1921"/>
      <c r="D671" s="1921"/>
      <c r="E671" s="1921"/>
      <c r="F671" s="1921"/>
      <c r="G671" s="1921"/>
      <c r="H671" s="1921"/>
      <c r="I671" s="1921"/>
      <c r="J671" s="1921"/>
      <c r="K671" s="1921"/>
      <c r="L671" s="1921"/>
      <c r="M671" s="1921"/>
      <c r="N671" s="1921"/>
      <c r="O671" s="1921"/>
      <c r="P671" s="1921"/>
      <c r="Q671" s="1921"/>
      <c r="R671" s="1921"/>
      <c r="S671" s="1921"/>
      <c r="T671" s="1921"/>
      <c r="U671" s="1922"/>
    </row>
    <row r="672" spans="1:21" s="1708" customFormat="1" ht="15.75" thickBot="1" x14ac:dyDescent="0.3">
      <c r="A672" s="565"/>
      <c r="B672" s="957"/>
      <c r="C672" s="957"/>
      <c r="D672" s="957"/>
      <c r="E672" s="957"/>
      <c r="F672" s="957"/>
      <c r="G672" s="957"/>
      <c r="H672" s="957"/>
      <c r="I672" s="957"/>
      <c r="J672" s="957"/>
      <c r="K672" s="957"/>
      <c r="L672" s="957"/>
      <c r="M672" s="957"/>
      <c r="N672" s="957"/>
      <c r="O672" s="957"/>
      <c r="P672" s="957"/>
      <c r="Q672" s="957"/>
      <c r="R672" s="957"/>
      <c r="S672" s="957"/>
      <c r="T672" s="957"/>
      <c r="U672" s="957"/>
    </row>
    <row r="673" spans="1:21" s="1708" customFormat="1" ht="30.75" customHeight="1" thickBot="1" x14ac:dyDescent="0.3">
      <c r="A673" s="565"/>
      <c r="B673" s="957"/>
      <c r="C673" s="950" t="s">
        <v>1383</v>
      </c>
      <c r="D673" s="1955" t="s">
        <v>1775</v>
      </c>
      <c r="E673" s="1956"/>
      <c r="F673" s="957"/>
      <c r="G673" s="957"/>
      <c r="H673" s="953" t="s">
        <v>1380</v>
      </c>
      <c r="I673" s="957"/>
      <c r="J673" s="953" t="s">
        <v>1381</v>
      </c>
      <c r="K673" s="957"/>
      <c r="L673" s="953" t="s">
        <v>1397</v>
      </c>
      <c r="M673" s="957"/>
      <c r="N673" s="953" t="s">
        <v>1382</v>
      </c>
      <c r="O673" s="957"/>
      <c r="P673" s="957"/>
      <c r="Q673" s="957"/>
      <c r="R673" s="953" t="s">
        <v>1487</v>
      </c>
      <c r="S673" s="957"/>
      <c r="T673" s="953" t="s">
        <v>1488</v>
      </c>
      <c r="U673" s="957"/>
    </row>
    <row r="674" spans="1:21" s="1708" customFormat="1" ht="15.75" thickBot="1" x14ac:dyDescent="0.3">
      <c r="A674" s="565"/>
      <c r="B674" s="957"/>
      <c r="C674" s="945"/>
      <c r="D674" s="945"/>
      <c r="E674" s="945"/>
      <c r="F674" s="957"/>
      <c r="G674" s="957"/>
      <c r="H674" s="983" t="str">
        <f>IF(T683="Yes",Incentives!G359,"")</f>
        <v/>
      </c>
      <c r="I674" s="957"/>
      <c r="J674" s="943" t="str">
        <f>IF(T683="Yes",Incentives!I359,"")</f>
        <v/>
      </c>
      <c r="K674" s="957"/>
      <c r="L674" s="1367" t="str">
        <f>IF(T683="Yes",Incentives!K359,"")</f>
        <v/>
      </c>
      <c r="M674" s="957"/>
      <c r="N674" s="983" t="str">
        <f>IF(AND(Incentives!M359&lt;&gt;"",T683="Yes"),Incentives!M359,"")</f>
        <v/>
      </c>
      <c r="O674" s="957"/>
      <c r="P674" s="957"/>
      <c r="Q674" s="957"/>
      <c r="R674" s="1514" t="s">
        <v>1602</v>
      </c>
      <c r="S674" s="957"/>
      <c r="T674" s="1514" t="s">
        <v>646</v>
      </c>
      <c r="U674" s="957"/>
    </row>
    <row r="675" spans="1:21" s="1708" customFormat="1" ht="30.75" thickBot="1" x14ac:dyDescent="0.3">
      <c r="A675" s="565"/>
      <c r="B675" s="957"/>
      <c r="C675" s="950" t="s">
        <v>1491</v>
      </c>
      <c r="D675" s="1957">
        <v>5309</v>
      </c>
      <c r="E675" s="1958"/>
      <c r="F675" s="957"/>
      <c r="G675" s="957"/>
      <c r="H675" s="957"/>
      <c r="I675" s="957"/>
      <c r="J675" s="957"/>
      <c r="K675" s="957"/>
      <c r="L675" s="957"/>
      <c r="M675" s="957"/>
      <c r="N675" s="957"/>
      <c r="O675" s="957"/>
      <c r="P675" s="957"/>
      <c r="Q675" s="957"/>
      <c r="R675" s="957"/>
      <c r="S675" s="957"/>
      <c r="T675" s="957"/>
      <c r="U675" s="957"/>
    </row>
    <row r="676" spans="1:21" s="1708" customFormat="1" ht="15.75" thickBot="1" x14ac:dyDescent="0.3">
      <c r="A676" s="565"/>
      <c r="B676" s="957"/>
      <c r="C676" s="945"/>
      <c r="D676" s="945"/>
      <c r="E676" s="945"/>
      <c r="F676" s="957"/>
      <c r="G676" s="957"/>
      <c r="H676" s="1709" t="s">
        <v>1396</v>
      </c>
      <c r="I676" s="957"/>
      <c r="J676" s="957"/>
      <c r="K676" s="957"/>
      <c r="L676" s="957"/>
      <c r="M676" s="957"/>
      <c r="N676" s="957"/>
      <c r="O676" s="957"/>
      <c r="P676" s="957"/>
      <c r="Q676" s="957"/>
      <c r="R676" s="953" t="s">
        <v>1603</v>
      </c>
      <c r="S676" s="957"/>
      <c r="T676" s="953" t="s">
        <v>1604</v>
      </c>
      <c r="U676" s="957"/>
    </row>
    <row r="677" spans="1:21" s="1708" customFormat="1" ht="15.75" thickBot="1" x14ac:dyDescent="0.3">
      <c r="A677" s="565"/>
      <c r="B677" s="957"/>
      <c r="C677" s="950" t="s">
        <v>1385</v>
      </c>
      <c r="D677" s="1959" t="str">
        <f>IF(T683="Yes",Incentives!E373,"")</f>
        <v/>
      </c>
      <c r="E677" s="1960"/>
      <c r="F677" s="957"/>
      <c r="G677" s="957"/>
      <c r="H677" s="1518" t="str">
        <f>IF(T683="Yes",Incentives!G362,"")</f>
        <v/>
      </c>
      <c r="I677" s="957"/>
      <c r="J677" s="957"/>
      <c r="K677" s="957"/>
      <c r="L677" s="957"/>
      <c r="M677" s="957"/>
      <c r="N677" s="957"/>
      <c r="O677" s="957"/>
      <c r="P677" s="957"/>
      <c r="Q677" s="957"/>
      <c r="R677" s="1514" t="s">
        <v>1610</v>
      </c>
      <c r="S677" s="957"/>
      <c r="T677" s="1514" t="s">
        <v>395</v>
      </c>
      <c r="U677" s="957"/>
    </row>
    <row r="678" spans="1:21" s="1708" customFormat="1" ht="15.75" thickBot="1" x14ac:dyDescent="0.3">
      <c r="A678" s="565"/>
      <c r="B678" s="957"/>
      <c r="C678" s="945"/>
      <c r="D678" s="945"/>
      <c r="E678" s="945"/>
      <c r="F678" s="957"/>
      <c r="G678" s="957"/>
      <c r="H678" s="957"/>
      <c r="I678" s="957"/>
      <c r="J678" s="957"/>
      <c r="K678" s="957"/>
      <c r="L678" s="957"/>
      <c r="M678" s="957"/>
      <c r="N678" s="957"/>
      <c r="O678" s="957"/>
      <c r="P678" s="957"/>
      <c r="Q678" s="957"/>
      <c r="R678" s="957"/>
      <c r="S678" s="957"/>
      <c r="T678" s="957"/>
      <c r="U678" s="957"/>
    </row>
    <row r="679" spans="1:21" s="1708" customFormat="1" ht="30.75" thickBot="1" x14ac:dyDescent="0.3">
      <c r="A679" s="565"/>
      <c r="B679" s="957"/>
      <c r="C679" s="950" t="s">
        <v>1386</v>
      </c>
      <c r="D679" s="1959" t="str">
        <f>IF(T683="Yes",Incentives!E374,"")</f>
        <v/>
      </c>
      <c r="E679" s="1960"/>
      <c r="F679" s="957"/>
      <c r="G679" s="957"/>
      <c r="H679" s="1709" t="s">
        <v>1492</v>
      </c>
      <c r="I679" s="957"/>
      <c r="J679" s="1709" t="s">
        <v>2005</v>
      </c>
      <c r="K679" s="957"/>
      <c r="L679" s="1610" t="s">
        <v>2135</v>
      </c>
      <c r="M679" s="957"/>
      <c r="N679" s="953" t="s">
        <v>1482</v>
      </c>
      <c r="O679" s="957"/>
      <c r="P679" s="957"/>
      <c r="Q679" s="957"/>
      <c r="R679" s="957"/>
      <c r="S679" s="957"/>
      <c r="T679" s="953" t="s">
        <v>1599</v>
      </c>
      <c r="U679" s="957"/>
    </row>
    <row r="680" spans="1:21" s="1708" customFormat="1" ht="15.75" thickBot="1" x14ac:dyDescent="0.3">
      <c r="A680" s="565"/>
      <c r="B680" s="957"/>
      <c r="C680" s="945"/>
      <c r="D680" s="945"/>
      <c r="E680" s="945"/>
      <c r="F680" s="957"/>
      <c r="G680" s="957"/>
      <c r="H680" s="1514" t="s">
        <v>648</v>
      </c>
      <c r="I680" s="957"/>
      <c r="J680" s="1027" t="str">
        <f>IF(T683="Yes",Incentives!G365,"")</f>
        <v/>
      </c>
      <c r="K680" s="957"/>
      <c r="L680" s="1611" t="str">
        <f>IF(T683="Yes",IF(R683="Yes","No","Yes"),"")</f>
        <v/>
      </c>
      <c r="M680" s="957"/>
      <c r="N680" s="1518" t="str">
        <f>IF(T683="Yes",Incentives!K365,"")</f>
        <v/>
      </c>
      <c r="O680" s="957"/>
      <c r="P680" s="957"/>
      <c r="Q680" s="957"/>
      <c r="R680" s="957"/>
      <c r="S680" s="957"/>
      <c r="T680" s="1514" t="s">
        <v>648</v>
      </c>
      <c r="U680" s="957"/>
    </row>
    <row r="681" spans="1:21" s="1708" customFormat="1" ht="30.75" thickBot="1" x14ac:dyDescent="0.3">
      <c r="A681" s="565"/>
      <c r="B681" s="957"/>
      <c r="C681" s="951" t="s">
        <v>1495</v>
      </c>
      <c r="D681" s="1975" t="s">
        <v>648</v>
      </c>
      <c r="E681" s="1958"/>
      <c r="F681" s="957"/>
      <c r="G681" s="957"/>
      <c r="H681" s="957"/>
      <c r="I681" s="957"/>
      <c r="J681" s="957"/>
      <c r="K681" s="957"/>
      <c r="L681" s="957"/>
      <c r="M681" s="957"/>
      <c r="N681" s="957"/>
      <c r="O681" s="957"/>
      <c r="P681" s="957"/>
      <c r="Q681" s="957"/>
      <c r="R681" s="957"/>
      <c r="S681" s="957"/>
      <c r="T681" s="957"/>
      <c r="U681" s="957"/>
    </row>
    <row r="682" spans="1:21" s="1708" customFormat="1" ht="15.75" thickBot="1" x14ac:dyDescent="0.3">
      <c r="A682" s="565"/>
      <c r="B682" s="957"/>
      <c r="C682" s="945"/>
      <c r="D682" s="945"/>
      <c r="E682" s="945"/>
      <c r="F682" s="957"/>
      <c r="G682" s="957"/>
      <c r="H682" s="957"/>
      <c r="I682" s="957"/>
      <c r="J682" s="957"/>
      <c r="K682" s="957"/>
      <c r="L682" s="957"/>
      <c r="M682" s="957"/>
      <c r="N682" s="957"/>
      <c r="O682" s="957"/>
      <c r="P682" s="957"/>
      <c r="Q682" s="957"/>
      <c r="R682" s="957"/>
      <c r="S682" s="957"/>
      <c r="T682" s="953" t="s">
        <v>523</v>
      </c>
      <c r="U682" s="957"/>
    </row>
    <row r="683" spans="1:21" s="1708" customFormat="1" ht="15.75" thickBot="1" x14ac:dyDescent="0.3">
      <c r="A683" s="565"/>
      <c r="B683" s="957"/>
      <c r="C683" s="950" t="s">
        <v>1496</v>
      </c>
      <c r="D683" s="1957" t="s">
        <v>1606</v>
      </c>
      <c r="E683" s="1922"/>
      <c r="F683" s="957"/>
      <c r="G683" s="957"/>
      <c r="H683" s="957"/>
      <c r="I683" s="957"/>
      <c r="J683" s="957"/>
      <c r="K683" s="957"/>
      <c r="L683" s="957"/>
      <c r="M683" s="957"/>
      <c r="N683" s="957"/>
      <c r="O683" s="957"/>
      <c r="P683" s="957"/>
      <c r="Q683" s="957"/>
      <c r="R683" s="1613">
        <f>Incentives!C370</f>
        <v>0</v>
      </c>
      <c r="S683" s="957"/>
      <c r="T683" s="1514" t="str">
        <f>Incentives!E358</f>
        <v>No</v>
      </c>
      <c r="U683" s="957"/>
    </row>
    <row r="684" spans="1:21" s="1708" customFormat="1" ht="15.75" thickBot="1" x14ac:dyDescent="0.3">
      <c r="A684" s="565"/>
      <c r="B684" s="957"/>
      <c r="C684" s="957"/>
      <c r="D684" s="957"/>
      <c r="E684" s="957"/>
      <c r="F684" s="957"/>
      <c r="G684" s="957"/>
      <c r="H684" s="957"/>
      <c r="I684" s="957"/>
      <c r="J684" s="957"/>
      <c r="K684" s="957"/>
      <c r="L684" s="957"/>
      <c r="M684" s="957"/>
      <c r="N684" s="957"/>
      <c r="O684" s="957"/>
      <c r="P684" s="957"/>
      <c r="Q684" s="957"/>
      <c r="R684" s="957"/>
      <c r="S684" s="957"/>
      <c r="T684" s="957"/>
      <c r="U684" s="957"/>
    </row>
    <row r="685" spans="1:21" s="1708" customFormat="1" ht="15.75" customHeight="1" thickBot="1" x14ac:dyDescent="0.3">
      <c r="A685" s="565"/>
      <c r="B685" s="1950" t="s">
        <v>2175</v>
      </c>
      <c r="C685" s="1921"/>
      <c r="D685" s="1921"/>
      <c r="E685" s="1921"/>
      <c r="F685" s="1921"/>
      <c r="G685" s="1921"/>
      <c r="H685" s="1921"/>
      <c r="I685" s="1921"/>
      <c r="J685" s="1921"/>
      <c r="K685" s="1921"/>
      <c r="L685" s="1921"/>
      <c r="M685" s="1921"/>
      <c r="N685" s="1921"/>
      <c r="O685" s="1921"/>
      <c r="P685" s="1921"/>
      <c r="Q685" s="1921"/>
      <c r="R685" s="1921"/>
      <c r="S685" s="1921"/>
      <c r="T685" s="1921"/>
      <c r="U685" s="1922"/>
    </row>
    <row r="686" spans="1:21" s="1708" customFormat="1" ht="15.75" thickBot="1" x14ac:dyDescent="0.3">
      <c r="A686" s="565"/>
      <c r="B686" s="957"/>
      <c r="C686" s="957"/>
      <c r="D686" s="957"/>
      <c r="E686" s="957"/>
      <c r="F686" s="957"/>
      <c r="G686" s="957"/>
      <c r="H686" s="957"/>
      <c r="I686" s="957"/>
      <c r="J686" s="957"/>
      <c r="K686" s="957"/>
      <c r="L686" s="957"/>
      <c r="M686" s="957"/>
      <c r="N686" s="957"/>
      <c r="O686" s="957"/>
      <c r="P686" s="957"/>
      <c r="Q686" s="957"/>
      <c r="R686" s="957"/>
      <c r="S686" s="957"/>
      <c r="T686" s="957"/>
      <c r="U686" s="957"/>
    </row>
    <row r="687" spans="1:21" s="1708" customFormat="1" ht="30.75" customHeight="1" thickBot="1" x14ac:dyDescent="0.3">
      <c r="A687" s="565"/>
      <c r="B687" s="957"/>
      <c r="C687" s="950" t="s">
        <v>1383</v>
      </c>
      <c r="D687" s="1955" t="s">
        <v>1775</v>
      </c>
      <c r="E687" s="1956"/>
      <c r="F687" s="957"/>
      <c r="G687" s="957"/>
      <c r="H687" s="953" t="s">
        <v>1380</v>
      </c>
      <c r="I687" s="957"/>
      <c r="J687" s="953" t="s">
        <v>1381</v>
      </c>
      <c r="K687" s="957"/>
      <c r="L687" s="953" t="s">
        <v>1397</v>
      </c>
      <c r="M687" s="957"/>
      <c r="N687" s="953" t="s">
        <v>1382</v>
      </c>
      <c r="O687" s="957"/>
      <c r="P687" s="957"/>
      <c r="Q687" s="957"/>
      <c r="R687" s="953" t="s">
        <v>1487</v>
      </c>
      <c r="S687" s="957"/>
      <c r="T687" s="953" t="s">
        <v>1488</v>
      </c>
      <c r="U687" s="957"/>
    </row>
    <row r="688" spans="1:21" s="1708" customFormat="1" ht="15.75" thickBot="1" x14ac:dyDescent="0.3">
      <c r="A688" s="565"/>
      <c r="B688" s="957"/>
      <c r="C688" s="945"/>
      <c r="D688" s="945"/>
      <c r="E688" s="945"/>
      <c r="F688" s="957"/>
      <c r="G688" s="957"/>
      <c r="H688" s="983" t="str">
        <f>IF(T697="Yes",Incentives!G370,"")</f>
        <v/>
      </c>
      <c r="I688" s="957"/>
      <c r="J688" s="943" t="str">
        <f>IF(T697="Yes",Incentives!I370,"")</f>
        <v/>
      </c>
      <c r="K688" s="957"/>
      <c r="L688" s="1367" t="str">
        <f>IF(T697="Yes",Incentives!K370,"")</f>
        <v/>
      </c>
      <c r="M688" s="957"/>
      <c r="N688" s="983" t="str">
        <f>IF(AND(Incentives!M370&lt;&gt;"",T697="Yes"),Incentives!M370,"")</f>
        <v/>
      </c>
      <c r="O688" s="957"/>
      <c r="P688" s="957"/>
      <c r="Q688" s="957"/>
      <c r="R688" s="1514" t="s">
        <v>1602</v>
      </c>
      <c r="S688" s="957"/>
      <c r="T688" s="1514" t="s">
        <v>646</v>
      </c>
      <c r="U688" s="957"/>
    </row>
    <row r="689" spans="1:21" s="1708" customFormat="1" ht="30.75" thickBot="1" x14ac:dyDescent="0.3">
      <c r="A689" s="565"/>
      <c r="B689" s="957"/>
      <c r="C689" s="950" t="s">
        <v>1491</v>
      </c>
      <c r="D689" s="1957">
        <v>5309</v>
      </c>
      <c r="E689" s="1958"/>
      <c r="F689" s="957"/>
      <c r="G689" s="957"/>
      <c r="H689" s="957"/>
      <c r="I689" s="957"/>
      <c r="J689" s="957"/>
      <c r="K689" s="957"/>
      <c r="L689" s="957"/>
      <c r="M689" s="957"/>
      <c r="N689" s="957"/>
      <c r="O689" s="957"/>
      <c r="P689" s="957"/>
      <c r="Q689" s="957"/>
      <c r="R689" s="957"/>
      <c r="S689" s="957"/>
      <c r="T689" s="957"/>
      <c r="U689" s="957"/>
    </row>
    <row r="690" spans="1:21" s="1708" customFormat="1" ht="15.75" thickBot="1" x14ac:dyDescent="0.3">
      <c r="A690" s="565"/>
      <c r="B690" s="957"/>
      <c r="C690" s="945"/>
      <c r="D690" s="945"/>
      <c r="E690" s="945"/>
      <c r="F690" s="957"/>
      <c r="G690" s="957"/>
      <c r="H690" s="1709" t="s">
        <v>1396</v>
      </c>
      <c r="I690" s="957"/>
      <c r="J690" s="957"/>
      <c r="K690" s="957"/>
      <c r="L690" s="957"/>
      <c r="M690" s="957"/>
      <c r="N690" s="957"/>
      <c r="O690" s="957"/>
      <c r="P690" s="957"/>
      <c r="Q690" s="957"/>
      <c r="R690" s="953" t="s">
        <v>1603</v>
      </c>
      <c r="S690" s="957"/>
      <c r="T690" s="953" t="s">
        <v>1604</v>
      </c>
      <c r="U690" s="957"/>
    </row>
    <row r="691" spans="1:21" s="1708" customFormat="1" ht="15.75" thickBot="1" x14ac:dyDescent="0.3">
      <c r="A691" s="565"/>
      <c r="B691" s="957"/>
      <c r="C691" s="950" t="s">
        <v>1385</v>
      </c>
      <c r="D691" s="1959" t="str">
        <f>IF(T697="Yes",Incentives!E387,"")</f>
        <v/>
      </c>
      <c r="E691" s="1960"/>
      <c r="F691" s="957"/>
      <c r="G691" s="957"/>
      <c r="H691" s="1518" t="str">
        <f>IF(T697="Yes",Incentives!G373,"")</f>
        <v/>
      </c>
      <c r="I691" s="957"/>
      <c r="J691" s="957"/>
      <c r="K691" s="957"/>
      <c r="L691" s="957"/>
      <c r="M691" s="957"/>
      <c r="N691" s="957"/>
      <c r="O691" s="957"/>
      <c r="P691" s="957"/>
      <c r="Q691" s="957"/>
      <c r="R691" s="1514" t="s">
        <v>1610</v>
      </c>
      <c r="S691" s="957"/>
      <c r="T691" s="1514" t="s">
        <v>395</v>
      </c>
      <c r="U691" s="957"/>
    </row>
    <row r="692" spans="1:21" s="1708" customFormat="1" ht="15.75" thickBot="1" x14ac:dyDescent="0.3">
      <c r="A692" s="565"/>
      <c r="B692" s="957"/>
      <c r="C692" s="945"/>
      <c r="D692" s="945"/>
      <c r="E692" s="945"/>
      <c r="F692" s="957"/>
      <c r="G692" s="957"/>
      <c r="H692" s="957"/>
      <c r="I692" s="957"/>
      <c r="J692" s="957"/>
      <c r="K692" s="957"/>
      <c r="L692" s="957"/>
      <c r="M692" s="957"/>
      <c r="N692" s="957"/>
      <c r="O692" s="957"/>
      <c r="P692" s="957"/>
      <c r="Q692" s="957"/>
      <c r="R692" s="957"/>
      <c r="S692" s="957"/>
      <c r="T692" s="957"/>
      <c r="U692" s="957"/>
    </row>
    <row r="693" spans="1:21" s="1708" customFormat="1" ht="30.75" thickBot="1" x14ac:dyDescent="0.3">
      <c r="A693" s="565"/>
      <c r="B693" s="957"/>
      <c r="C693" s="950" t="s">
        <v>1386</v>
      </c>
      <c r="D693" s="1959" t="str">
        <f>IF(T697="Yes",Incentives!E388,"")</f>
        <v/>
      </c>
      <c r="E693" s="1960"/>
      <c r="F693" s="957"/>
      <c r="G693" s="957"/>
      <c r="H693" s="1709" t="s">
        <v>1492</v>
      </c>
      <c r="I693" s="957"/>
      <c r="J693" s="1709" t="s">
        <v>2005</v>
      </c>
      <c r="K693" s="957"/>
      <c r="L693" s="1610" t="s">
        <v>2135</v>
      </c>
      <c r="M693" s="957"/>
      <c r="N693" s="953" t="s">
        <v>1482</v>
      </c>
      <c r="O693" s="957"/>
      <c r="P693" s="957"/>
      <c r="Q693" s="957"/>
      <c r="R693" s="957"/>
      <c r="S693" s="957"/>
      <c r="T693" s="953" t="s">
        <v>1599</v>
      </c>
      <c r="U693" s="957"/>
    </row>
    <row r="694" spans="1:21" s="1708" customFormat="1" ht="15.75" thickBot="1" x14ac:dyDescent="0.3">
      <c r="A694" s="565"/>
      <c r="B694" s="957"/>
      <c r="C694" s="945"/>
      <c r="D694" s="945"/>
      <c r="E694" s="945"/>
      <c r="F694" s="957"/>
      <c r="G694" s="957"/>
      <c r="H694" s="1514" t="s">
        <v>648</v>
      </c>
      <c r="I694" s="957"/>
      <c r="J694" s="1027" t="str">
        <f>IF(T697="Yes",Incentives!G376,"")</f>
        <v/>
      </c>
      <c r="K694" s="957"/>
      <c r="L694" s="1611" t="str">
        <f>IF(T697="Yes",IF(R697="Yes","No","Yes"),"")</f>
        <v/>
      </c>
      <c r="M694" s="957"/>
      <c r="N694" s="1518" t="str">
        <f>IF(T697="Yes",Incentives!K376,"")</f>
        <v/>
      </c>
      <c r="O694" s="957"/>
      <c r="P694" s="957"/>
      <c r="Q694" s="957"/>
      <c r="R694" s="957"/>
      <c r="S694" s="957"/>
      <c r="T694" s="1514" t="s">
        <v>648</v>
      </c>
      <c r="U694" s="957"/>
    </row>
    <row r="695" spans="1:21" s="1708" customFormat="1" ht="30.75" thickBot="1" x14ac:dyDescent="0.3">
      <c r="A695" s="565"/>
      <c r="B695" s="957"/>
      <c r="C695" s="951" t="s">
        <v>1495</v>
      </c>
      <c r="D695" s="1975" t="s">
        <v>648</v>
      </c>
      <c r="E695" s="1958"/>
      <c r="F695" s="957"/>
      <c r="G695" s="957"/>
      <c r="H695" s="957"/>
      <c r="I695" s="957"/>
      <c r="J695" s="957"/>
      <c r="K695" s="957"/>
      <c r="L695" s="957"/>
      <c r="M695" s="957"/>
      <c r="N695" s="957"/>
      <c r="O695" s="957"/>
      <c r="P695" s="957"/>
      <c r="Q695" s="957"/>
      <c r="R695" s="957"/>
      <c r="S695" s="957"/>
      <c r="T695" s="957"/>
      <c r="U695" s="957"/>
    </row>
    <row r="696" spans="1:21" s="1708" customFormat="1" ht="15.75" thickBot="1" x14ac:dyDescent="0.3">
      <c r="A696" s="565"/>
      <c r="B696" s="957"/>
      <c r="C696" s="945"/>
      <c r="D696" s="945"/>
      <c r="E696" s="945"/>
      <c r="F696" s="957"/>
      <c r="G696" s="957"/>
      <c r="H696" s="957"/>
      <c r="I696" s="957"/>
      <c r="J696" s="957"/>
      <c r="K696" s="957"/>
      <c r="L696" s="957"/>
      <c r="M696" s="957"/>
      <c r="N696" s="957"/>
      <c r="O696" s="957"/>
      <c r="P696" s="957"/>
      <c r="Q696" s="957"/>
      <c r="R696" s="957"/>
      <c r="S696" s="957"/>
      <c r="T696" s="953" t="s">
        <v>523</v>
      </c>
      <c r="U696" s="957"/>
    </row>
    <row r="697" spans="1:21" s="1708" customFormat="1" ht="15.75" thickBot="1" x14ac:dyDescent="0.3">
      <c r="A697" s="565"/>
      <c r="B697" s="957"/>
      <c r="C697" s="950" t="s">
        <v>1496</v>
      </c>
      <c r="D697" s="1957" t="s">
        <v>1606</v>
      </c>
      <c r="E697" s="1922"/>
      <c r="F697" s="957"/>
      <c r="G697" s="957"/>
      <c r="H697" s="957"/>
      <c r="I697" s="957"/>
      <c r="J697" s="957"/>
      <c r="K697" s="957"/>
      <c r="L697" s="957"/>
      <c r="M697" s="957"/>
      <c r="N697" s="957"/>
      <c r="O697" s="957"/>
      <c r="P697" s="957"/>
      <c r="Q697" s="957"/>
      <c r="R697" s="1613" t="str">
        <f ca="1">Incentives!C384</f>
        <v/>
      </c>
      <c r="S697" s="957"/>
      <c r="T697" s="1514" t="str">
        <f>Incentives!E369</f>
        <v>No</v>
      </c>
      <c r="U697" s="957"/>
    </row>
    <row r="698" spans="1:21" s="1708" customFormat="1" ht="15.75" thickBot="1" x14ac:dyDescent="0.3">
      <c r="A698" s="565"/>
      <c r="B698" s="957"/>
      <c r="C698" s="957"/>
      <c r="D698" s="957"/>
      <c r="E698" s="957"/>
      <c r="F698" s="957"/>
      <c r="G698" s="957"/>
      <c r="H698" s="957"/>
      <c r="I698" s="957"/>
      <c r="J698" s="957"/>
      <c r="K698" s="957"/>
      <c r="L698" s="957"/>
      <c r="M698" s="957"/>
      <c r="N698" s="957"/>
      <c r="O698" s="957"/>
      <c r="P698" s="957"/>
      <c r="Q698" s="957"/>
      <c r="R698" s="957"/>
      <c r="S698" s="957"/>
      <c r="T698" s="957"/>
      <c r="U698" s="957"/>
    </row>
    <row r="699" spans="1:21" s="1708" customFormat="1" ht="15.75" customHeight="1" thickBot="1" x14ac:dyDescent="0.3">
      <c r="A699" s="565"/>
      <c r="B699" s="1950" t="s">
        <v>2176</v>
      </c>
      <c r="C699" s="1921"/>
      <c r="D699" s="1921"/>
      <c r="E699" s="1921"/>
      <c r="F699" s="1921"/>
      <c r="G699" s="1921"/>
      <c r="H699" s="1921"/>
      <c r="I699" s="1921"/>
      <c r="J699" s="1921"/>
      <c r="K699" s="1921"/>
      <c r="L699" s="1921"/>
      <c r="M699" s="1921"/>
      <c r="N699" s="1921"/>
      <c r="O699" s="1921"/>
      <c r="P699" s="1921"/>
      <c r="Q699" s="1921"/>
      <c r="R699" s="1921"/>
      <c r="S699" s="1921"/>
      <c r="T699" s="1921"/>
      <c r="U699" s="1922"/>
    </row>
    <row r="700" spans="1:21" s="1708" customFormat="1" ht="15.75" thickBot="1" x14ac:dyDescent="0.3">
      <c r="A700" s="565"/>
      <c r="B700" s="957"/>
      <c r="C700" s="957"/>
      <c r="D700" s="957"/>
      <c r="E700" s="957"/>
      <c r="F700" s="957"/>
      <c r="G700" s="957"/>
      <c r="H700" s="957"/>
      <c r="I700" s="957"/>
      <c r="J700" s="957"/>
      <c r="K700" s="957"/>
      <c r="L700" s="957"/>
      <c r="M700" s="957"/>
      <c r="N700" s="957"/>
      <c r="O700" s="957"/>
      <c r="P700" s="957"/>
      <c r="Q700" s="957"/>
      <c r="R700" s="957"/>
      <c r="S700" s="957"/>
      <c r="T700" s="957"/>
      <c r="U700" s="957"/>
    </row>
    <row r="701" spans="1:21" s="1708" customFormat="1" ht="30.75" customHeight="1" thickBot="1" x14ac:dyDescent="0.3">
      <c r="A701" s="565"/>
      <c r="B701" s="957"/>
      <c r="C701" s="950" t="s">
        <v>1383</v>
      </c>
      <c r="D701" s="1955" t="s">
        <v>1775</v>
      </c>
      <c r="E701" s="1956"/>
      <c r="F701" s="957"/>
      <c r="G701" s="957"/>
      <c r="H701" s="953" t="s">
        <v>1380</v>
      </c>
      <c r="I701" s="957"/>
      <c r="J701" s="953" t="s">
        <v>1381</v>
      </c>
      <c r="K701" s="957"/>
      <c r="L701" s="953" t="s">
        <v>1397</v>
      </c>
      <c r="M701" s="957"/>
      <c r="N701" s="953" t="s">
        <v>1382</v>
      </c>
      <c r="O701" s="957"/>
      <c r="P701" s="957"/>
      <c r="Q701" s="957"/>
      <c r="R701" s="953" t="s">
        <v>1487</v>
      </c>
      <c r="S701" s="957"/>
      <c r="T701" s="953" t="s">
        <v>1488</v>
      </c>
      <c r="U701" s="957"/>
    </row>
    <row r="702" spans="1:21" s="1708" customFormat="1" ht="15.75" thickBot="1" x14ac:dyDescent="0.3">
      <c r="A702" s="565"/>
      <c r="B702" s="957"/>
      <c r="C702" s="945"/>
      <c r="D702" s="945"/>
      <c r="E702" s="945"/>
      <c r="F702" s="957"/>
      <c r="G702" s="957"/>
      <c r="H702" s="983" t="str">
        <f>IF(T711="Yes",Incentives!G381,"")</f>
        <v/>
      </c>
      <c r="I702" s="957"/>
      <c r="J702" s="943" t="str">
        <f>IF(T711="Yes",Incentives!I381,"")</f>
        <v/>
      </c>
      <c r="K702" s="957"/>
      <c r="L702" s="1367" t="str">
        <f>IF(T711="Yes",Incentives!K381,"")</f>
        <v/>
      </c>
      <c r="M702" s="957"/>
      <c r="N702" s="983" t="str">
        <f>IF(AND(Incentives!M381&lt;&gt;"",T711="Yes"),Incentives!M381,"")</f>
        <v/>
      </c>
      <c r="O702" s="957"/>
      <c r="P702" s="957"/>
      <c r="Q702" s="957"/>
      <c r="R702" s="1514" t="s">
        <v>1602</v>
      </c>
      <c r="S702" s="957"/>
      <c r="T702" s="1514" t="s">
        <v>646</v>
      </c>
      <c r="U702" s="957"/>
    </row>
    <row r="703" spans="1:21" s="1708" customFormat="1" ht="30.75" thickBot="1" x14ac:dyDescent="0.3">
      <c r="A703" s="565"/>
      <c r="B703" s="957"/>
      <c r="C703" s="950" t="s">
        <v>1491</v>
      </c>
      <c r="D703" s="1957">
        <v>5309</v>
      </c>
      <c r="E703" s="1958"/>
      <c r="F703" s="957"/>
      <c r="G703" s="957"/>
      <c r="H703" s="957"/>
      <c r="I703" s="957"/>
      <c r="J703" s="957"/>
      <c r="K703" s="957"/>
      <c r="L703" s="957"/>
      <c r="M703" s="957"/>
      <c r="N703" s="957"/>
      <c r="O703" s="957"/>
      <c r="P703" s="957"/>
      <c r="Q703" s="957"/>
      <c r="R703" s="957"/>
      <c r="S703" s="957"/>
      <c r="T703" s="957"/>
      <c r="U703" s="957"/>
    </row>
    <row r="704" spans="1:21" s="1708" customFormat="1" ht="15.75" thickBot="1" x14ac:dyDescent="0.3">
      <c r="A704" s="565"/>
      <c r="B704" s="957"/>
      <c r="C704" s="945"/>
      <c r="D704" s="945"/>
      <c r="E704" s="945"/>
      <c r="F704" s="957"/>
      <c r="G704" s="957"/>
      <c r="H704" s="1709" t="s">
        <v>1396</v>
      </c>
      <c r="I704" s="957"/>
      <c r="J704" s="957"/>
      <c r="K704" s="957"/>
      <c r="L704" s="957"/>
      <c r="M704" s="957"/>
      <c r="N704" s="957"/>
      <c r="O704" s="957"/>
      <c r="P704" s="957"/>
      <c r="Q704" s="957"/>
      <c r="R704" s="953" t="s">
        <v>1603</v>
      </c>
      <c r="S704" s="957"/>
      <c r="T704" s="953" t="s">
        <v>1604</v>
      </c>
      <c r="U704" s="957"/>
    </row>
    <row r="705" spans="1:21" s="1708" customFormat="1" ht="15.75" thickBot="1" x14ac:dyDescent="0.3">
      <c r="A705" s="565"/>
      <c r="B705" s="957"/>
      <c r="C705" s="950" t="s">
        <v>1385</v>
      </c>
      <c r="D705" s="1959" t="str">
        <f>IF(T711="Yes",Incentives!E401,"")</f>
        <v/>
      </c>
      <c r="E705" s="1960"/>
      <c r="F705" s="957"/>
      <c r="G705" s="957"/>
      <c r="H705" s="1518" t="str">
        <f>IF(T711="Yes",Incentives!G384,"")</f>
        <v/>
      </c>
      <c r="I705" s="957"/>
      <c r="J705" s="957"/>
      <c r="K705" s="957"/>
      <c r="L705" s="957"/>
      <c r="M705" s="957"/>
      <c r="N705" s="957"/>
      <c r="O705" s="957"/>
      <c r="P705" s="957"/>
      <c r="Q705" s="957"/>
      <c r="R705" s="1514" t="s">
        <v>1610</v>
      </c>
      <c r="S705" s="957"/>
      <c r="T705" s="1514" t="s">
        <v>395</v>
      </c>
      <c r="U705" s="957"/>
    </row>
    <row r="706" spans="1:21" s="1708" customFormat="1" ht="15.75" thickBot="1" x14ac:dyDescent="0.3">
      <c r="A706" s="565"/>
      <c r="B706" s="957"/>
      <c r="C706" s="945"/>
      <c r="D706" s="945"/>
      <c r="E706" s="945"/>
      <c r="F706" s="957"/>
      <c r="G706" s="957"/>
      <c r="H706" s="957"/>
      <c r="I706" s="957"/>
      <c r="J706" s="957"/>
      <c r="K706" s="957"/>
      <c r="L706" s="957"/>
      <c r="M706" s="957"/>
      <c r="N706" s="957"/>
      <c r="O706" s="957"/>
      <c r="P706" s="957"/>
      <c r="Q706" s="957"/>
      <c r="R706" s="957"/>
      <c r="S706" s="957"/>
      <c r="T706" s="957"/>
      <c r="U706" s="957"/>
    </row>
    <row r="707" spans="1:21" s="1708" customFormat="1" ht="30.75" thickBot="1" x14ac:dyDescent="0.3">
      <c r="A707" s="565"/>
      <c r="B707" s="957"/>
      <c r="C707" s="950" t="s">
        <v>1386</v>
      </c>
      <c r="D707" s="1959" t="str">
        <f>IF(T711="Yes",Incentives!E402,"")</f>
        <v/>
      </c>
      <c r="E707" s="1960"/>
      <c r="F707" s="957"/>
      <c r="G707" s="957"/>
      <c r="H707" s="1709" t="s">
        <v>1492</v>
      </c>
      <c r="I707" s="957"/>
      <c r="J707" s="1709" t="s">
        <v>2005</v>
      </c>
      <c r="K707" s="957"/>
      <c r="L707" s="1610" t="s">
        <v>2135</v>
      </c>
      <c r="M707" s="957"/>
      <c r="N707" s="953" t="s">
        <v>1482</v>
      </c>
      <c r="O707" s="957"/>
      <c r="P707" s="957"/>
      <c r="Q707" s="957"/>
      <c r="R707" s="957"/>
      <c r="S707" s="957"/>
      <c r="T707" s="953" t="s">
        <v>1599</v>
      </c>
      <c r="U707" s="957"/>
    </row>
    <row r="708" spans="1:21" s="1708" customFormat="1" ht="15.75" thickBot="1" x14ac:dyDescent="0.3">
      <c r="A708" s="565"/>
      <c r="B708" s="957"/>
      <c r="C708" s="945"/>
      <c r="D708" s="945"/>
      <c r="E708" s="945"/>
      <c r="F708" s="957"/>
      <c r="G708" s="957"/>
      <c r="H708" s="1514" t="s">
        <v>648</v>
      </c>
      <c r="I708" s="957"/>
      <c r="J708" s="1027" t="str">
        <f>IF(T711="Yes",Incentives!G387,"")</f>
        <v/>
      </c>
      <c r="K708" s="957"/>
      <c r="L708" s="1611" t="str">
        <f>IF(T711="Yes",IF(R711="Yes","No","Yes"),"")</f>
        <v/>
      </c>
      <c r="M708" s="957"/>
      <c r="N708" s="1518" t="str">
        <f>IF(T711="Yes",Incentives!K387,"")</f>
        <v/>
      </c>
      <c r="O708" s="957"/>
      <c r="P708" s="957"/>
      <c r="Q708" s="957"/>
      <c r="R708" s="957"/>
      <c r="S708" s="957"/>
      <c r="T708" s="1514" t="s">
        <v>648</v>
      </c>
      <c r="U708" s="957"/>
    </row>
    <row r="709" spans="1:21" s="1708" customFormat="1" ht="30.75" thickBot="1" x14ac:dyDescent="0.3">
      <c r="A709" s="565"/>
      <c r="B709" s="957"/>
      <c r="C709" s="951" t="s">
        <v>1495</v>
      </c>
      <c r="D709" s="1975" t="s">
        <v>648</v>
      </c>
      <c r="E709" s="1958"/>
      <c r="F709" s="957"/>
      <c r="G709" s="957"/>
      <c r="H709" s="957"/>
      <c r="I709" s="957"/>
      <c r="J709" s="957"/>
      <c r="K709" s="957"/>
      <c r="L709" s="957"/>
      <c r="M709" s="957"/>
      <c r="N709" s="957"/>
      <c r="O709" s="957"/>
      <c r="P709" s="957"/>
      <c r="Q709" s="957"/>
      <c r="R709" s="957"/>
      <c r="S709" s="957"/>
      <c r="T709" s="957"/>
      <c r="U709" s="957"/>
    </row>
    <row r="710" spans="1:21" s="1708" customFormat="1" ht="15.75" thickBot="1" x14ac:dyDescent="0.3">
      <c r="A710" s="565"/>
      <c r="B710" s="957"/>
      <c r="C710" s="945"/>
      <c r="D710" s="945"/>
      <c r="E710" s="945"/>
      <c r="F710" s="957"/>
      <c r="G710" s="957"/>
      <c r="H710" s="957"/>
      <c r="I710" s="957"/>
      <c r="J710" s="957"/>
      <c r="K710" s="957"/>
      <c r="L710" s="957"/>
      <c r="M710" s="957"/>
      <c r="N710" s="957"/>
      <c r="O710" s="957"/>
      <c r="P710" s="957"/>
      <c r="Q710" s="957"/>
      <c r="R710" s="957"/>
      <c r="S710" s="957"/>
      <c r="T710" s="953" t="s">
        <v>523</v>
      </c>
      <c r="U710" s="957"/>
    </row>
    <row r="711" spans="1:21" s="1708" customFormat="1" ht="15.75" thickBot="1" x14ac:dyDescent="0.3">
      <c r="A711" s="565"/>
      <c r="B711" s="957"/>
      <c r="C711" s="950" t="s">
        <v>1496</v>
      </c>
      <c r="D711" s="1957" t="s">
        <v>1606</v>
      </c>
      <c r="E711" s="1922"/>
      <c r="F711" s="957"/>
      <c r="G711" s="957"/>
      <c r="H711" s="957"/>
      <c r="I711" s="957"/>
      <c r="J711" s="957"/>
      <c r="K711" s="957"/>
      <c r="L711" s="957"/>
      <c r="M711" s="957"/>
      <c r="N711" s="957"/>
      <c r="O711" s="957"/>
      <c r="P711" s="957"/>
      <c r="Q711" s="957"/>
      <c r="R711" s="1613">
        <f>Incentives!C398</f>
        <v>0</v>
      </c>
      <c r="S711" s="957"/>
      <c r="T711" s="1514" t="str">
        <f>Incentives!E380</f>
        <v>No</v>
      </c>
      <c r="U711" s="957"/>
    </row>
    <row r="712" spans="1:21" s="1708" customFormat="1" ht="15.75" thickBot="1" x14ac:dyDescent="0.3">
      <c r="A712" s="565"/>
      <c r="B712" s="957"/>
      <c r="C712" s="957"/>
      <c r="D712" s="957"/>
      <c r="E712" s="957"/>
      <c r="F712" s="957"/>
      <c r="G712" s="957"/>
      <c r="H712" s="957"/>
      <c r="I712" s="957"/>
      <c r="J712" s="957"/>
      <c r="K712" s="957"/>
      <c r="L712" s="957"/>
      <c r="M712" s="957"/>
      <c r="N712" s="957"/>
      <c r="O712" s="957"/>
      <c r="P712" s="957"/>
      <c r="Q712" s="957"/>
      <c r="R712" s="957"/>
      <c r="S712" s="957"/>
      <c r="T712" s="957"/>
      <c r="U712" s="957"/>
    </row>
    <row r="713" spans="1:21" s="1708" customFormat="1" ht="15.75" customHeight="1" thickBot="1" x14ac:dyDescent="0.3">
      <c r="A713" s="565"/>
      <c r="B713" s="1950" t="s">
        <v>2177</v>
      </c>
      <c r="C713" s="1921"/>
      <c r="D713" s="1921"/>
      <c r="E713" s="1921"/>
      <c r="F713" s="1921"/>
      <c r="G713" s="1921"/>
      <c r="H713" s="1921"/>
      <c r="I713" s="1921"/>
      <c r="J713" s="1921"/>
      <c r="K713" s="1921"/>
      <c r="L713" s="1921"/>
      <c r="M713" s="1921"/>
      <c r="N713" s="1921"/>
      <c r="O713" s="1921"/>
      <c r="P713" s="1921"/>
      <c r="Q713" s="1921"/>
      <c r="R713" s="1921"/>
      <c r="S713" s="1921"/>
      <c r="T713" s="1921"/>
      <c r="U713" s="1922"/>
    </row>
    <row r="714" spans="1:21" s="1708" customFormat="1" ht="15.75" thickBot="1" x14ac:dyDescent="0.3">
      <c r="A714" s="565"/>
      <c r="B714" s="957"/>
      <c r="C714" s="957"/>
      <c r="D714" s="957"/>
      <c r="E714" s="957"/>
      <c r="F714" s="957"/>
      <c r="G714" s="957"/>
      <c r="H714" s="957"/>
      <c r="I714" s="957"/>
      <c r="J714" s="957"/>
      <c r="K714" s="957"/>
      <c r="L714" s="957"/>
      <c r="M714" s="957"/>
      <c r="N714" s="957"/>
      <c r="O714" s="957"/>
      <c r="P714" s="957"/>
      <c r="Q714" s="957"/>
      <c r="R714" s="957"/>
      <c r="S714" s="957"/>
      <c r="T714" s="957"/>
      <c r="U714" s="957"/>
    </row>
    <row r="715" spans="1:21" s="1708" customFormat="1" ht="30.75" customHeight="1" thickBot="1" x14ac:dyDescent="0.3">
      <c r="A715" s="565"/>
      <c r="B715" s="957"/>
      <c r="C715" s="950" t="s">
        <v>1383</v>
      </c>
      <c r="D715" s="1955" t="s">
        <v>1775</v>
      </c>
      <c r="E715" s="1956"/>
      <c r="F715" s="957"/>
      <c r="G715" s="957"/>
      <c r="H715" s="953" t="s">
        <v>1380</v>
      </c>
      <c r="I715" s="957"/>
      <c r="J715" s="953" t="s">
        <v>1381</v>
      </c>
      <c r="K715" s="957"/>
      <c r="L715" s="953" t="s">
        <v>1397</v>
      </c>
      <c r="M715" s="957"/>
      <c r="N715" s="953" t="s">
        <v>1382</v>
      </c>
      <c r="O715" s="957"/>
      <c r="P715" s="957"/>
      <c r="Q715" s="957"/>
      <c r="R715" s="953" t="s">
        <v>1487</v>
      </c>
      <c r="S715" s="957"/>
      <c r="T715" s="953" t="s">
        <v>1488</v>
      </c>
      <c r="U715" s="957"/>
    </row>
    <row r="716" spans="1:21" s="1708" customFormat="1" ht="15.75" thickBot="1" x14ac:dyDescent="0.3">
      <c r="A716" s="565"/>
      <c r="B716" s="957"/>
      <c r="C716" s="945"/>
      <c r="D716" s="945"/>
      <c r="E716" s="945"/>
      <c r="F716" s="957"/>
      <c r="G716" s="957"/>
      <c r="H716" s="983" t="str">
        <f>IF(T725="Yes",Incentives!G392,"")</f>
        <v/>
      </c>
      <c r="I716" s="957"/>
      <c r="J716" s="943" t="str">
        <f>IF(T725="Yes",Incentives!I392,"")</f>
        <v/>
      </c>
      <c r="K716" s="957"/>
      <c r="L716" s="1367" t="str">
        <f>IF(T725="Yes",Incentives!K392,"")</f>
        <v/>
      </c>
      <c r="M716" s="957"/>
      <c r="N716" s="983" t="str">
        <f>IF(AND(Incentives!M392&lt;&gt;"",T725="Yes"),Incentives!M392,"")</f>
        <v/>
      </c>
      <c r="O716" s="957"/>
      <c r="P716" s="957"/>
      <c r="Q716" s="957"/>
      <c r="R716" s="1514" t="s">
        <v>1602</v>
      </c>
      <c r="S716" s="957"/>
      <c r="T716" s="1514" t="s">
        <v>646</v>
      </c>
      <c r="U716" s="957"/>
    </row>
    <row r="717" spans="1:21" s="1708" customFormat="1" ht="30.75" thickBot="1" x14ac:dyDescent="0.3">
      <c r="A717" s="565"/>
      <c r="B717" s="957"/>
      <c r="C717" s="950" t="s">
        <v>1491</v>
      </c>
      <c r="D717" s="1957">
        <v>5309</v>
      </c>
      <c r="E717" s="1958"/>
      <c r="F717" s="957"/>
      <c r="G717" s="957"/>
      <c r="H717" s="957"/>
      <c r="I717" s="957"/>
      <c r="J717" s="957"/>
      <c r="K717" s="957"/>
      <c r="L717" s="957"/>
      <c r="M717" s="957"/>
      <c r="N717" s="957"/>
      <c r="O717" s="957"/>
      <c r="P717" s="957"/>
      <c r="Q717" s="957"/>
      <c r="R717" s="957"/>
      <c r="S717" s="957"/>
      <c r="T717" s="957"/>
      <c r="U717" s="957"/>
    </row>
    <row r="718" spans="1:21" s="1708" customFormat="1" ht="15.75" thickBot="1" x14ac:dyDescent="0.3">
      <c r="A718" s="565"/>
      <c r="B718" s="957"/>
      <c r="C718" s="945"/>
      <c r="D718" s="945"/>
      <c r="E718" s="945"/>
      <c r="F718" s="957"/>
      <c r="G718" s="957"/>
      <c r="H718" s="1709" t="s">
        <v>1396</v>
      </c>
      <c r="I718" s="957"/>
      <c r="J718" s="957"/>
      <c r="K718" s="957"/>
      <c r="L718" s="957"/>
      <c r="M718" s="957"/>
      <c r="N718" s="957"/>
      <c r="O718" s="957"/>
      <c r="P718" s="957"/>
      <c r="Q718" s="957"/>
      <c r="R718" s="953" t="s">
        <v>1603</v>
      </c>
      <c r="S718" s="957"/>
      <c r="T718" s="953" t="s">
        <v>1604</v>
      </c>
      <c r="U718" s="957"/>
    </row>
    <row r="719" spans="1:21" s="1708" customFormat="1" ht="15.75" thickBot="1" x14ac:dyDescent="0.3">
      <c r="A719" s="565"/>
      <c r="B719" s="957"/>
      <c r="C719" s="950" t="s">
        <v>1385</v>
      </c>
      <c r="D719" s="1959" t="str">
        <f>IF(T725="Yes",Incentives!E415,"")</f>
        <v/>
      </c>
      <c r="E719" s="1960"/>
      <c r="F719" s="957"/>
      <c r="G719" s="957"/>
      <c r="H719" s="1518" t="str">
        <f>IF(T725="Yes",Incentives!G395,"")</f>
        <v/>
      </c>
      <c r="I719" s="957"/>
      <c r="J719" s="957"/>
      <c r="K719" s="957"/>
      <c r="L719" s="957"/>
      <c r="M719" s="957"/>
      <c r="N719" s="957"/>
      <c r="O719" s="957"/>
      <c r="P719" s="957"/>
      <c r="Q719" s="957"/>
      <c r="R719" s="1514" t="s">
        <v>1610</v>
      </c>
      <c r="S719" s="957"/>
      <c r="T719" s="1514" t="s">
        <v>395</v>
      </c>
      <c r="U719" s="957"/>
    </row>
    <row r="720" spans="1:21" s="1708" customFormat="1" ht="15.75" thickBot="1" x14ac:dyDescent="0.3">
      <c r="A720" s="565"/>
      <c r="B720" s="957"/>
      <c r="C720" s="945"/>
      <c r="D720" s="945"/>
      <c r="E720" s="945"/>
      <c r="F720" s="957"/>
      <c r="G720" s="957"/>
      <c r="H720" s="957"/>
      <c r="I720" s="957"/>
      <c r="J720" s="957"/>
      <c r="K720" s="957"/>
      <c r="L720" s="957"/>
      <c r="M720" s="957"/>
      <c r="N720" s="957"/>
      <c r="O720" s="957"/>
      <c r="P720" s="957"/>
      <c r="Q720" s="957"/>
      <c r="R720" s="957"/>
      <c r="S720" s="957"/>
      <c r="T720" s="957"/>
      <c r="U720" s="957"/>
    </row>
    <row r="721" spans="1:21" s="1708" customFormat="1" ht="30.75" thickBot="1" x14ac:dyDescent="0.3">
      <c r="A721" s="565"/>
      <c r="B721" s="957"/>
      <c r="C721" s="950" t="s">
        <v>1386</v>
      </c>
      <c r="D721" s="1959" t="str">
        <f>IF(T725="Yes",Incentives!E416,"")</f>
        <v/>
      </c>
      <c r="E721" s="1960"/>
      <c r="F721" s="957"/>
      <c r="G721" s="957"/>
      <c r="H721" s="1709" t="s">
        <v>1492</v>
      </c>
      <c r="I721" s="957"/>
      <c r="J721" s="1709" t="s">
        <v>2005</v>
      </c>
      <c r="K721" s="957"/>
      <c r="L721" s="1610" t="s">
        <v>2135</v>
      </c>
      <c r="M721" s="957"/>
      <c r="N721" s="953" t="s">
        <v>1482</v>
      </c>
      <c r="O721" s="957"/>
      <c r="P721" s="957"/>
      <c r="Q721" s="957"/>
      <c r="R721" s="957"/>
      <c r="S721" s="957"/>
      <c r="T721" s="953" t="s">
        <v>1599</v>
      </c>
      <c r="U721" s="957"/>
    </row>
    <row r="722" spans="1:21" s="1708" customFormat="1" ht="15.75" thickBot="1" x14ac:dyDescent="0.3">
      <c r="A722" s="565"/>
      <c r="B722" s="957"/>
      <c r="C722" s="945"/>
      <c r="D722" s="945"/>
      <c r="E722" s="945"/>
      <c r="F722" s="957"/>
      <c r="G722" s="957"/>
      <c r="H722" s="1514" t="s">
        <v>648</v>
      </c>
      <c r="I722" s="957"/>
      <c r="J722" s="1027" t="str">
        <f>IF(T725="Yes",Incentives!G398,"")</f>
        <v/>
      </c>
      <c r="K722" s="957"/>
      <c r="L722" s="1611" t="str">
        <f>IF(T725="Yes",IF(R725="Yes","No","Yes"),"")</f>
        <v/>
      </c>
      <c r="M722" s="957"/>
      <c r="N722" s="1518" t="str">
        <f>IF(T725="Yes",Incentives!K398,"")</f>
        <v/>
      </c>
      <c r="O722" s="957"/>
      <c r="P722" s="957"/>
      <c r="Q722" s="957"/>
      <c r="R722" s="957"/>
      <c r="S722" s="957"/>
      <c r="T722" s="1514" t="s">
        <v>648</v>
      </c>
      <c r="U722" s="957"/>
    </row>
    <row r="723" spans="1:21" s="1708" customFormat="1" ht="30.75" thickBot="1" x14ac:dyDescent="0.3">
      <c r="A723" s="565"/>
      <c r="B723" s="957"/>
      <c r="C723" s="951" t="s">
        <v>1495</v>
      </c>
      <c r="D723" s="1975" t="s">
        <v>648</v>
      </c>
      <c r="E723" s="1958"/>
      <c r="F723" s="957"/>
      <c r="G723" s="957"/>
      <c r="H723" s="957"/>
      <c r="I723" s="957"/>
      <c r="J723" s="957"/>
      <c r="K723" s="957"/>
      <c r="L723" s="957"/>
      <c r="M723" s="957"/>
      <c r="N723" s="957"/>
      <c r="O723" s="957"/>
      <c r="P723" s="957"/>
      <c r="Q723" s="957"/>
      <c r="R723" s="957"/>
      <c r="S723" s="957"/>
      <c r="T723" s="957"/>
      <c r="U723" s="957"/>
    </row>
    <row r="724" spans="1:21" s="1708" customFormat="1" ht="15.75" thickBot="1" x14ac:dyDescent="0.3">
      <c r="A724" s="565"/>
      <c r="B724" s="957"/>
      <c r="C724" s="945"/>
      <c r="D724" s="945"/>
      <c r="E724" s="945"/>
      <c r="F724" s="957"/>
      <c r="G724" s="957"/>
      <c r="H724" s="957"/>
      <c r="I724" s="957"/>
      <c r="J724" s="957"/>
      <c r="K724" s="957"/>
      <c r="L724" s="957"/>
      <c r="M724" s="957"/>
      <c r="N724" s="957"/>
      <c r="O724" s="957"/>
      <c r="P724" s="957"/>
      <c r="Q724" s="957"/>
      <c r="R724" s="957"/>
      <c r="S724" s="957"/>
      <c r="T724" s="953" t="s">
        <v>523</v>
      </c>
      <c r="U724" s="957"/>
    </row>
    <row r="725" spans="1:21" s="1708" customFormat="1" ht="15.75" thickBot="1" x14ac:dyDescent="0.3">
      <c r="A725" s="565"/>
      <c r="B725" s="957"/>
      <c r="C725" s="950" t="s">
        <v>1496</v>
      </c>
      <c r="D725" s="1957" t="s">
        <v>1606</v>
      </c>
      <c r="E725" s="1922"/>
      <c r="F725" s="957"/>
      <c r="G725" s="957"/>
      <c r="H725" s="957"/>
      <c r="I725" s="957"/>
      <c r="J725" s="957"/>
      <c r="K725" s="957"/>
      <c r="L725" s="957"/>
      <c r="M725" s="957"/>
      <c r="N725" s="957"/>
      <c r="O725" s="957"/>
      <c r="P725" s="957"/>
      <c r="Q725" s="957"/>
      <c r="R725" s="1613">
        <f>Incentives!C412</f>
        <v>0</v>
      </c>
      <c r="S725" s="957"/>
      <c r="T725" s="1514" t="str">
        <f>Incentives!E391</f>
        <v>No</v>
      </c>
      <c r="U725" s="957"/>
    </row>
    <row r="726" spans="1:21" s="1708" customFormat="1" ht="15.75" thickBot="1" x14ac:dyDescent="0.3">
      <c r="A726" s="565"/>
      <c r="B726" s="957"/>
      <c r="C726" s="957"/>
      <c r="D726" s="957"/>
      <c r="E726" s="957"/>
      <c r="F726" s="957"/>
      <c r="G726" s="957"/>
      <c r="H726" s="957"/>
      <c r="I726" s="957"/>
      <c r="J726" s="957"/>
      <c r="K726" s="957"/>
      <c r="L726" s="957"/>
      <c r="M726" s="957"/>
      <c r="N726" s="957"/>
      <c r="O726" s="957"/>
      <c r="P726" s="957"/>
      <c r="Q726" s="957"/>
      <c r="R726" s="957"/>
      <c r="S726" s="957"/>
      <c r="T726" s="957"/>
      <c r="U726" s="957"/>
    </row>
    <row r="727" spans="1:21" s="1708" customFormat="1" ht="15.75" customHeight="1" thickBot="1" x14ac:dyDescent="0.3">
      <c r="A727" s="565"/>
      <c r="B727" s="1950" t="s">
        <v>2178</v>
      </c>
      <c r="C727" s="1921"/>
      <c r="D727" s="1921"/>
      <c r="E727" s="1921"/>
      <c r="F727" s="1921"/>
      <c r="G727" s="1921"/>
      <c r="H727" s="1921"/>
      <c r="I727" s="1921"/>
      <c r="J727" s="1921"/>
      <c r="K727" s="1921"/>
      <c r="L727" s="1921"/>
      <c r="M727" s="1921"/>
      <c r="N727" s="1921"/>
      <c r="O727" s="1921"/>
      <c r="P727" s="1921"/>
      <c r="Q727" s="1921"/>
      <c r="R727" s="1921"/>
      <c r="S727" s="1921"/>
      <c r="T727" s="1921"/>
      <c r="U727" s="1922"/>
    </row>
    <row r="728" spans="1:21" s="1708" customFormat="1" ht="15.75" thickBot="1" x14ac:dyDescent="0.3">
      <c r="A728" s="565"/>
      <c r="B728" s="957"/>
      <c r="C728" s="957"/>
      <c r="D728" s="957"/>
      <c r="E728" s="957"/>
      <c r="F728" s="957"/>
      <c r="G728" s="957"/>
      <c r="H728" s="957"/>
      <c r="I728" s="957"/>
      <c r="J728" s="957"/>
      <c r="K728" s="957"/>
      <c r="L728" s="957"/>
      <c r="M728" s="957"/>
      <c r="N728" s="957"/>
      <c r="O728" s="957"/>
      <c r="P728" s="957"/>
      <c r="Q728" s="957"/>
      <c r="R728" s="957"/>
      <c r="S728" s="957"/>
      <c r="T728" s="957"/>
      <c r="U728" s="957"/>
    </row>
    <row r="729" spans="1:21" s="1708" customFormat="1" ht="30.75" customHeight="1" thickBot="1" x14ac:dyDescent="0.3">
      <c r="A729" s="565"/>
      <c r="B729" s="957"/>
      <c r="C729" s="950" t="s">
        <v>1383</v>
      </c>
      <c r="D729" s="1955" t="s">
        <v>1775</v>
      </c>
      <c r="E729" s="1956"/>
      <c r="F729" s="957"/>
      <c r="G729" s="957"/>
      <c r="H729" s="953" t="s">
        <v>1380</v>
      </c>
      <c r="I729" s="957"/>
      <c r="J729" s="953" t="s">
        <v>1381</v>
      </c>
      <c r="K729" s="957"/>
      <c r="L729" s="953" t="s">
        <v>1397</v>
      </c>
      <c r="M729" s="957"/>
      <c r="N729" s="953" t="s">
        <v>1382</v>
      </c>
      <c r="O729" s="957"/>
      <c r="P729" s="957"/>
      <c r="Q729" s="957"/>
      <c r="R729" s="953" t="s">
        <v>1487</v>
      </c>
      <c r="S729" s="957"/>
      <c r="T729" s="953" t="s">
        <v>1488</v>
      </c>
      <c r="U729" s="957"/>
    </row>
    <row r="730" spans="1:21" s="1708" customFormat="1" ht="15.75" thickBot="1" x14ac:dyDescent="0.3">
      <c r="A730" s="565"/>
      <c r="B730" s="957"/>
      <c r="C730" s="945"/>
      <c r="D730" s="945"/>
      <c r="E730" s="945"/>
      <c r="F730" s="957"/>
      <c r="G730" s="957"/>
      <c r="H730" s="983" t="str">
        <f>IF(T739="Yes",Incentives!G403,"")</f>
        <v/>
      </c>
      <c r="I730" s="957"/>
      <c r="J730" s="943" t="str">
        <f>IF(T739="Yes",Incentives!I403,"")</f>
        <v/>
      </c>
      <c r="K730" s="957"/>
      <c r="L730" s="1367" t="str">
        <f>IF(T739="Yes",Incentives!K403,"")</f>
        <v/>
      </c>
      <c r="M730" s="957"/>
      <c r="N730" s="983" t="str">
        <f>IF(AND(Incentives!M403&lt;&gt;"",T739="Yes"),Incentives!M403,"")</f>
        <v/>
      </c>
      <c r="O730" s="957"/>
      <c r="P730" s="957"/>
      <c r="Q730" s="957"/>
      <c r="R730" s="1514" t="s">
        <v>1602</v>
      </c>
      <c r="S730" s="957"/>
      <c r="T730" s="1514" t="s">
        <v>646</v>
      </c>
      <c r="U730" s="957"/>
    </row>
    <row r="731" spans="1:21" s="1708" customFormat="1" ht="30.75" thickBot="1" x14ac:dyDescent="0.3">
      <c r="A731" s="565"/>
      <c r="B731" s="957"/>
      <c r="C731" s="950" t="s">
        <v>1491</v>
      </c>
      <c r="D731" s="1957">
        <v>5309</v>
      </c>
      <c r="E731" s="1958"/>
      <c r="F731" s="957"/>
      <c r="G731" s="957"/>
      <c r="H731" s="957"/>
      <c r="I731" s="957"/>
      <c r="J731" s="957"/>
      <c r="K731" s="957"/>
      <c r="L731" s="957"/>
      <c r="M731" s="957"/>
      <c r="N731" s="957"/>
      <c r="O731" s="957"/>
      <c r="P731" s="957"/>
      <c r="Q731" s="957"/>
      <c r="R731" s="957"/>
      <c r="S731" s="957"/>
      <c r="T731" s="957"/>
      <c r="U731" s="957"/>
    </row>
    <row r="732" spans="1:21" s="1708" customFormat="1" ht="15.75" thickBot="1" x14ac:dyDescent="0.3">
      <c r="A732" s="565"/>
      <c r="B732" s="957"/>
      <c r="C732" s="945"/>
      <c r="D732" s="945"/>
      <c r="E732" s="945"/>
      <c r="F732" s="957"/>
      <c r="G732" s="957"/>
      <c r="H732" s="1709" t="s">
        <v>1396</v>
      </c>
      <c r="I732" s="957"/>
      <c r="J732" s="957"/>
      <c r="K732" s="957"/>
      <c r="L732" s="957"/>
      <c r="M732" s="957"/>
      <c r="N732" s="957"/>
      <c r="O732" s="957"/>
      <c r="P732" s="957"/>
      <c r="Q732" s="957"/>
      <c r="R732" s="953" t="s">
        <v>1603</v>
      </c>
      <c r="S732" s="957"/>
      <c r="T732" s="953" t="s">
        <v>1604</v>
      </c>
      <c r="U732" s="957"/>
    </row>
    <row r="733" spans="1:21" s="1708" customFormat="1" ht="15.75" thickBot="1" x14ac:dyDescent="0.3">
      <c r="A733" s="565"/>
      <c r="B733" s="957"/>
      <c r="C733" s="950" t="s">
        <v>1385</v>
      </c>
      <c r="D733" s="1959" t="str">
        <f>IF(T739="Yes",Incentives!E429,"")</f>
        <v/>
      </c>
      <c r="E733" s="1960"/>
      <c r="F733" s="957"/>
      <c r="G733" s="957"/>
      <c r="H733" s="1518" t="str">
        <f>IF(T739="Yes",Incentives!G406,"")</f>
        <v/>
      </c>
      <c r="I733" s="957"/>
      <c r="J733" s="957"/>
      <c r="K733" s="957"/>
      <c r="L733" s="957"/>
      <c r="M733" s="957"/>
      <c r="N733" s="957"/>
      <c r="O733" s="957"/>
      <c r="P733" s="957"/>
      <c r="Q733" s="957"/>
      <c r="R733" s="1514" t="s">
        <v>1610</v>
      </c>
      <c r="S733" s="957"/>
      <c r="T733" s="1514" t="s">
        <v>395</v>
      </c>
      <c r="U733" s="957"/>
    </row>
    <row r="734" spans="1:21" s="1708" customFormat="1" ht="15.75" thickBot="1" x14ac:dyDescent="0.3">
      <c r="A734" s="565"/>
      <c r="B734" s="957"/>
      <c r="C734" s="945"/>
      <c r="D734" s="945"/>
      <c r="E734" s="945"/>
      <c r="F734" s="957"/>
      <c r="G734" s="957"/>
      <c r="H734" s="957"/>
      <c r="I734" s="957"/>
      <c r="J734" s="957"/>
      <c r="K734" s="957"/>
      <c r="L734" s="957"/>
      <c r="M734" s="957"/>
      <c r="N734" s="957"/>
      <c r="O734" s="957"/>
      <c r="P734" s="957"/>
      <c r="Q734" s="957"/>
      <c r="R734" s="957"/>
      <c r="S734" s="957"/>
      <c r="T734" s="957"/>
      <c r="U734" s="957"/>
    </row>
    <row r="735" spans="1:21" s="1708" customFormat="1" ht="30.75" thickBot="1" x14ac:dyDescent="0.3">
      <c r="A735" s="565"/>
      <c r="B735" s="957"/>
      <c r="C735" s="950" t="s">
        <v>1386</v>
      </c>
      <c r="D735" s="1959" t="str">
        <f>IF(T739="Yes",Incentives!E430,"")</f>
        <v/>
      </c>
      <c r="E735" s="1960"/>
      <c r="F735" s="957"/>
      <c r="G735" s="957"/>
      <c r="H735" s="1709" t="s">
        <v>1492</v>
      </c>
      <c r="I735" s="957"/>
      <c r="J735" s="1709" t="s">
        <v>2005</v>
      </c>
      <c r="K735" s="957"/>
      <c r="L735" s="1610" t="s">
        <v>2135</v>
      </c>
      <c r="M735" s="957"/>
      <c r="N735" s="953" t="s">
        <v>1482</v>
      </c>
      <c r="O735" s="957"/>
      <c r="P735" s="957"/>
      <c r="Q735" s="957"/>
      <c r="R735" s="957"/>
      <c r="S735" s="957"/>
      <c r="T735" s="953" t="s">
        <v>1599</v>
      </c>
      <c r="U735" s="957"/>
    </row>
    <row r="736" spans="1:21" s="1708" customFormat="1" ht="15.75" thickBot="1" x14ac:dyDescent="0.3">
      <c r="A736" s="565"/>
      <c r="B736" s="957"/>
      <c r="C736" s="945"/>
      <c r="D736" s="945"/>
      <c r="E736" s="945"/>
      <c r="F736" s="957"/>
      <c r="G736" s="957"/>
      <c r="H736" s="1514" t="s">
        <v>648</v>
      </c>
      <c r="I736" s="957"/>
      <c r="J736" s="1027" t="str">
        <f>IF(T739="Yes",Incentives!G409,"")</f>
        <v/>
      </c>
      <c r="K736" s="957"/>
      <c r="L736" s="1611" t="str">
        <f>IF(T739="Yes",IF(R739="Yes","No","Yes"),"")</f>
        <v/>
      </c>
      <c r="M736" s="957"/>
      <c r="N736" s="1518" t="str">
        <f>IF(T739="Yes",Incentives!K409,"")</f>
        <v/>
      </c>
      <c r="O736" s="957"/>
      <c r="P736" s="957"/>
      <c r="Q736" s="957"/>
      <c r="R736" s="957"/>
      <c r="S736" s="957"/>
      <c r="T736" s="1514" t="s">
        <v>648</v>
      </c>
      <c r="U736" s="957"/>
    </row>
    <row r="737" spans="1:21" s="1708" customFormat="1" ht="30.75" thickBot="1" x14ac:dyDescent="0.3">
      <c r="A737" s="565"/>
      <c r="B737" s="957"/>
      <c r="C737" s="951" t="s">
        <v>1495</v>
      </c>
      <c r="D737" s="1975" t="s">
        <v>648</v>
      </c>
      <c r="E737" s="1958"/>
      <c r="F737" s="957"/>
      <c r="G737" s="957"/>
      <c r="H737" s="957"/>
      <c r="I737" s="957"/>
      <c r="J737" s="957"/>
      <c r="K737" s="957"/>
      <c r="L737" s="957"/>
      <c r="M737" s="957"/>
      <c r="N737" s="957"/>
      <c r="O737" s="957"/>
      <c r="P737" s="957"/>
      <c r="Q737" s="957"/>
      <c r="R737" s="957"/>
      <c r="S737" s="957"/>
      <c r="T737" s="957"/>
      <c r="U737" s="957"/>
    </row>
    <row r="738" spans="1:21" s="1708" customFormat="1" ht="15.75" thickBot="1" x14ac:dyDescent="0.3">
      <c r="A738" s="565"/>
      <c r="B738" s="957"/>
      <c r="C738" s="945"/>
      <c r="D738" s="945"/>
      <c r="E738" s="945"/>
      <c r="F738" s="957"/>
      <c r="G738" s="957"/>
      <c r="H738" s="957"/>
      <c r="I738" s="957"/>
      <c r="J738" s="957"/>
      <c r="K738" s="957"/>
      <c r="L738" s="957"/>
      <c r="M738" s="957"/>
      <c r="N738" s="957"/>
      <c r="O738" s="957"/>
      <c r="P738" s="957"/>
      <c r="Q738" s="957"/>
      <c r="R738" s="957"/>
      <c r="S738" s="957"/>
      <c r="T738" s="953" t="s">
        <v>523</v>
      </c>
      <c r="U738" s="957"/>
    </row>
    <row r="739" spans="1:21" s="1708" customFormat="1" ht="15.75" thickBot="1" x14ac:dyDescent="0.3">
      <c r="A739" s="565"/>
      <c r="B739" s="957"/>
      <c r="C739" s="950" t="s">
        <v>1496</v>
      </c>
      <c r="D739" s="1957" t="s">
        <v>1606</v>
      </c>
      <c r="E739" s="1922"/>
      <c r="F739" s="957"/>
      <c r="G739" s="957"/>
      <c r="H739" s="957"/>
      <c r="I739" s="957"/>
      <c r="J739" s="957"/>
      <c r="K739" s="957"/>
      <c r="L739" s="957"/>
      <c r="M739" s="957"/>
      <c r="N739" s="957"/>
      <c r="O739" s="957"/>
      <c r="P739" s="957"/>
      <c r="Q739" s="957"/>
      <c r="R739" s="1613">
        <f>Incentives!C426</f>
        <v>0</v>
      </c>
      <c r="S739" s="957"/>
      <c r="T739" s="1514" t="str">
        <f>Incentives!E402</f>
        <v>No</v>
      </c>
      <c r="U739" s="957"/>
    </row>
    <row r="740" spans="1:21" s="1708" customFormat="1" ht="15.75" thickBot="1" x14ac:dyDescent="0.3">
      <c r="A740" s="565"/>
      <c r="B740" s="957"/>
      <c r="C740" s="957"/>
      <c r="D740" s="957"/>
      <c r="E740" s="957"/>
      <c r="F740" s="957"/>
      <c r="G740" s="957"/>
      <c r="H740" s="957"/>
      <c r="I740" s="957"/>
      <c r="J740" s="957"/>
      <c r="K740" s="957"/>
      <c r="L740" s="957"/>
      <c r="M740" s="957"/>
      <c r="N740" s="957"/>
      <c r="O740" s="957"/>
      <c r="P740" s="957"/>
      <c r="Q740" s="957"/>
      <c r="R740" s="957"/>
      <c r="S740" s="957"/>
      <c r="T740" s="957"/>
      <c r="U740" s="957"/>
    </row>
    <row r="741" spans="1:21" s="1708" customFormat="1" ht="15.75" customHeight="1" thickBot="1" x14ac:dyDescent="0.3">
      <c r="A741" s="565"/>
      <c r="B741" s="1950" t="s">
        <v>2179</v>
      </c>
      <c r="C741" s="1921"/>
      <c r="D741" s="1921"/>
      <c r="E741" s="1921"/>
      <c r="F741" s="1921"/>
      <c r="G741" s="1921"/>
      <c r="H741" s="1921"/>
      <c r="I741" s="1921"/>
      <c r="J741" s="1921"/>
      <c r="K741" s="1921"/>
      <c r="L741" s="1921"/>
      <c r="M741" s="1921"/>
      <c r="N741" s="1921"/>
      <c r="O741" s="1921"/>
      <c r="P741" s="1921"/>
      <c r="Q741" s="1921"/>
      <c r="R741" s="1921"/>
      <c r="S741" s="1921"/>
      <c r="T741" s="1921"/>
      <c r="U741" s="1922"/>
    </row>
    <row r="742" spans="1:21" s="1708" customFormat="1" ht="15.75" thickBot="1" x14ac:dyDescent="0.3">
      <c r="A742" s="565"/>
      <c r="B742" s="957"/>
      <c r="C742" s="957"/>
      <c r="D742" s="957"/>
      <c r="E742" s="957"/>
      <c r="F742" s="957"/>
      <c r="G742" s="957"/>
      <c r="H742" s="957"/>
      <c r="I742" s="957"/>
      <c r="J742" s="957"/>
      <c r="K742" s="957"/>
      <c r="L742" s="957"/>
      <c r="M742" s="957"/>
      <c r="N742" s="957"/>
      <c r="O742" s="957"/>
      <c r="P742" s="957"/>
      <c r="Q742" s="957"/>
      <c r="R742" s="957"/>
      <c r="S742" s="957"/>
      <c r="T742" s="957"/>
      <c r="U742" s="957"/>
    </row>
    <row r="743" spans="1:21" s="1708" customFormat="1" ht="30.75" customHeight="1" thickBot="1" x14ac:dyDescent="0.3">
      <c r="A743" s="565"/>
      <c r="B743" s="957"/>
      <c r="C743" s="950" t="s">
        <v>1383</v>
      </c>
      <c r="D743" s="1955" t="s">
        <v>1775</v>
      </c>
      <c r="E743" s="1956"/>
      <c r="F743" s="957"/>
      <c r="G743" s="957"/>
      <c r="H743" s="953" t="s">
        <v>1380</v>
      </c>
      <c r="I743" s="957"/>
      <c r="J743" s="953" t="s">
        <v>1381</v>
      </c>
      <c r="K743" s="957"/>
      <c r="L743" s="953" t="s">
        <v>1397</v>
      </c>
      <c r="M743" s="957"/>
      <c r="N743" s="953" t="s">
        <v>1382</v>
      </c>
      <c r="O743" s="957"/>
      <c r="P743" s="957"/>
      <c r="Q743" s="957"/>
      <c r="R743" s="953" t="s">
        <v>1487</v>
      </c>
      <c r="S743" s="957"/>
      <c r="T743" s="953" t="s">
        <v>1488</v>
      </c>
      <c r="U743" s="957"/>
    </row>
    <row r="744" spans="1:21" s="1708" customFormat="1" ht="15.75" thickBot="1" x14ac:dyDescent="0.3">
      <c r="A744" s="565"/>
      <c r="B744" s="957"/>
      <c r="C744" s="945"/>
      <c r="D744" s="945"/>
      <c r="E744" s="945"/>
      <c r="F744" s="957"/>
      <c r="G744" s="957"/>
      <c r="H744" s="983" t="str">
        <f>IF(T753="Yes",Incentives!G414,"")</f>
        <v/>
      </c>
      <c r="I744" s="957"/>
      <c r="J744" s="943" t="str">
        <f>IF(T753="Yes",Incentives!I414,"")</f>
        <v/>
      </c>
      <c r="K744" s="957"/>
      <c r="L744" s="1367" t="str">
        <f>IF(T753="Yes",Incentives!K414,"")</f>
        <v/>
      </c>
      <c r="M744" s="957"/>
      <c r="N744" s="983" t="str">
        <f>IF(AND(Incentives!M414&lt;&gt;"",T753="Yes"),Incentives!M414,"")</f>
        <v/>
      </c>
      <c r="O744" s="957"/>
      <c r="P744" s="957"/>
      <c r="Q744" s="957"/>
      <c r="R744" s="1514" t="s">
        <v>1602</v>
      </c>
      <c r="S744" s="957"/>
      <c r="T744" s="1514" t="s">
        <v>646</v>
      </c>
      <c r="U744" s="957"/>
    </row>
    <row r="745" spans="1:21" s="1708" customFormat="1" ht="30.75" thickBot="1" x14ac:dyDescent="0.3">
      <c r="A745" s="565"/>
      <c r="B745" s="957"/>
      <c r="C745" s="950" t="s">
        <v>1491</v>
      </c>
      <c r="D745" s="1957">
        <v>5309</v>
      </c>
      <c r="E745" s="1958"/>
      <c r="F745" s="957"/>
      <c r="G745" s="957"/>
      <c r="H745" s="957"/>
      <c r="I745" s="957"/>
      <c r="J745" s="957"/>
      <c r="K745" s="957"/>
      <c r="L745" s="957"/>
      <c r="M745" s="957"/>
      <c r="N745" s="957"/>
      <c r="O745" s="957"/>
      <c r="P745" s="957"/>
      <c r="Q745" s="957"/>
      <c r="R745" s="957"/>
      <c r="S745" s="957"/>
      <c r="T745" s="957"/>
      <c r="U745" s="957"/>
    </row>
    <row r="746" spans="1:21" s="1708" customFormat="1" ht="15.75" thickBot="1" x14ac:dyDescent="0.3">
      <c r="A746" s="565"/>
      <c r="B746" s="957"/>
      <c r="C746" s="945"/>
      <c r="D746" s="945"/>
      <c r="E746" s="945"/>
      <c r="F746" s="957"/>
      <c r="G746" s="957"/>
      <c r="H746" s="1709" t="s">
        <v>1396</v>
      </c>
      <c r="I746" s="957"/>
      <c r="J746" s="957"/>
      <c r="K746" s="957"/>
      <c r="L746" s="957"/>
      <c r="M746" s="957"/>
      <c r="N746" s="957"/>
      <c r="O746" s="957"/>
      <c r="P746" s="957"/>
      <c r="Q746" s="957"/>
      <c r="R746" s="953" t="s">
        <v>1603</v>
      </c>
      <c r="S746" s="957"/>
      <c r="T746" s="953" t="s">
        <v>1604</v>
      </c>
      <c r="U746" s="957"/>
    </row>
    <row r="747" spans="1:21" s="1708" customFormat="1" ht="15.75" thickBot="1" x14ac:dyDescent="0.3">
      <c r="A747" s="565"/>
      <c r="B747" s="957"/>
      <c r="C747" s="950" t="s">
        <v>1385</v>
      </c>
      <c r="D747" s="1959" t="str">
        <f>IF(T753="Yes",Incentives!E443,"")</f>
        <v/>
      </c>
      <c r="E747" s="1960"/>
      <c r="F747" s="957"/>
      <c r="G747" s="957"/>
      <c r="H747" s="1518" t="str">
        <f>IF(T753="Yes",Incentives!G417,"")</f>
        <v/>
      </c>
      <c r="I747" s="957"/>
      <c r="J747" s="957"/>
      <c r="K747" s="957"/>
      <c r="L747" s="957"/>
      <c r="M747" s="957"/>
      <c r="N747" s="957"/>
      <c r="O747" s="957"/>
      <c r="P747" s="957"/>
      <c r="Q747" s="957"/>
      <c r="R747" s="1514" t="s">
        <v>1610</v>
      </c>
      <c r="S747" s="957"/>
      <c r="T747" s="1514" t="s">
        <v>395</v>
      </c>
      <c r="U747" s="957"/>
    </row>
    <row r="748" spans="1:21" s="1708" customFormat="1" ht="15.75" thickBot="1" x14ac:dyDescent="0.3">
      <c r="A748" s="565"/>
      <c r="B748" s="957"/>
      <c r="C748" s="945"/>
      <c r="D748" s="945"/>
      <c r="E748" s="945"/>
      <c r="F748" s="957"/>
      <c r="G748" s="957"/>
      <c r="H748" s="957"/>
      <c r="I748" s="957"/>
      <c r="J748" s="957"/>
      <c r="K748" s="957"/>
      <c r="L748" s="957"/>
      <c r="M748" s="957"/>
      <c r="N748" s="957"/>
      <c r="O748" s="957"/>
      <c r="P748" s="957"/>
      <c r="Q748" s="957"/>
      <c r="R748" s="957"/>
      <c r="S748" s="957"/>
      <c r="T748" s="957"/>
      <c r="U748" s="957"/>
    </row>
    <row r="749" spans="1:21" s="1708" customFormat="1" ht="30.75" thickBot="1" x14ac:dyDescent="0.3">
      <c r="A749" s="565"/>
      <c r="B749" s="957"/>
      <c r="C749" s="950" t="s">
        <v>1386</v>
      </c>
      <c r="D749" s="1959" t="str">
        <f>IF(T753="Yes",Incentives!E444,"")</f>
        <v/>
      </c>
      <c r="E749" s="1960"/>
      <c r="F749" s="957"/>
      <c r="G749" s="957"/>
      <c r="H749" s="1709" t="s">
        <v>1492</v>
      </c>
      <c r="I749" s="957"/>
      <c r="J749" s="1709" t="s">
        <v>2005</v>
      </c>
      <c r="K749" s="957"/>
      <c r="L749" s="1610" t="s">
        <v>2135</v>
      </c>
      <c r="M749" s="957"/>
      <c r="N749" s="953" t="s">
        <v>1482</v>
      </c>
      <c r="O749" s="957"/>
      <c r="P749" s="957"/>
      <c r="Q749" s="957"/>
      <c r="R749" s="957"/>
      <c r="S749" s="957"/>
      <c r="T749" s="953" t="s">
        <v>1599</v>
      </c>
      <c r="U749" s="957"/>
    </row>
    <row r="750" spans="1:21" s="1708" customFormat="1" ht="15.75" thickBot="1" x14ac:dyDescent="0.3">
      <c r="A750" s="565"/>
      <c r="B750" s="957"/>
      <c r="C750" s="945"/>
      <c r="D750" s="945"/>
      <c r="E750" s="945"/>
      <c r="F750" s="957"/>
      <c r="G750" s="957"/>
      <c r="H750" s="1514" t="s">
        <v>648</v>
      </c>
      <c r="I750" s="957"/>
      <c r="J750" s="1027" t="str">
        <f>IF(T753="Yes",Incentives!G420,"")</f>
        <v/>
      </c>
      <c r="K750" s="957"/>
      <c r="L750" s="1611" t="str">
        <f>IF(T753="Yes",IF(R753="Yes","No","Yes"),"")</f>
        <v/>
      </c>
      <c r="M750" s="957"/>
      <c r="N750" s="1518" t="str">
        <f>IF(T753="Yes",Incentives!K420,"")</f>
        <v/>
      </c>
      <c r="O750" s="957"/>
      <c r="P750" s="957"/>
      <c r="Q750" s="957"/>
      <c r="R750" s="957"/>
      <c r="S750" s="957"/>
      <c r="T750" s="1514" t="s">
        <v>648</v>
      </c>
      <c r="U750" s="957"/>
    </row>
    <row r="751" spans="1:21" s="1708" customFormat="1" ht="30.75" thickBot="1" x14ac:dyDescent="0.3">
      <c r="A751" s="565"/>
      <c r="B751" s="957"/>
      <c r="C751" s="951" t="s">
        <v>1495</v>
      </c>
      <c r="D751" s="1975" t="s">
        <v>648</v>
      </c>
      <c r="E751" s="1958"/>
      <c r="F751" s="957"/>
      <c r="G751" s="957"/>
      <c r="H751" s="957"/>
      <c r="I751" s="957"/>
      <c r="J751" s="957"/>
      <c r="K751" s="957"/>
      <c r="L751" s="957"/>
      <c r="M751" s="957"/>
      <c r="N751" s="957"/>
      <c r="O751" s="957"/>
      <c r="P751" s="957"/>
      <c r="Q751" s="957"/>
      <c r="R751" s="957"/>
      <c r="S751" s="957"/>
      <c r="T751" s="957"/>
      <c r="U751" s="957"/>
    </row>
    <row r="752" spans="1:21" s="1708" customFormat="1" ht="15.75" thickBot="1" x14ac:dyDescent="0.3">
      <c r="A752" s="565"/>
      <c r="B752" s="957"/>
      <c r="C752" s="945"/>
      <c r="D752" s="945"/>
      <c r="E752" s="945"/>
      <c r="F752" s="957"/>
      <c r="G752" s="957"/>
      <c r="H752" s="957"/>
      <c r="I752" s="957"/>
      <c r="J752" s="957"/>
      <c r="K752" s="957"/>
      <c r="L752" s="957"/>
      <c r="M752" s="957"/>
      <c r="N752" s="957"/>
      <c r="O752" s="957"/>
      <c r="P752" s="957"/>
      <c r="Q752" s="957"/>
      <c r="R752" s="957"/>
      <c r="S752" s="957"/>
      <c r="T752" s="953" t="s">
        <v>523</v>
      </c>
      <c r="U752" s="957"/>
    </row>
    <row r="753" spans="1:21" s="1708" customFormat="1" ht="15.75" thickBot="1" x14ac:dyDescent="0.3">
      <c r="A753" s="565"/>
      <c r="B753" s="957"/>
      <c r="C753" s="950" t="s">
        <v>1496</v>
      </c>
      <c r="D753" s="1957" t="s">
        <v>1606</v>
      </c>
      <c r="E753" s="1922"/>
      <c r="F753" s="957"/>
      <c r="G753" s="957"/>
      <c r="H753" s="957"/>
      <c r="I753" s="957"/>
      <c r="J753" s="957"/>
      <c r="K753" s="957"/>
      <c r="L753" s="957"/>
      <c r="M753" s="957"/>
      <c r="N753" s="957"/>
      <c r="O753" s="957"/>
      <c r="P753" s="957"/>
      <c r="Q753" s="957"/>
      <c r="R753" s="1613">
        <f>Incentives!C440</f>
        <v>0</v>
      </c>
      <c r="S753" s="957"/>
      <c r="T753" s="1514" t="str">
        <f>Incentives!E413</f>
        <v>No</v>
      </c>
      <c r="U753" s="957"/>
    </row>
    <row r="754" spans="1:21" s="1708" customFormat="1" ht="15.75" thickBot="1" x14ac:dyDescent="0.3">
      <c r="A754" s="565"/>
      <c r="B754" s="957"/>
      <c r="C754" s="957"/>
      <c r="D754" s="957"/>
      <c r="E754" s="957"/>
      <c r="F754" s="957"/>
      <c r="G754" s="957"/>
      <c r="H754" s="957"/>
      <c r="I754" s="957"/>
      <c r="J754" s="957"/>
      <c r="K754" s="957"/>
      <c r="L754" s="957"/>
      <c r="M754" s="957"/>
      <c r="N754" s="957"/>
      <c r="O754" s="957"/>
      <c r="P754" s="957"/>
      <c r="Q754" s="957"/>
      <c r="R754" s="957"/>
      <c r="S754" s="957"/>
      <c r="T754" s="957"/>
      <c r="U754" s="957"/>
    </row>
    <row r="755" spans="1:21" s="1708" customFormat="1" ht="15.75" customHeight="1" thickBot="1" x14ac:dyDescent="0.3">
      <c r="A755" s="565"/>
      <c r="B755" s="1950" t="s">
        <v>2180</v>
      </c>
      <c r="C755" s="1921"/>
      <c r="D755" s="1921"/>
      <c r="E755" s="1921"/>
      <c r="F755" s="1921"/>
      <c r="G755" s="1921"/>
      <c r="H755" s="1921"/>
      <c r="I755" s="1921"/>
      <c r="J755" s="1921"/>
      <c r="K755" s="1921"/>
      <c r="L755" s="1921"/>
      <c r="M755" s="1921"/>
      <c r="N755" s="1921"/>
      <c r="O755" s="1921"/>
      <c r="P755" s="1921"/>
      <c r="Q755" s="1921"/>
      <c r="R755" s="1921"/>
      <c r="S755" s="1921"/>
      <c r="T755" s="1921"/>
      <c r="U755" s="1922"/>
    </row>
    <row r="756" spans="1:21" s="1708" customFormat="1" ht="15.75" thickBot="1" x14ac:dyDescent="0.3">
      <c r="A756" s="565"/>
      <c r="B756" s="957"/>
      <c r="C756" s="957"/>
      <c r="D756" s="957"/>
      <c r="E756" s="957"/>
      <c r="F756" s="957"/>
      <c r="G756" s="957"/>
      <c r="H756" s="957"/>
      <c r="I756" s="957"/>
      <c r="J756" s="957"/>
      <c r="K756" s="957"/>
      <c r="L756" s="957"/>
      <c r="M756" s="957"/>
      <c r="N756" s="957"/>
      <c r="O756" s="957"/>
      <c r="P756" s="957"/>
      <c r="Q756" s="957"/>
      <c r="R756" s="957"/>
      <c r="S756" s="957"/>
      <c r="T756" s="957"/>
      <c r="U756" s="957"/>
    </row>
    <row r="757" spans="1:21" s="1708" customFormat="1" ht="30.75" customHeight="1" thickBot="1" x14ac:dyDescent="0.3">
      <c r="A757" s="565"/>
      <c r="B757" s="957"/>
      <c r="C757" s="950" t="s">
        <v>1383</v>
      </c>
      <c r="D757" s="1955" t="s">
        <v>1775</v>
      </c>
      <c r="E757" s="1956"/>
      <c r="F757" s="957"/>
      <c r="G757" s="957"/>
      <c r="H757" s="953" t="s">
        <v>1380</v>
      </c>
      <c r="I757" s="957"/>
      <c r="J757" s="953" t="s">
        <v>1381</v>
      </c>
      <c r="K757" s="957"/>
      <c r="L757" s="953" t="s">
        <v>1397</v>
      </c>
      <c r="M757" s="957"/>
      <c r="N757" s="953" t="s">
        <v>1382</v>
      </c>
      <c r="O757" s="957"/>
      <c r="P757" s="957"/>
      <c r="Q757" s="957"/>
      <c r="R757" s="953" t="s">
        <v>1487</v>
      </c>
      <c r="S757" s="957"/>
      <c r="T757" s="953" t="s">
        <v>1488</v>
      </c>
      <c r="U757" s="957"/>
    </row>
    <row r="758" spans="1:21" s="1708" customFormat="1" ht="15.75" thickBot="1" x14ac:dyDescent="0.3">
      <c r="A758" s="565"/>
      <c r="B758" s="957"/>
      <c r="C758" s="945"/>
      <c r="D758" s="945"/>
      <c r="E758" s="945"/>
      <c r="F758" s="957"/>
      <c r="G758" s="957"/>
      <c r="H758" s="983" t="str">
        <f>IF(T767="Yes",Incentives!G425,"")</f>
        <v/>
      </c>
      <c r="I758" s="957"/>
      <c r="J758" s="943" t="str">
        <f>IF(T767="Yes",Incentives!I425,"")</f>
        <v/>
      </c>
      <c r="K758" s="957"/>
      <c r="L758" s="1367" t="str">
        <f>IF(T767="Yes",Incentives!K425,"")</f>
        <v/>
      </c>
      <c r="M758" s="957"/>
      <c r="N758" s="983" t="str">
        <f>IF(AND(Incentives!M425&lt;&gt;"",T767="Yes"),Incentives!M425,"")</f>
        <v/>
      </c>
      <c r="O758" s="957"/>
      <c r="P758" s="957"/>
      <c r="Q758" s="957"/>
      <c r="R758" s="1514" t="s">
        <v>1602</v>
      </c>
      <c r="S758" s="957"/>
      <c r="T758" s="1514" t="s">
        <v>646</v>
      </c>
      <c r="U758" s="957"/>
    </row>
    <row r="759" spans="1:21" s="1708" customFormat="1" ht="30.75" thickBot="1" x14ac:dyDescent="0.3">
      <c r="A759" s="565"/>
      <c r="B759" s="957"/>
      <c r="C759" s="950" t="s">
        <v>1491</v>
      </c>
      <c r="D759" s="1957">
        <v>5309</v>
      </c>
      <c r="E759" s="1958"/>
      <c r="F759" s="957"/>
      <c r="G759" s="957"/>
      <c r="H759" s="957"/>
      <c r="I759" s="957"/>
      <c r="J759" s="957"/>
      <c r="K759" s="957"/>
      <c r="L759" s="957"/>
      <c r="M759" s="957"/>
      <c r="N759" s="957"/>
      <c r="O759" s="957"/>
      <c r="P759" s="957"/>
      <c r="Q759" s="957"/>
      <c r="R759" s="957"/>
      <c r="S759" s="957"/>
      <c r="T759" s="957"/>
      <c r="U759" s="957"/>
    </row>
    <row r="760" spans="1:21" s="1708" customFormat="1" ht="15.75" thickBot="1" x14ac:dyDescent="0.3">
      <c r="A760" s="565"/>
      <c r="B760" s="957"/>
      <c r="C760" s="945"/>
      <c r="D760" s="945"/>
      <c r="E760" s="945"/>
      <c r="F760" s="957"/>
      <c r="G760" s="957"/>
      <c r="H760" s="1709" t="s">
        <v>1396</v>
      </c>
      <c r="I760" s="957"/>
      <c r="J760" s="957"/>
      <c r="K760" s="957"/>
      <c r="L760" s="957"/>
      <c r="M760" s="957"/>
      <c r="N760" s="957"/>
      <c r="O760" s="957"/>
      <c r="P760" s="957"/>
      <c r="Q760" s="957"/>
      <c r="R760" s="953" t="s">
        <v>1603</v>
      </c>
      <c r="S760" s="957"/>
      <c r="T760" s="953" t="s">
        <v>1604</v>
      </c>
      <c r="U760" s="957"/>
    </row>
    <row r="761" spans="1:21" s="1708" customFormat="1" ht="15.75" thickBot="1" x14ac:dyDescent="0.3">
      <c r="A761" s="565"/>
      <c r="B761" s="957"/>
      <c r="C761" s="950" t="s">
        <v>1385</v>
      </c>
      <c r="D761" s="1959" t="str">
        <f>IF(T767="Yes",Incentives!E457,"")</f>
        <v/>
      </c>
      <c r="E761" s="1960"/>
      <c r="F761" s="957"/>
      <c r="G761" s="957"/>
      <c r="H761" s="1518" t="str">
        <f>IF(T767="Yes",Incentives!G428,"")</f>
        <v/>
      </c>
      <c r="I761" s="957"/>
      <c r="J761" s="957"/>
      <c r="K761" s="957"/>
      <c r="L761" s="957"/>
      <c r="M761" s="957"/>
      <c r="N761" s="957"/>
      <c r="O761" s="957"/>
      <c r="P761" s="957"/>
      <c r="Q761" s="957"/>
      <c r="R761" s="1514" t="s">
        <v>1610</v>
      </c>
      <c r="S761" s="957"/>
      <c r="T761" s="1514" t="s">
        <v>395</v>
      </c>
      <c r="U761" s="957"/>
    </row>
    <row r="762" spans="1:21" s="1708" customFormat="1" ht="15.75" thickBot="1" x14ac:dyDescent="0.3">
      <c r="A762" s="565"/>
      <c r="B762" s="957"/>
      <c r="C762" s="945"/>
      <c r="D762" s="945"/>
      <c r="E762" s="945"/>
      <c r="F762" s="957"/>
      <c r="G762" s="957"/>
      <c r="H762" s="957"/>
      <c r="I762" s="957"/>
      <c r="J762" s="957"/>
      <c r="K762" s="957"/>
      <c r="L762" s="957"/>
      <c r="M762" s="957"/>
      <c r="N762" s="957"/>
      <c r="O762" s="957"/>
      <c r="P762" s="957"/>
      <c r="Q762" s="957"/>
      <c r="R762" s="957"/>
      <c r="S762" s="957"/>
      <c r="T762" s="957"/>
      <c r="U762" s="957"/>
    </row>
    <row r="763" spans="1:21" s="1708" customFormat="1" ht="30.75" thickBot="1" x14ac:dyDescent="0.3">
      <c r="A763" s="565"/>
      <c r="B763" s="957"/>
      <c r="C763" s="950" t="s">
        <v>1386</v>
      </c>
      <c r="D763" s="1959" t="str">
        <f>IF(T767="Yes",Incentives!E458,"")</f>
        <v/>
      </c>
      <c r="E763" s="1960"/>
      <c r="F763" s="957"/>
      <c r="G763" s="957"/>
      <c r="H763" s="1709" t="s">
        <v>1492</v>
      </c>
      <c r="I763" s="957"/>
      <c r="J763" s="1709" t="s">
        <v>2005</v>
      </c>
      <c r="K763" s="957"/>
      <c r="L763" s="1610" t="s">
        <v>2135</v>
      </c>
      <c r="M763" s="957"/>
      <c r="N763" s="953" t="s">
        <v>1482</v>
      </c>
      <c r="O763" s="957"/>
      <c r="P763" s="957"/>
      <c r="Q763" s="957"/>
      <c r="R763" s="957"/>
      <c r="S763" s="957"/>
      <c r="T763" s="953" t="s">
        <v>1599</v>
      </c>
      <c r="U763" s="957"/>
    </row>
    <row r="764" spans="1:21" s="1708" customFormat="1" ht="15.75" thickBot="1" x14ac:dyDescent="0.3">
      <c r="A764" s="565"/>
      <c r="B764" s="957"/>
      <c r="C764" s="945"/>
      <c r="D764" s="945"/>
      <c r="E764" s="945"/>
      <c r="F764" s="957"/>
      <c r="G764" s="957"/>
      <c r="H764" s="1514" t="s">
        <v>648</v>
      </c>
      <c r="I764" s="957"/>
      <c r="J764" s="1027" t="str">
        <f>IF(T767="Yes",Incentives!G431,"")</f>
        <v/>
      </c>
      <c r="K764" s="957"/>
      <c r="L764" s="1611" t="str">
        <f>IF(T767="Yes",IF(R767="Yes","No","Yes"),"")</f>
        <v/>
      </c>
      <c r="M764" s="957"/>
      <c r="N764" s="1518" t="str">
        <f>IF(T767="Yes",Incentives!K431,"")</f>
        <v/>
      </c>
      <c r="O764" s="957"/>
      <c r="P764" s="957"/>
      <c r="Q764" s="957"/>
      <c r="R764" s="957"/>
      <c r="S764" s="957"/>
      <c r="T764" s="1514" t="s">
        <v>648</v>
      </c>
      <c r="U764" s="957"/>
    </row>
    <row r="765" spans="1:21" s="1708" customFormat="1" ht="30.75" thickBot="1" x14ac:dyDescent="0.3">
      <c r="A765" s="565"/>
      <c r="B765" s="957"/>
      <c r="C765" s="951" t="s">
        <v>1495</v>
      </c>
      <c r="D765" s="1975" t="s">
        <v>648</v>
      </c>
      <c r="E765" s="1958"/>
      <c r="F765" s="957"/>
      <c r="G765" s="957"/>
      <c r="H765" s="957"/>
      <c r="I765" s="957"/>
      <c r="J765" s="957"/>
      <c r="K765" s="957"/>
      <c r="L765" s="957"/>
      <c r="M765" s="957"/>
      <c r="N765" s="957"/>
      <c r="O765" s="957"/>
      <c r="P765" s="957"/>
      <c r="Q765" s="957"/>
      <c r="R765" s="957"/>
      <c r="S765" s="957"/>
      <c r="T765" s="957"/>
      <c r="U765" s="957"/>
    </row>
    <row r="766" spans="1:21" s="1708" customFormat="1" ht="15.75" thickBot="1" x14ac:dyDescent="0.3">
      <c r="A766" s="565"/>
      <c r="B766" s="957"/>
      <c r="C766" s="945"/>
      <c r="D766" s="945"/>
      <c r="E766" s="945"/>
      <c r="F766" s="957"/>
      <c r="G766" s="957"/>
      <c r="H766" s="957"/>
      <c r="I766" s="957"/>
      <c r="J766" s="957"/>
      <c r="K766" s="957"/>
      <c r="L766" s="957"/>
      <c r="M766" s="957"/>
      <c r="N766" s="957"/>
      <c r="O766" s="957"/>
      <c r="P766" s="957"/>
      <c r="Q766" s="957"/>
      <c r="R766" s="957"/>
      <c r="S766" s="957"/>
      <c r="T766" s="953" t="s">
        <v>523</v>
      </c>
      <c r="U766" s="957"/>
    </row>
    <row r="767" spans="1:21" s="1708" customFormat="1" ht="15.75" thickBot="1" x14ac:dyDescent="0.3">
      <c r="A767" s="565"/>
      <c r="B767" s="957"/>
      <c r="C767" s="950" t="s">
        <v>1496</v>
      </c>
      <c r="D767" s="1957" t="s">
        <v>1606</v>
      </c>
      <c r="E767" s="1922"/>
      <c r="F767" s="957"/>
      <c r="G767" s="957"/>
      <c r="H767" s="957"/>
      <c r="I767" s="957"/>
      <c r="J767" s="957"/>
      <c r="K767" s="957"/>
      <c r="L767" s="957"/>
      <c r="M767" s="957"/>
      <c r="N767" s="957"/>
      <c r="O767" s="957"/>
      <c r="P767" s="957"/>
      <c r="Q767" s="957"/>
      <c r="R767" s="1613" t="str">
        <f ca="1">Incentives!C454</f>
        <v/>
      </c>
      <c r="S767" s="957"/>
      <c r="T767" s="1514" t="str">
        <f>Incentives!E424</f>
        <v>No</v>
      </c>
      <c r="U767" s="957"/>
    </row>
    <row r="768" spans="1:21" s="1708" customFormat="1" ht="15.75" thickBot="1" x14ac:dyDescent="0.3">
      <c r="A768" s="565"/>
      <c r="B768" s="957"/>
      <c r="C768" s="957"/>
      <c r="D768" s="957"/>
      <c r="E768" s="957"/>
      <c r="F768" s="957"/>
      <c r="G768" s="957"/>
      <c r="H768" s="957"/>
      <c r="I768" s="957"/>
      <c r="J768" s="957"/>
      <c r="K768" s="957"/>
      <c r="L768" s="957"/>
      <c r="M768" s="957"/>
      <c r="N768" s="957"/>
      <c r="O768" s="957"/>
      <c r="P768" s="957"/>
      <c r="Q768" s="957"/>
      <c r="R768" s="957"/>
      <c r="S768" s="957"/>
      <c r="T768" s="957"/>
      <c r="U768" s="957"/>
    </row>
    <row r="769" spans="1:21" s="1708" customFormat="1" ht="15.75" customHeight="1" thickBot="1" x14ac:dyDescent="0.3">
      <c r="A769" s="565"/>
      <c r="B769" s="1950" t="s">
        <v>2147</v>
      </c>
      <c r="C769" s="1964"/>
      <c r="D769" s="1964"/>
      <c r="E769" s="1964"/>
      <c r="F769" s="1964"/>
      <c r="G769" s="1964"/>
      <c r="H769" s="1964"/>
      <c r="I769" s="1964"/>
      <c r="J769" s="1964"/>
      <c r="K769" s="1964"/>
      <c r="L769" s="1964"/>
      <c r="M769" s="1964"/>
      <c r="N769" s="1964"/>
      <c r="O769" s="1964"/>
      <c r="P769" s="1964"/>
      <c r="Q769" s="1964"/>
      <c r="R769" s="1964"/>
      <c r="S769" s="1964"/>
      <c r="T769" s="1964"/>
      <c r="U769" s="1965"/>
    </row>
    <row r="770" spans="1:21" ht="15.75" thickBot="1" x14ac:dyDescent="0.3">
      <c r="A770" s="565"/>
      <c r="B770" s="1951"/>
      <c r="C770" s="1951"/>
      <c r="D770" s="1632"/>
      <c r="E770" s="1951"/>
      <c r="F770" s="1951"/>
      <c r="G770" s="1951"/>
      <c r="H770" s="1951"/>
      <c r="I770" s="1951"/>
      <c r="J770" s="1951"/>
      <c r="K770" s="1951"/>
      <c r="L770" s="1951"/>
      <c r="M770" s="1951"/>
      <c r="N770" s="1951"/>
      <c r="O770" s="1951"/>
      <c r="P770" s="1951"/>
      <c r="Q770" s="1951"/>
      <c r="R770" s="1951"/>
      <c r="S770" s="1951"/>
      <c r="T770" s="1951"/>
      <c r="U770" s="1631"/>
    </row>
    <row r="771" spans="1:21" ht="30.75" thickBot="1" x14ac:dyDescent="0.3">
      <c r="A771" s="565"/>
      <c r="B771" s="1633"/>
      <c r="C771" s="1634" t="s">
        <v>1383</v>
      </c>
      <c r="D771" s="1948" t="s">
        <v>2141</v>
      </c>
      <c r="E771" s="1949"/>
      <c r="F771" s="1939"/>
      <c r="G771" s="1946"/>
      <c r="H771" s="1025" t="s">
        <v>1380</v>
      </c>
      <c r="I771" s="1632"/>
      <c r="J771" s="1025" t="s">
        <v>1381</v>
      </c>
      <c r="K771" s="1632"/>
      <c r="L771" s="1025" t="s">
        <v>1397</v>
      </c>
      <c r="M771" s="1632"/>
      <c r="N771" s="1025" t="s">
        <v>1382</v>
      </c>
      <c r="O771" s="1947"/>
      <c r="P771" s="1940"/>
      <c r="Q771" s="1632"/>
      <c r="R771" s="1025" t="s">
        <v>1487</v>
      </c>
      <c r="S771" s="1632"/>
      <c r="T771" s="1025" t="s">
        <v>1488</v>
      </c>
      <c r="U771" s="1631"/>
    </row>
    <row r="772" spans="1:21" ht="15.75" thickBot="1" x14ac:dyDescent="0.3">
      <c r="A772" s="565"/>
      <c r="B772" s="1939"/>
      <c r="C772" s="1939"/>
      <c r="D772" s="1633"/>
      <c r="E772" s="1939"/>
      <c r="F772" s="1939"/>
      <c r="G772" s="1633"/>
      <c r="H772" s="897"/>
      <c r="I772" s="1632"/>
      <c r="J772" s="1690"/>
      <c r="K772" s="1632"/>
      <c r="L772" s="1691"/>
      <c r="M772" s="1632"/>
      <c r="N772" s="1635"/>
      <c r="O772" s="1947"/>
      <c r="P772" s="1940"/>
      <c r="Q772" s="1632"/>
      <c r="R772" s="1026" t="s">
        <v>1490</v>
      </c>
      <c r="S772" s="1632"/>
      <c r="T772" s="1026" t="s">
        <v>648</v>
      </c>
      <c r="U772" s="1631"/>
    </row>
    <row r="773" spans="1:21" ht="30.75" thickBot="1" x14ac:dyDescent="0.3">
      <c r="A773" s="565"/>
      <c r="B773" s="1633"/>
      <c r="C773" s="1634" t="s">
        <v>1491</v>
      </c>
      <c r="D773" s="1937">
        <v>5201</v>
      </c>
      <c r="E773" s="1938"/>
      <c r="F773" s="1939"/>
      <c r="G773" s="1939"/>
      <c r="H773" s="1633"/>
      <c r="I773" s="1940"/>
      <c r="J773" s="1940"/>
      <c r="K773" s="1940"/>
      <c r="L773" s="1940"/>
      <c r="M773" s="1940"/>
      <c r="N773" s="1940"/>
      <c r="O773" s="1940"/>
      <c r="P773" s="1940"/>
      <c r="Q773" s="1940"/>
      <c r="R773" s="1940"/>
      <c r="S773" s="1940"/>
      <c r="T773" s="1940"/>
      <c r="U773" s="1631"/>
    </row>
    <row r="774" spans="1:21" ht="15.75" thickBot="1" x14ac:dyDescent="0.3">
      <c r="A774" s="565"/>
      <c r="B774" s="1939"/>
      <c r="C774" s="1939"/>
      <c r="D774" s="1633"/>
      <c r="E774" s="1939"/>
      <c r="F774" s="1939"/>
      <c r="G774" s="1633"/>
      <c r="H774" s="1025" t="s">
        <v>1389</v>
      </c>
      <c r="I774" s="1947"/>
      <c r="J774" s="1940"/>
      <c r="K774" s="1940"/>
      <c r="L774" s="1940"/>
      <c r="M774" s="1940"/>
      <c r="N774" s="1940"/>
      <c r="O774" s="1940"/>
      <c r="P774" s="1940"/>
      <c r="Q774" s="1940"/>
      <c r="R774" s="1940"/>
      <c r="S774" s="1940"/>
      <c r="T774" s="1940"/>
      <c r="U774" s="1631"/>
    </row>
    <row r="775" spans="1:21" ht="15.75" thickBot="1" x14ac:dyDescent="0.3">
      <c r="A775" s="565"/>
      <c r="B775" s="1633"/>
      <c r="C775" s="1634" t="s">
        <v>1385</v>
      </c>
      <c r="D775" s="1944" t="str">
        <f>AA38</f>
        <v/>
      </c>
      <c r="E775" s="1945"/>
      <c r="F775" s="1939"/>
      <c r="G775" s="1946"/>
      <c r="H775" s="1707"/>
      <c r="I775" s="1947"/>
      <c r="J775" s="1940"/>
      <c r="K775" s="1940"/>
      <c r="L775" s="1940"/>
      <c r="M775" s="1940"/>
      <c r="N775" s="1940"/>
      <c r="O775" s="1940"/>
      <c r="P775" s="1940"/>
      <c r="Q775" s="1940"/>
      <c r="R775" s="1940"/>
      <c r="S775" s="1940"/>
      <c r="T775" s="1940"/>
      <c r="U775" s="1631"/>
    </row>
    <row r="776" spans="1:21" ht="15.75" thickBot="1" x14ac:dyDescent="0.3">
      <c r="A776" s="565"/>
      <c r="B776" s="1939"/>
      <c r="C776" s="1939"/>
      <c r="D776" s="1633"/>
      <c r="E776" s="1939"/>
      <c r="F776" s="1939"/>
      <c r="G776" s="1939"/>
      <c r="H776" s="1939"/>
      <c r="I776" s="1940"/>
      <c r="J776" s="1940"/>
      <c r="K776" s="1940"/>
      <c r="L776" s="1940"/>
      <c r="M776" s="1940"/>
      <c r="N776" s="1940"/>
      <c r="O776" s="1940"/>
      <c r="P776" s="1940"/>
      <c r="Q776" s="1940"/>
      <c r="R776" s="1940"/>
      <c r="S776" s="1940"/>
      <c r="T776" s="1940"/>
      <c r="U776" s="1631"/>
    </row>
    <row r="777" spans="1:21" ht="15.75" thickBot="1" x14ac:dyDescent="0.3">
      <c r="A777" s="565"/>
      <c r="B777" s="1633"/>
      <c r="C777" s="1634" t="s">
        <v>1386</v>
      </c>
      <c r="D777" s="1944" t="str">
        <f>AB38</f>
        <v/>
      </c>
      <c r="E777" s="1945"/>
      <c r="F777" s="1939"/>
      <c r="G777" s="1939"/>
      <c r="H777" s="1633"/>
      <c r="I777" s="1940"/>
      <c r="J777" s="1940"/>
      <c r="K777" s="1940"/>
      <c r="L777" s="1940"/>
      <c r="M777" s="1940"/>
      <c r="N777" s="1940"/>
      <c r="O777" s="1940"/>
      <c r="P777" s="1940"/>
      <c r="Q777" s="1940"/>
      <c r="R777" s="1940"/>
      <c r="S777" s="1632"/>
      <c r="T777" s="1025" t="s">
        <v>1599</v>
      </c>
      <c r="U777" s="1631"/>
    </row>
    <row r="778" spans="1:21" ht="15.75" thickBot="1" x14ac:dyDescent="0.3">
      <c r="A778" s="565"/>
      <c r="B778" s="1939"/>
      <c r="C778" s="1939"/>
      <c r="D778" s="1633"/>
      <c r="E778" s="1939"/>
      <c r="F778" s="1939"/>
      <c r="G778" s="1939"/>
      <c r="H778" s="1939"/>
      <c r="I778" s="1940"/>
      <c r="J778" s="1940"/>
      <c r="K778" s="1940"/>
      <c r="L778" s="1940"/>
      <c r="M778" s="1940"/>
      <c r="N778" s="1940"/>
      <c r="O778" s="1940"/>
      <c r="P778" s="1940"/>
      <c r="Q778" s="1940"/>
      <c r="R778" s="1940"/>
      <c r="S778" s="1632"/>
      <c r="T778" s="1026" t="s">
        <v>646</v>
      </c>
      <c r="U778" s="1631"/>
    </row>
    <row r="779" spans="1:21" ht="30.75" thickBot="1" x14ac:dyDescent="0.3">
      <c r="A779" s="565"/>
      <c r="B779" s="1633"/>
      <c r="C779" s="1636" t="s">
        <v>1495</v>
      </c>
      <c r="D779" s="1941" t="s">
        <v>646</v>
      </c>
      <c r="E779" s="1942"/>
      <c r="F779" s="1943"/>
      <c r="G779" s="1939"/>
      <c r="H779" s="1633"/>
      <c r="I779" s="1940"/>
      <c r="J779" s="1940"/>
      <c r="K779" s="1940"/>
      <c r="L779" s="1940"/>
      <c r="M779" s="1940"/>
      <c r="N779" s="1940"/>
      <c r="O779" s="1940"/>
      <c r="P779" s="1940"/>
      <c r="Q779" s="1940"/>
      <c r="R779" s="1940"/>
      <c r="S779" s="1940"/>
      <c r="T779" s="1940"/>
      <c r="U779" s="1631"/>
    </row>
    <row r="780" spans="1:21" ht="15.75" thickBot="1" x14ac:dyDescent="0.3">
      <c r="A780" s="565"/>
      <c r="B780" s="1939"/>
      <c r="C780" s="1939"/>
      <c r="D780" s="1633"/>
      <c r="E780" s="1939"/>
      <c r="F780" s="1939"/>
      <c r="G780" s="1939"/>
      <c r="H780" s="1939"/>
      <c r="I780" s="1940"/>
      <c r="J780" s="1940"/>
      <c r="K780" s="1940"/>
      <c r="L780" s="1940"/>
      <c r="M780" s="1940"/>
      <c r="N780" s="1940"/>
      <c r="O780" s="1940"/>
      <c r="P780" s="1940"/>
      <c r="Q780" s="1940"/>
      <c r="R780" s="1940"/>
      <c r="S780" s="1632"/>
      <c r="T780" s="1025" t="s">
        <v>523</v>
      </c>
      <c r="U780" s="1631"/>
    </row>
    <row r="781" spans="1:21" ht="15.75" thickBot="1" x14ac:dyDescent="0.3">
      <c r="A781" s="565"/>
      <c r="B781" s="1633"/>
      <c r="C781" s="1634" t="s">
        <v>1496</v>
      </c>
      <c r="D781" s="1937" t="s">
        <v>1497</v>
      </c>
      <c r="E781" s="1938"/>
      <c r="F781" s="1939"/>
      <c r="G781" s="1939"/>
      <c r="H781" s="1633"/>
      <c r="I781" s="1940"/>
      <c r="J781" s="1940"/>
      <c r="K781" s="1940"/>
      <c r="L781" s="1940"/>
      <c r="M781" s="1940"/>
      <c r="N781" s="1940"/>
      <c r="O781" s="1940"/>
      <c r="P781" s="1940"/>
      <c r="Q781" s="1940"/>
      <c r="R781" s="1940"/>
      <c r="S781" s="1632"/>
      <c r="T781" s="1026" t="str">
        <f>Incentives!E435</f>
        <v>No</v>
      </c>
      <c r="U781" s="1631"/>
    </row>
    <row r="782" spans="1:21" ht="15.75" thickBot="1" x14ac:dyDescent="0.3">
      <c r="A782" s="565"/>
      <c r="B782" s="1934"/>
      <c r="C782" s="1934"/>
      <c r="D782" s="1632"/>
      <c r="E782" s="1934"/>
      <c r="F782" s="1934"/>
      <c r="G782" s="1934"/>
      <c r="H782" s="1934"/>
      <c r="I782" s="1934"/>
      <c r="J782" s="1934"/>
      <c r="K782" s="1934"/>
      <c r="L782" s="1934"/>
      <c r="M782" s="1934"/>
      <c r="N782" s="1934"/>
      <c r="O782" s="1934"/>
      <c r="P782" s="1934"/>
      <c r="Q782" s="1934"/>
      <c r="R782" s="1934"/>
      <c r="S782" s="1934"/>
      <c r="T782" s="1934"/>
      <c r="U782" s="1631"/>
    </row>
    <row r="783" spans="1:21" ht="15.75" thickBot="1" x14ac:dyDescent="0.3">
      <c r="A783" s="565"/>
      <c r="B783" s="1950" t="s">
        <v>2148</v>
      </c>
      <c r="C783" s="1921"/>
      <c r="D783" s="1921"/>
      <c r="E783" s="1921"/>
      <c r="F783" s="1921"/>
      <c r="G783" s="1921"/>
      <c r="H783" s="1921"/>
      <c r="I783" s="1921"/>
      <c r="J783" s="1921"/>
      <c r="K783" s="1921"/>
      <c r="L783" s="1921"/>
      <c r="M783" s="1921"/>
      <c r="N783" s="1921"/>
      <c r="O783" s="1921"/>
      <c r="P783" s="1921"/>
      <c r="Q783" s="1921"/>
      <c r="R783" s="1921"/>
      <c r="S783" s="1921"/>
      <c r="T783" s="1921"/>
      <c r="U783" s="1922"/>
    </row>
    <row r="784" spans="1:21" s="1692" customFormat="1" ht="15.75" thickBot="1" x14ac:dyDescent="0.3">
      <c r="A784" s="565"/>
      <c r="B784" s="1951"/>
      <c r="C784" s="1951"/>
      <c r="D784" s="1694"/>
      <c r="E784" s="1951"/>
      <c r="F784" s="1951"/>
      <c r="G784" s="1951"/>
      <c r="H784" s="1951"/>
      <c r="I784" s="1951"/>
      <c r="J784" s="1951"/>
      <c r="K784" s="1951"/>
      <c r="L784" s="1951"/>
      <c r="M784" s="1951"/>
      <c r="N784" s="1951"/>
      <c r="O784" s="1951"/>
      <c r="P784" s="1951"/>
      <c r="Q784" s="1951"/>
      <c r="R784" s="1951"/>
      <c r="S784" s="1951"/>
      <c r="T784" s="1951"/>
      <c r="U784" s="1631"/>
    </row>
    <row r="785" spans="1:21" s="1692" customFormat="1" ht="30.75" thickBot="1" x14ac:dyDescent="0.3">
      <c r="A785" s="565"/>
      <c r="B785" s="1693"/>
      <c r="C785" s="1634" t="s">
        <v>1383</v>
      </c>
      <c r="D785" s="1948" t="s">
        <v>2141</v>
      </c>
      <c r="E785" s="1949"/>
      <c r="F785" s="1939"/>
      <c r="G785" s="1946"/>
      <c r="H785" s="1025" t="s">
        <v>1380</v>
      </c>
      <c r="I785" s="1694"/>
      <c r="J785" s="1025" t="s">
        <v>1381</v>
      </c>
      <c r="K785" s="1694"/>
      <c r="L785" s="1025" t="s">
        <v>1397</v>
      </c>
      <c r="M785" s="1694"/>
      <c r="N785" s="1025" t="s">
        <v>1382</v>
      </c>
      <c r="O785" s="1947"/>
      <c r="P785" s="1940"/>
      <c r="Q785" s="1694"/>
      <c r="R785" s="1025" t="s">
        <v>1487</v>
      </c>
      <c r="S785" s="1694"/>
      <c r="T785" s="1025" t="s">
        <v>1488</v>
      </c>
      <c r="U785" s="1631"/>
    </row>
    <row r="786" spans="1:21" s="1692" customFormat="1" ht="15.75" thickBot="1" x14ac:dyDescent="0.3">
      <c r="A786" s="565"/>
      <c r="B786" s="1939"/>
      <c r="C786" s="1939"/>
      <c r="D786" s="1693"/>
      <c r="E786" s="1939"/>
      <c r="F786" s="1939"/>
      <c r="G786" s="1693"/>
      <c r="H786" s="897"/>
      <c r="I786" s="1694"/>
      <c r="J786" s="1690"/>
      <c r="K786" s="1694"/>
      <c r="L786" s="1691"/>
      <c r="M786" s="1694"/>
      <c r="N786" s="1635"/>
      <c r="O786" s="1947"/>
      <c r="P786" s="1940"/>
      <c r="Q786" s="1694"/>
      <c r="R786" s="1026" t="s">
        <v>1490</v>
      </c>
      <c r="S786" s="1694"/>
      <c r="T786" s="1026" t="s">
        <v>648</v>
      </c>
      <c r="U786" s="1631"/>
    </row>
    <row r="787" spans="1:21" s="1692" customFormat="1" ht="30.75" thickBot="1" x14ac:dyDescent="0.3">
      <c r="A787" s="565"/>
      <c r="B787" s="1693"/>
      <c r="C787" s="1634" t="s">
        <v>1491</v>
      </c>
      <c r="D787" s="1937">
        <v>5202</v>
      </c>
      <c r="E787" s="1938"/>
      <c r="F787" s="1939"/>
      <c r="G787" s="1939"/>
      <c r="H787" s="1693"/>
      <c r="I787" s="1940"/>
      <c r="J787" s="1940"/>
      <c r="K787" s="1940"/>
      <c r="L787" s="1940"/>
      <c r="M787" s="1940"/>
      <c r="N787" s="1940"/>
      <c r="O787" s="1940"/>
      <c r="P787" s="1940"/>
      <c r="Q787" s="1940"/>
      <c r="R787" s="1940"/>
      <c r="S787" s="1940"/>
      <c r="T787" s="1940"/>
      <c r="U787" s="1631"/>
    </row>
    <row r="788" spans="1:21" s="1692" customFormat="1" ht="15.75" thickBot="1" x14ac:dyDescent="0.3">
      <c r="A788" s="565"/>
      <c r="B788" s="1939"/>
      <c r="C788" s="1939"/>
      <c r="D788" s="1693"/>
      <c r="E788" s="1939"/>
      <c r="F788" s="1939"/>
      <c r="G788" s="1693"/>
      <c r="H788" s="1025" t="s">
        <v>1389</v>
      </c>
      <c r="I788" s="1947"/>
      <c r="J788" s="1940"/>
      <c r="K788" s="1940"/>
      <c r="L788" s="1940"/>
      <c r="M788" s="1940"/>
      <c r="N788" s="1940"/>
      <c r="O788" s="1940"/>
      <c r="P788" s="1940"/>
      <c r="Q788" s="1940"/>
      <c r="R788" s="1940"/>
      <c r="S788" s="1940"/>
      <c r="T788" s="1940"/>
      <c r="U788" s="1631"/>
    </row>
    <row r="789" spans="1:21" s="1692" customFormat="1" ht="15.75" thickBot="1" x14ac:dyDescent="0.3">
      <c r="A789" s="565"/>
      <c r="B789" s="1693"/>
      <c r="C789" s="1634" t="s">
        <v>1385</v>
      </c>
      <c r="D789" s="1944" t="str">
        <f>AA39</f>
        <v/>
      </c>
      <c r="E789" s="1945"/>
      <c r="F789" s="1939"/>
      <c r="G789" s="1946"/>
      <c r="H789" s="1707"/>
      <c r="I789" s="1947"/>
      <c r="J789" s="1940"/>
      <c r="K789" s="1940"/>
      <c r="L789" s="1940"/>
      <c r="M789" s="1940"/>
      <c r="N789" s="1940"/>
      <c r="O789" s="1940"/>
      <c r="P789" s="1940"/>
      <c r="Q789" s="1940"/>
      <c r="R789" s="1940"/>
      <c r="S789" s="1940"/>
      <c r="T789" s="1940"/>
      <c r="U789" s="1631"/>
    </row>
    <row r="790" spans="1:21" s="1692" customFormat="1" ht="15.75" thickBot="1" x14ac:dyDescent="0.3">
      <c r="A790" s="565"/>
      <c r="B790" s="1939"/>
      <c r="C790" s="1939"/>
      <c r="D790" s="1693"/>
      <c r="E790" s="1939"/>
      <c r="F790" s="1939"/>
      <c r="G790" s="1939"/>
      <c r="H790" s="1939"/>
      <c r="I790" s="1940"/>
      <c r="J790" s="1940"/>
      <c r="K790" s="1940"/>
      <c r="L790" s="1940"/>
      <c r="M790" s="1940"/>
      <c r="N790" s="1940"/>
      <c r="O790" s="1940"/>
      <c r="P790" s="1940"/>
      <c r="Q790" s="1940"/>
      <c r="R790" s="1940"/>
      <c r="S790" s="1940"/>
      <c r="T790" s="1940"/>
      <c r="U790" s="1631"/>
    </row>
    <row r="791" spans="1:21" s="1692" customFormat="1" ht="15.75" thickBot="1" x14ac:dyDescent="0.3">
      <c r="A791" s="565"/>
      <c r="B791" s="1693"/>
      <c r="C791" s="1634" t="s">
        <v>1386</v>
      </c>
      <c r="D791" s="1944" t="str">
        <f>AB39</f>
        <v/>
      </c>
      <c r="E791" s="1945"/>
      <c r="F791" s="1939"/>
      <c r="G791" s="1939"/>
      <c r="H791" s="1693"/>
      <c r="I791" s="1940"/>
      <c r="J791" s="1940"/>
      <c r="K791" s="1940"/>
      <c r="L791" s="1940"/>
      <c r="M791" s="1940"/>
      <c r="N791" s="1940"/>
      <c r="O791" s="1940"/>
      <c r="P791" s="1940"/>
      <c r="Q791" s="1940"/>
      <c r="R791" s="1940"/>
      <c r="S791" s="1694"/>
      <c r="T791" s="1025" t="s">
        <v>1599</v>
      </c>
      <c r="U791" s="1631"/>
    </row>
    <row r="792" spans="1:21" s="1692" customFormat="1" ht="15.75" thickBot="1" x14ac:dyDescent="0.3">
      <c r="A792" s="565"/>
      <c r="B792" s="1939"/>
      <c r="C792" s="1939"/>
      <c r="D792" s="1693"/>
      <c r="E792" s="1939"/>
      <c r="F792" s="1939"/>
      <c r="G792" s="1939"/>
      <c r="H792" s="1939"/>
      <c r="I792" s="1940"/>
      <c r="J792" s="1940"/>
      <c r="K792" s="1940"/>
      <c r="L792" s="1940"/>
      <c r="M792" s="1940"/>
      <c r="N792" s="1940"/>
      <c r="O792" s="1940"/>
      <c r="P792" s="1940"/>
      <c r="Q792" s="1940"/>
      <c r="R792" s="1940"/>
      <c r="S792" s="1694"/>
      <c r="T792" s="1026" t="s">
        <v>646</v>
      </c>
      <c r="U792" s="1631"/>
    </row>
    <row r="793" spans="1:21" s="1692" customFormat="1" ht="30.75" thickBot="1" x14ac:dyDescent="0.3">
      <c r="A793" s="565"/>
      <c r="B793" s="1693"/>
      <c r="C793" s="1636" t="s">
        <v>1495</v>
      </c>
      <c r="D793" s="1941" t="s">
        <v>646</v>
      </c>
      <c r="E793" s="1942"/>
      <c r="F793" s="1943"/>
      <c r="G793" s="1939"/>
      <c r="H793" s="1693"/>
      <c r="I793" s="1940"/>
      <c r="J793" s="1940"/>
      <c r="K793" s="1940"/>
      <c r="L793" s="1940"/>
      <c r="M793" s="1940"/>
      <c r="N793" s="1940"/>
      <c r="O793" s="1940"/>
      <c r="P793" s="1940"/>
      <c r="Q793" s="1940"/>
      <c r="R793" s="1940"/>
      <c r="S793" s="1940"/>
      <c r="T793" s="1940"/>
      <c r="U793" s="1631"/>
    </row>
    <row r="794" spans="1:21" s="1692" customFormat="1" ht="15.75" thickBot="1" x14ac:dyDescent="0.3">
      <c r="A794" s="565"/>
      <c r="B794" s="1939"/>
      <c r="C794" s="1939"/>
      <c r="D794" s="1693"/>
      <c r="E794" s="1939"/>
      <c r="F794" s="1939"/>
      <c r="G794" s="1939"/>
      <c r="H794" s="1939"/>
      <c r="I794" s="1940"/>
      <c r="J794" s="1940"/>
      <c r="K794" s="1940"/>
      <c r="L794" s="1940"/>
      <c r="M794" s="1940"/>
      <c r="N794" s="1940"/>
      <c r="O794" s="1940"/>
      <c r="P794" s="1940"/>
      <c r="Q794" s="1940"/>
      <c r="R794" s="1940"/>
      <c r="S794" s="1694"/>
      <c r="T794" s="1025" t="s">
        <v>523</v>
      </c>
      <c r="U794" s="1631"/>
    </row>
    <row r="795" spans="1:21" s="1692" customFormat="1" ht="15.75" thickBot="1" x14ac:dyDescent="0.3">
      <c r="A795" s="565"/>
      <c r="B795" s="1693"/>
      <c r="C795" s="1634" t="s">
        <v>1496</v>
      </c>
      <c r="D795" s="1937" t="s">
        <v>1497</v>
      </c>
      <c r="E795" s="1938"/>
      <c r="F795" s="1939"/>
      <c r="G795" s="1939"/>
      <c r="H795" s="1693"/>
      <c r="I795" s="1940"/>
      <c r="J795" s="1940"/>
      <c r="K795" s="1940"/>
      <c r="L795" s="1940"/>
      <c r="M795" s="1940"/>
      <c r="N795" s="1940"/>
      <c r="O795" s="1940"/>
      <c r="P795" s="1940"/>
      <c r="Q795" s="1940"/>
      <c r="R795" s="1940"/>
      <c r="S795" s="1694"/>
      <c r="T795" s="1026" t="str">
        <f>Incentives!E443</f>
        <v>No</v>
      </c>
      <c r="U795" s="1631"/>
    </row>
    <row r="796" spans="1:21" s="1692" customFormat="1" ht="15.75" thickBot="1" x14ac:dyDescent="0.3">
      <c r="A796" s="565"/>
      <c r="B796" s="1934"/>
      <c r="C796" s="1934"/>
      <c r="D796" s="1694"/>
      <c r="E796" s="1934"/>
      <c r="F796" s="1934"/>
      <c r="G796" s="1934"/>
      <c r="H796" s="1934"/>
      <c r="I796" s="1934"/>
      <c r="J796" s="1934"/>
      <c r="K796" s="1934"/>
      <c r="L796" s="1934"/>
      <c r="M796" s="1934"/>
      <c r="N796" s="1934"/>
      <c r="O796" s="1934"/>
      <c r="P796" s="1934"/>
      <c r="Q796" s="1934"/>
      <c r="R796" s="1934"/>
      <c r="S796" s="1934"/>
      <c r="T796" s="1934"/>
      <c r="U796" s="1631"/>
    </row>
    <row r="797" spans="1:21" s="1692" customFormat="1" ht="15.75" thickBot="1" x14ac:dyDescent="0.3">
      <c r="A797" s="565"/>
      <c r="B797" s="1950" t="s">
        <v>2149</v>
      </c>
      <c r="C797" s="1921"/>
      <c r="D797" s="1921"/>
      <c r="E797" s="1921"/>
      <c r="F797" s="1921"/>
      <c r="G797" s="1921"/>
      <c r="H797" s="1921"/>
      <c r="I797" s="1921"/>
      <c r="J797" s="1921"/>
      <c r="K797" s="1921"/>
      <c r="L797" s="1921"/>
      <c r="M797" s="1921"/>
      <c r="N797" s="1921"/>
      <c r="O797" s="1921"/>
      <c r="P797" s="1921"/>
      <c r="Q797" s="1921"/>
      <c r="R797" s="1921"/>
      <c r="S797" s="1921"/>
      <c r="T797" s="1921"/>
      <c r="U797" s="1922"/>
    </row>
    <row r="798" spans="1:21" s="1692" customFormat="1" ht="15.75" thickBot="1" x14ac:dyDescent="0.3">
      <c r="A798" s="565"/>
      <c r="B798" s="1951"/>
      <c r="C798" s="1951"/>
      <c r="D798" s="1694"/>
      <c r="E798" s="1951"/>
      <c r="F798" s="1951"/>
      <c r="G798" s="1951"/>
      <c r="H798" s="1951"/>
      <c r="I798" s="1951"/>
      <c r="J798" s="1951"/>
      <c r="K798" s="1951"/>
      <c r="L798" s="1951"/>
      <c r="M798" s="1951"/>
      <c r="N798" s="1951"/>
      <c r="O798" s="1951"/>
      <c r="P798" s="1951"/>
      <c r="Q798" s="1951"/>
      <c r="R798" s="1951"/>
      <c r="S798" s="1951"/>
      <c r="T798" s="1951"/>
      <c r="U798" s="1631"/>
    </row>
    <row r="799" spans="1:21" s="1692" customFormat="1" ht="30.75" thickBot="1" x14ac:dyDescent="0.3">
      <c r="A799" s="565"/>
      <c r="B799" s="1693"/>
      <c r="C799" s="1634" t="s">
        <v>1383</v>
      </c>
      <c r="D799" s="1948" t="s">
        <v>2141</v>
      </c>
      <c r="E799" s="1949"/>
      <c r="F799" s="1939"/>
      <c r="G799" s="1946"/>
      <c r="H799" s="1025" t="s">
        <v>1380</v>
      </c>
      <c r="I799" s="1694"/>
      <c r="J799" s="1025" t="s">
        <v>1381</v>
      </c>
      <c r="K799" s="1694"/>
      <c r="L799" s="1025" t="s">
        <v>1397</v>
      </c>
      <c r="M799" s="1694"/>
      <c r="N799" s="1025" t="s">
        <v>1382</v>
      </c>
      <c r="O799" s="1947"/>
      <c r="P799" s="1940"/>
      <c r="Q799" s="1694"/>
      <c r="R799" s="1025" t="s">
        <v>1487</v>
      </c>
      <c r="S799" s="1694"/>
      <c r="T799" s="1025" t="s">
        <v>1488</v>
      </c>
      <c r="U799" s="1631"/>
    </row>
    <row r="800" spans="1:21" s="1692" customFormat="1" ht="15.75" thickBot="1" x14ac:dyDescent="0.3">
      <c r="A800" s="565"/>
      <c r="B800" s="1939"/>
      <c r="C800" s="1939"/>
      <c r="D800" s="1693"/>
      <c r="E800" s="1939"/>
      <c r="F800" s="1939"/>
      <c r="G800" s="1693"/>
      <c r="H800" s="897"/>
      <c r="I800" s="1694"/>
      <c r="J800" s="1690"/>
      <c r="K800" s="1694"/>
      <c r="L800" s="1691"/>
      <c r="M800" s="1694"/>
      <c r="N800" s="1635"/>
      <c r="O800" s="1947"/>
      <c r="P800" s="1940"/>
      <c r="Q800" s="1694"/>
      <c r="R800" s="1026" t="s">
        <v>1490</v>
      </c>
      <c r="S800" s="1694"/>
      <c r="T800" s="1026" t="s">
        <v>648</v>
      </c>
      <c r="U800" s="1631"/>
    </row>
    <row r="801" spans="1:21" s="1692" customFormat="1" ht="30.75" thickBot="1" x14ac:dyDescent="0.3">
      <c r="A801" s="565"/>
      <c r="B801" s="1693"/>
      <c r="C801" s="1634" t="s">
        <v>1491</v>
      </c>
      <c r="D801" s="1937">
        <v>5203</v>
      </c>
      <c r="E801" s="1938"/>
      <c r="F801" s="1939"/>
      <c r="G801" s="1939"/>
      <c r="H801" s="1693"/>
      <c r="I801" s="1940"/>
      <c r="J801" s="1940"/>
      <c r="K801" s="1940"/>
      <c r="L801" s="1940"/>
      <c r="M801" s="1940"/>
      <c r="N801" s="1940"/>
      <c r="O801" s="1940"/>
      <c r="P801" s="1940"/>
      <c r="Q801" s="1940"/>
      <c r="R801" s="1940"/>
      <c r="S801" s="1940"/>
      <c r="T801" s="1940"/>
      <c r="U801" s="1631"/>
    </row>
    <row r="802" spans="1:21" s="1692" customFormat="1" ht="15.75" thickBot="1" x14ac:dyDescent="0.3">
      <c r="A802" s="565"/>
      <c r="B802" s="1939"/>
      <c r="C802" s="1939"/>
      <c r="D802" s="1693"/>
      <c r="E802" s="1939"/>
      <c r="F802" s="1939"/>
      <c r="G802" s="1693"/>
      <c r="H802" s="1025" t="s">
        <v>1389</v>
      </c>
      <c r="I802" s="1947"/>
      <c r="J802" s="1940"/>
      <c r="K802" s="1940"/>
      <c r="L802" s="1940"/>
      <c r="M802" s="1940"/>
      <c r="N802" s="1940"/>
      <c r="O802" s="1940"/>
      <c r="P802" s="1940"/>
      <c r="Q802" s="1940"/>
      <c r="R802" s="1940"/>
      <c r="S802" s="1940"/>
      <c r="T802" s="1940"/>
      <c r="U802" s="1631"/>
    </row>
    <row r="803" spans="1:21" s="1692" customFormat="1" ht="15.75" thickBot="1" x14ac:dyDescent="0.3">
      <c r="A803" s="565"/>
      <c r="B803" s="1693"/>
      <c r="C803" s="1634" t="s">
        <v>1385</v>
      </c>
      <c r="D803" s="1944" t="str">
        <f>AA40</f>
        <v/>
      </c>
      <c r="E803" s="1945"/>
      <c r="F803" s="1939"/>
      <c r="G803" s="1946"/>
      <c r="H803" s="1707"/>
      <c r="I803" s="1947"/>
      <c r="J803" s="1940"/>
      <c r="K803" s="1940"/>
      <c r="L803" s="1940"/>
      <c r="M803" s="1940"/>
      <c r="N803" s="1940"/>
      <c r="O803" s="1940"/>
      <c r="P803" s="1940"/>
      <c r="Q803" s="1940"/>
      <c r="R803" s="1940"/>
      <c r="S803" s="1940"/>
      <c r="T803" s="1940"/>
      <c r="U803" s="1631"/>
    </row>
    <row r="804" spans="1:21" s="1692" customFormat="1" ht="15.75" thickBot="1" x14ac:dyDescent="0.3">
      <c r="A804" s="565"/>
      <c r="B804" s="1939"/>
      <c r="C804" s="1939"/>
      <c r="D804" s="1693"/>
      <c r="E804" s="1939"/>
      <c r="F804" s="1939"/>
      <c r="G804" s="1939"/>
      <c r="H804" s="1939"/>
      <c r="I804" s="1940"/>
      <c r="J804" s="1940"/>
      <c r="K804" s="1940"/>
      <c r="L804" s="1940"/>
      <c r="M804" s="1940"/>
      <c r="N804" s="1940"/>
      <c r="O804" s="1940"/>
      <c r="P804" s="1940"/>
      <c r="Q804" s="1940"/>
      <c r="R804" s="1940"/>
      <c r="S804" s="1940"/>
      <c r="T804" s="1940"/>
      <c r="U804" s="1631"/>
    </row>
    <row r="805" spans="1:21" s="1692" customFormat="1" ht="15.75" thickBot="1" x14ac:dyDescent="0.3">
      <c r="A805" s="565"/>
      <c r="B805" s="1693"/>
      <c r="C805" s="1634" t="s">
        <v>1386</v>
      </c>
      <c r="D805" s="1944" t="str">
        <f>AB40</f>
        <v/>
      </c>
      <c r="E805" s="1945"/>
      <c r="F805" s="1939"/>
      <c r="G805" s="1939"/>
      <c r="H805" s="1693"/>
      <c r="I805" s="1940"/>
      <c r="J805" s="1940"/>
      <c r="K805" s="1940"/>
      <c r="L805" s="1940"/>
      <c r="M805" s="1940"/>
      <c r="N805" s="1940"/>
      <c r="O805" s="1940"/>
      <c r="P805" s="1940"/>
      <c r="Q805" s="1940"/>
      <c r="R805" s="1940"/>
      <c r="S805" s="1694"/>
      <c r="T805" s="1025" t="s">
        <v>1599</v>
      </c>
      <c r="U805" s="1631"/>
    </row>
    <row r="806" spans="1:21" s="1692" customFormat="1" ht="15.75" thickBot="1" x14ac:dyDescent="0.3">
      <c r="A806" s="565"/>
      <c r="B806" s="1939"/>
      <c r="C806" s="1939"/>
      <c r="D806" s="1693"/>
      <c r="E806" s="1939"/>
      <c r="F806" s="1939"/>
      <c r="G806" s="1939"/>
      <c r="H806" s="1939"/>
      <c r="I806" s="1940"/>
      <c r="J806" s="1940"/>
      <c r="K806" s="1940"/>
      <c r="L806" s="1940"/>
      <c r="M806" s="1940"/>
      <c r="N806" s="1940"/>
      <c r="O806" s="1940"/>
      <c r="P806" s="1940"/>
      <c r="Q806" s="1940"/>
      <c r="R806" s="1940"/>
      <c r="S806" s="1694"/>
      <c r="T806" s="1026" t="s">
        <v>646</v>
      </c>
      <c r="U806" s="1631"/>
    </row>
    <row r="807" spans="1:21" s="1692" customFormat="1" ht="30.75" thickBot="1" x14ac:dyDescent="0.3">
      <c r="A807" s="565"/>
      <c r="B807" s="1693"/>
      <c r="C807" s="1636" t="s">
        <v>1495</v>
      </c>
      <c r="D807" s="1941" t="s">
        <v>646</v>
      </c>
      <c r="E807" s="1942"/>
      <c r="F807" s="1943"/>
      <c r="G807" s="1939"/>
      <c r="H807" s="1693"/>
      <c r="I807" s="1940"/>
      <c r="J807" s="1940"/>
      <c r="K807" s="1940"/>
      <c r="L807" s="1940"/>
      <c r="M807" s="1940"/>
      <c r="N807" s="1940"/>
      <c r="O807" s="1940"/>
      <c r="P807" s="1940"/>
      <c r="Q807" s="1940"/>
      <c r="R807" s="1940"/>
      <c r="S807" s="1940"/>
      <c r="T807" s="1940"/>
      <c r="U807" s="1631"/>
    </row>
    <row r="808" spans="1:21" s="1692" customFormat="1" ht="15.75" thickBot="1" x14ac:dyDescent="0.3">
      <c r="A808" s="565"/>
      <c r="B808" s="1939"/>
      <c r="C808" s="1939"/>
      <c r="D808" s="1693"/>
      <c r="E808" s="1939"/>
      <c r="F808" s="1939"/>
      <c r="G808" s="1939"/>
      <c r="H808" s="1939"/>
      <c r="I808" s="1940"/>
      <c r="J808" s="1940"/>
      <c r="K808" s="1940"/>
      <c r="L808" s="1940"/>
      <c r="M808" s="1940"/>
      <c r="N808" s="1940"/>
      <c r="O808" s="1940"/>
      <c r="P808" s="1940"/>
      <c r="Q808" s="1940"/>
      <c r="R808" s="1940"/>
      <c r="S808" s="1694"/>
      <c r="T808" s="1025" t="s">
        <v>523</v>
      </c>
      <c r="U808" s="1631"/>
    </row>
    <row r="809" spans="1:21" s="1692" customFormat="1" ht="15.75" thickBot="1" x14ac:dyDescent="0.3">
      <c r="A809" s="565"/>
      <c r="B809" s="1693"/>
      <c r="C809" s="1634" t="s">
        <v>1496</v>
      </c>
      <c r="D809" s="1937" t="s">
        <v>1497</v>
      </c>
      <c r="E809" s="1938"/>
      <c r="F809" s="1939"/>
      <c r="G809" s="1939"/>
      <c r="H809" s="1693"/>
      <c r="I809" s="1940"/>
      <c r="J809" s="1940"/>
      <c r="K809" s="1940"/>
      <c r="L809" s="1940"/>
      <c r="M809" s="1940"/>
      <c r="N809" s="1940"/>
      <c r="O809" s="1940"/>
      <c r="P809" s="1940"/>
      <c r="Q809" s="1940"/>
      <c r="R809" s="1940"/>
      <c r="S809" s="1694"/>
      <c r="T809" s="1026" t="str">
        <f>Incentives!E451</f>
        <v>No</v>
      </c>
      <c r="U809" s="1631"/>
    </row>
    <row r="810" spans="1:21" s="1692" customFormat="1" ht="15.75" thickBot="1" x14ac:dyDescent="0.3">
      <c r="A810" s="565"/>
      <c r="B810" s="1934"/>
      <c r="C810" s="1934"/>
      <c r="D810" s="1694"/>
      <c r="E810" s="1934"/>
      <c r="F810" s="1934"/>
      <c r="G810" s="1934"/>
      <c r="H810" s="1934"/>
      <c r="I810" s="1934"/>
      <c r="J810" s="1934"/>
      <c r="K810" s="1934"/>
      <c r="L810" s="1934"/>
      <c r="M810" s="1934"/>
      <c r="N810" s="1934"/>
      <c r="O810" s="1934"/>
      <c r="P810" s="1934"/>
      <c r="Q810" s="1934"/>
      <c r="R810" s="1934"/>
      <c r="S810" s="1934"/>
      <c r="T810" s="1934"/>
      <c r="U810" s="1631"/>
    </row>
    <row r="811" spans="1:21" s="1692" customFormat="1" ht="15.75" thickBot="1" x14ac:dyDescent="0.3">
      <c r="A811" s="565"/>
      <c r="B811" s="1950" t="s">
        <v>2150</v>
      </c>
      <c r="C811" s="1921"/>
      <c r="D811" s="1921"/>
      <c r="E811" s="1921"/>
      <c r="F811" s="1921"/>
      <c r="G811" s="1921"/>
      <c r="H811" s="1921"/>
      <c r="I811" s="1921"/>
      <c r="J811" s="1921"/>
      <c r="K811" s="1921"/>
      <c r="L811" s="1921"/>
      <c r="M811" s="1921"/>
      <c r="N811" s="1921"/>
      <c r="O811" s="1921"/>
      <c r="P811" s="1921"/>
      <c r="Q811" s="1921"/>
      <c r="R811" s="1921"/>
      <c r="S811" s="1921"/>
      <c r="T811" s="1921"/>
      <c r="U811" s="1922"/>
    </row>
    <row r="812" spans="1:21" s="1692" customFormat="1" ht="15.75" thickBot="1" x14ac:dyDescent="0.3">
      <c r="A812" s="565"/>
      <c r="B812" s="1951"/>
      <c r="C812" s="1951"/>
      <c r="D812" s="1694"/>
      <c r="E812" s="1951"/>
      <c r="F812" s="1951"/>
      <c r="G812" s="1951"/>
      <c r="H812" s="1951"/>
      <c r="I812" s="1951"/>
      <c r="J812" s="1951"/>
      <c r="K812" s="1951"/>
      <c r="L812" s="1951"/>
      <c r="M812" s="1951"/>
      <c r="N812" s="1951"/>
      <c r="O812" s="1951"/>
      <c r="P812" s="1951"/>
      <c r="Q812" s="1951"/>
      <c r="R812" s="1951"/>
      <c r="S812" s="1951"/>
      <c r="T812" s="1951"/>
      <c r="U812" s="1631"/>
    </row>
    <row r="813" spans="1:21" s="1692" customFormat="1" ht="30.75" thickBot="1" x14ac:dyDescent="0.3">
      <c r="A813" s="565"/>
      <c r="B813" s="1693"/>
      <c r="C813" s="1634" t="s">
        <v>1383</v>
      </c>
      <c r="D813" s="1948" t="s">
        <v>2141</v>
      </c>
      <c r="E813" s="1949"/>
      <c r="F813" s="1939"/>
      <c r="G813" s="1946"/>
      <c r="H813" s="1025" t="s">
        <v>1380</v>
      </c>
      <c r="I813" s="1694"/>
      <c r="J813" s="1025" t="s">
        <v>1381</v>
      </c>
      <c r="K813" s="1694"/>
      <c r="L813" s="1025" t="s">
        <v>1397</v>
      </c>
      <c r="M813" s="1694"/>
      <c r="N813" s="1025" t="s">
        <v>1382</v>
      </c>
      <c r="O813" s="1947"/>
      <c r="P813" s="1940"/>
      <c r="Q813" s="1694"/>
      <c r="R813" s="1025" t="s">
        <v>1487</v>
      </c>
      <c r="S813" s="1694"/>
      <c r="T813" s="1025" t="s">
        <v>1488</v>
      </c>
      <c r="U813" s="1631"/>
    </row>
    <row r="814" spans="1:21" s="1692" customFormat="1" ht="15.75" thickBot="1" x14ac:dyDescent="0.3">
      <c r="A814" s="565"/>
      <c r="B814" s="1939"/>
      <c r="C814" s="1939"/>
      <c r="D814" s="1693"/>
      <c r="E814" s="1939"/>
      <c r="F814" s="1939"/>
      <c r="G814" s="1693"/>
      <c r="H814" s="897"/>
      <c r="I814" s="1694"/>
      <c r="J814" s="1690"/>
      <c r="K814" s="1694"/>
      <c r="L814" s="1691"/>
      <c r="M814" s="1694"/>
      <c r="N814" s="1635"/>
      <c r="O814" s="1947"/>
      <c r="P814" s="1940"/>
      <c r="Q814" s="1694"/>
      <c r="R814" s="1026" t="s">
        <v>1490</v>
      </c>
      <c r="S814" s="1694"/>
      <c r="T814" s="1026" t="s">
        <v>648</v>
      </c>
      <c r="U814" s="1631"/>
    </row>
    <row r="815" spans="1:21" s="1692" customFormat="1" ht="30.75" thickBot="1" x14ac:dyDescent="0.3">
      <c r="A815" s="565"/>
      <c r="B815" s="1693"/>
      <c r="C815" s="1634" t="s">
        <v>1491</v>
      </c>
      <c r="D815" s="1937">
        <v>5204</v>
      </c>
      <c r="E815" s="1938"/>
      <c r="F815" s="1939"/>
      <c r="G815" s="1939"/>
      <c r="H815" s="1693"/>
      <c r="I815" s="1940"/>
      <c r="J815" s="1940"/>
      <c r="K815" s="1940"/>
      <c r="L815" s="1940"/>
      <c r="M815" s="1940"/>
      <c r="N815" s="1940"/>
      <c r="O815" s="1940"/>
      <c r="P815" s="1940"/>
      <c r="Q815" s="1940"/>
      <c r="R815" s="1940"/>
      <c r="S815" s="1940"/>
      <c r="T815" s="1940"/>
      <c r="U815" s="1631"/>
    </row>
    <row r="816" spans="1:21" s="1692" customFormat="1" ht="15.75" thickBot="1" x14ac:dyDescent="0.3">
      <c r="A816" s="565"/>
      <c r="B816" s="1939"/>
      <c r="C816" s="1939"/>
      <c r="D816" s="1693"/>
      <c r="E816" s="1939"/>
      <c r="F816" s="1939"/>
      <c r="G816" s="1693"/>
      <c r="H816" s="1025" t="s">
        <v>1389</v>
      </c>
      <c r="I816" s="1947"/>
      <c r="J816" s="1940"/>
      <c r="K816" s="1940"/>
      <c r="L816" s="1940"/>
      <c r="M816" s="1940"/>
      <c r="N816" s="1940"/>
      <c r="O816" s="1940"/>
      <c r="P816" s="1940"/>
      <c r="Q816" s="1940"/>
      <c r="R816" s="1940"/>
      <c r="S816" s="1940"/>
      <c r="T816" s="1940"/>
      <c r="U816" s="1631"/>
    </row>
    <row r="817" spans="1:21" s="1692" customFormat="1" ht="15.75" thickBot="1" x14ac:dyDescent="0.3">
      <c r="A817" s="565"/>
      <c r="B817" s="1693"/>
      <c r="C817" s="1634" t="s">
        <v>1385</v>
      </c>
      <c r="D817" s="1944" t="str">
        <f>AA41</f>
        <v/>
      </c>
      <c r="E817" s="1945"/>
      <c r="F817" s="1939"/>
      <c r="G817" s="1946"/>
      <c r="H817" s="1707"/>
      <c r="I817" s="1947"/>
      <c r="J817" s="1940"/>
      <c r="K817" s="1940"/>
      <c r="L817" s="1940"/>
      <c r="M817" s="1940"/>
      <c r="N817" s="1940"/>
      <c r="O817" s="1940"/>
      <c r="P817" s="1940"/>
      <c r="Q817" s="1940"/>
      <c r="R817" s="1940"/>
      <c r="S817" s="1940"/>
      <c r="T817" s="1940"/>
      <c r="U817" s="1631"/>
    </row>
    <row r="818" spans="1:21" s="1692" customFormat="1" ht="15.75" thickBot="1" x14ac:dyDescent="0.3">
      <c r="A818" s="565"/>
      <c r="B818" s="1939"/>
      <c r="C818" s="1939"/>
      <c r="D818" s="1693"/>
      <c r="E818" s="1939"/>
      <c r="F818" s="1939"/>
      <c r="G818" s="1939"/>
      <c r="H818" s="1939"/>
      <c r="I818" s="1940"/>
      <c r="J818" s="1940"/>
      <c r="K818" s="1940"/>
      <c r="L818" s="1940"/>
      <c r="M818" s="1940"/>
      <c r="N818" s="1940"/>
      <c r="O818" s="1940"/>
      <c r="P818" s="1940"/>
      <c r="Q818" s="1940"/>
      <c r="R818" s="1940"/>
      <c r="S818" s="1940"/>
      <c r="T818" s="1940"/>
      <c r="U818" s="1631"/>
    </row>
    <row r="819" spans="1:21" s="1692" customFormat="1" ht="15.75" thickBot="1" x14ac:dyDescent="0.3">
      <c r="A819" s="565"/>
      <c r="B819" s="1693"/>
      <c r="C819" s="1634" t="s">
        <v>1386</v>
      </c>
      <c r="D819" s="1944" t="str">
        <f>AB41</f>
        <v/>
      </c>
      <c r="E819" s="1945"/>
      <c r="F819" s="1939"/>
      <c r="G819" s="1939"/>
      <c r="H819" s="1693"/>
      <c r="I819" s="1940"/>
      <c r="J819" s="1940"/>
      <c r="K819" s="1940"/>
      <c r="L819" s="1940"/>
      <c r="M819" s="1940"/>
      <c r="N819" s="1940"/>
      <c r="O819" s="1940"/>
      <c r="P819" s="1940"/>
      <c r="Q819" s="1940"/>
      <c r="R819" s="1940"/>
      <c r="S819" s="1694"/>
      <c r="T819" s="1025" t="s">
        <v>1599</v>
      </c>
      <c r="U819" s="1631"/>
    </row>
    <row r="820" spans="1:21" s="1692" customFormat="1" ht="15.75" thickBot="1" x14ac:dyDescent="0.3">
      <c r="A820" s="565"/>
      <c r="B820" s="1939"/>
      <c r="C820" s="1939"/>
      <c r="D820" s="1693"/>
      <c r="E820" s="1939"/>
      <c r="F820" s="1939"/>
      <c r="G820" s="1939"/>
      <c r="H820" s="1939"/>
      <c r="I820" s="1940"/>
      <c r="J820" s="1940"/>
      <c r="K820" s="1940"/>
      <c r="L820" s="1940"/>
      <c r="M820" s="1940"/>
      <c r="N820" s="1940"/>
      <c r="O820" s="1940"/>
      <c r="P820" s="1940"/>
      <c r="Q820" s="1940"/>
      <c r="R820" s="1940"/>
      <c r="S820" s="1694"/>
      <c r="T820" s="1026" t="s">
        <v>646</v>
      </c>
      <c r="U820" s="1631"/>
    </row>
    <row r="821" spans="1:21" s="1692" customFormat="1" ht="30.75" thickBot="1" x14ac:dyDescent="0.3">
      <c r="A821" s="565"/>
      <c r="B821" s="1693"/>
      <c r="C821" s="1636" t="s">
        <v>1495</v>
      </c>
      <c r="D821" s="1941" t="s">
        <v>646</v>
      </c>
      <c r="E821" s="1942"/>
      <c r="F821" s="1943"/>
      <c r="G821" s="1939"/>
      <c r="H821" s="1693"/>
      <c r="I821" s="1940"/>
      <c r="J821" s="1940"/>
      <c r="K821" s="1940"/>
      <c r="L821" s="1940"/>
      <c r="M821" s="1940"/>
      <c r="N821" s="1940"/>
      <c r="O821" s="1940"/>
      <c r="P821" s="1940"/>
      <c r="Q821" s="1940"/>
      <c r="R821" s="1940"/>
      <c r="S821" s="1940"/>
      <c r="T821" s="1940"/>
      <c r="U821" s="1631"/>
    </row>
    <row r="822" spans="1:21" s="1692" customFormat="1" ht="15.75" thickBot="1" x14ac:dyDescent="0.3">
      <c r="A822" s="565"/>
      <c r="B822" s="1939"/>
      <c r="C822" s="1939"/>
      <c r="D822" s="1693"/>
      <c r="E822" s="1939"/>
      <c r="F822" s="1939"/>
      <c r="G822" s="1939"/>
      <c r="H822" s="1939"/>
      <c r="I822" s="1940"/>
      <c r="J822" s="1940"/>
      <c r="K822" s="1940"/>
      <c r="L822" s="1940"/>
      <c r="M822" s="1940"/>
      <c r="N822" s="1940"/>
      <c r="O822" s="1940"/>
      <c r="P822" s="1940"/>
      <c r="Q822" s="1940"/>
      <c r="R822" s="1940"/>
      <c r="S822" s="1694"/>
      <c r="T822" s="1025" t="s">
        <v>523</v>
      </c>
      <c r="U822" s="1631"/>
    </row>
    <row r="823" spans="1:21" s="1692" customFormat="1" ht="15.75" thickBot="1" x14ac:dyDescent="0.3">
      <c r="A823" s="565"/>
      <c r="B823" s="1693"/>
      <c r="C823" s="1634" t="s">
        <v>1496</v>
      </c>
      <c r="D823" s="1937" t="s">
        <v>1497</v>
      </c>
      <c r="E823" s="1938"/>
      <c r="F823" s="1939"/>
      <c r="G823" s="1939"/>
      <c r="H823" s="1693"/>
      <c r="I823" s="1940"/>
      <c r="J823" s="1940"/>
      <c r="K823" s="1940"/>
      <c r="L823" s="1940"/>
      <c r="M823" s="1940"/>
      <c r="N823" s="1940"/>
      <c r="O823" s="1940"/>
      <c r="P823" s="1940"/>
      <c r="Q823" s="1940"/>
      <c r="R823" s="1940"/>
      <c r="S823" s="1694"/>
      <c r="T823" s="1026" t="str">
        <f>Incentives!E459</f>
        <v>No</v>
      </c>
      <c r="U823" s="1631"/>
    </row>
    <row r="824" spans="1:21" s="1692" customFormat="1" ht="15.75" thickBot="1" x14ac:dyDescent="0.3">
      <c r="A824" s="565"/>
      <c r="B824" s="1934"/>
      <c r="C824" s="1934"/>
      <c r="D824" s="1694"/>
      <c r="E824" s="1934"/>
      <c r="F824" s="1934"/>
      <c r="G824" s="1934"/>
      <c r="H824" s="1934"/>
      <c r="I824" s="1934"/>
      <c r="J824" s="1934"/>
      <c r="K824" s="1934"/>
      <c r="L824" s="1934"/>
      <c r="M824" s="1934"/>
      <c r="N824" s="1934"/>
      <c r="O824" s="1934"/>
      <c r="P824" s="1934"/>
      <c r="Q824" s="1934"/>
      <c r="R824" s="1934"/>
      <c r="S824" s="1934"/>
      <c r="T824" s="1934"/>
      <c r="U824" s="1631"/>
    </row>
    <row r="825" spans="1:21" s="1692" customFormat="1" ht="15.75" thickBot="1" x14ac:dyDescent="0.3">
      <c r="A825" s="565"/>
      <c r="B825" s="1950" t="s">
        <v>2151</v>
      </c>
      <c r="C825" s="1921"/>
      <c r="D825" s="1921"/>
      <c r="E825" s="1921"/>
      <c r="F825" s="1921"/>
      <c r="G825" s="1921"/>
      <c r="H825" s="1921"/>
      <c r="I825" s="1921"/>
      <c r="J825" s="1921"/>
      <c r="K825" s="1921"/>
      <c r="L825" s="1921"/>
      <c r="M825" s="1921"/>
      <c r="N825" s="1921"/>
      <c r="O825" s="1921"/>
      <c r="P825" s="1921"/>
      <c r="Q825" s="1921"/>
      <c r="R825" s="1921"/>
      <c r="S825" s="1921"/>
      <c r="T825" s="1921"/>
      <c r="U825" s="1922"/>
    </row>
    <row r="826" spans="1:21" s="1692" customFormat="1" ht="15.75" thickBot="1" x14ac:dyDescent="0.3">
      <c r="A826" s="565"/>
      <c r="B826" s="1951"/>
      <c r="C826" s="1951"/>
      <c r="D826" s="1694"/>
      <c r="E826" s="1951"/>
      <c r="F826" s="1951"/>
      <c r="G826" s="1951"/>
      <c r="H826" s="1951"/>
      <c r="I826" s="1951"/>
      <c r="J826" s="1951"/>
      <c r="K826" s="1951"/>
      <c r="L826" s="1951"/>
      <c r="M826" s="1951"/>
      <c r="N826" s="1951"/>
      <c r="O826" s="1951"/>
      <c r="P826" s="1951"/>
      <c r="Q826" s="1951"/>
      <c r="R826" s="1951"/>
      <c r="S826" s="1951"/>
      <c r="T826" s="1951"/>
      <c r="U826" s="1631"/>
    </row>
    <row r="827" spans="1:21" s="1692" customFormat="1" ht="30.75" thickBot="1" x14ac:dyDescent="0.3">
      <c r="A827" s="565"/>
      <c r="B827" s="1693"/>
      <c r="C827" s="1634" t="s">
        <v>1383</v>
      </c>
      <c r="D827" s="1948" t="s">
        <v>2141</v>
      </c>
      <c r="E827" s="1949"/>
      <c r="F827" s="1939"/>
      <c r="G827" s="1946"/>
      <c r="H827" s="1025" t="s">
        <v>1380</v>
      </c>
      <c r="I827" s="1694"/>
      <c r="J827" s="1025" t="s">
        <v>1381</v>
      </c>
      <c r="K827" s="1694"/>
      <c r="L827" s="1025" t="s">
        <v>1397</v>
      </c>
      <c r="M827" s="1694"/>
      <c r="N827" s="1025" t="s">
        <v>1382</v>
      </c>
      <c r="O827" s="1947"/>
      <c r="P827" s="1940"/>
      <c r="Q827" s="1694"/>
      <c r="R827" s="1025" t="s">
        <v>1487</v>
      </c>
      <c r="S827" s="1694"/>
      <c r="T827" s="1025" t="s">
        <v>1488</v>
      </c>
      <c r="U827" s="1631"/>
    </row>
    <row r="828" spans="1:21" s="1692" customFormat="1" ht="15.75" thickBot="1" x14ac:dyDescent="0.3">
      <c r="A828" s="565"/>
      <c r="B828" s="1939"/>
      <c r="C828" s="1939"/>
      <c r="D828" s="1693"/>
      <c r="E828" s="1939"/>
      <c r="F828" s="1939"/>
      <c r="G828" s="1693"/>
      <c r="H828" s="897"/>
      <c r="I828" s="1694"/>
      <c r="J828" s="1690"/>
      <c r="K828" s="1694"/>
      <c r="L828" s="1691"/>
      <c r="M828" s="1694"/>
      <c r="N828" s="1635"/>
      <c r="O828" s="1947"/>
      <c r="P828" s="1940"/>
      <c r="Q828" s="1694"/>
      <c r="R828" s="1026" t="s">
        <v>1490</v>
      </c>
      <c r="S828" s="1694"/>
      <c r="T828" s="1026" t="s">
        <v>648</v>
      </c>
      <c r="U828" s="1631"/>
    </row>
    <row r="829" spans="1:21" s="1692" customFormat="1" ht="30.75" thickBot="1" x14ac:dyDescent="0.3">
      <c r="A829" s="565"/>
      <c r="B829" s="1693"/>
      <c r="C829" s="1634" t="s">
        <v>1491</v>
      </c>
      <c r="D829" s="1937">
        <v>5205</v>
      </c>
      <c r="E829" s="1938"/>
      <c r="F829" s="1939"/>
      <c r="G829" s="1939"/>
      <c r="H829" s="1693"/>
      <c r="I829" s="1940"/>
      <c r="J829" s="1940"/>
      <c r="K829" s="1940"/>
      <c r="L829" s="1940"/>
      <c r="M829" s="1940"/>
      <c r="N829" s="1940"/>
      <c r="O829" s="1940"/>
      <c r="P829" s="1940"/>
      <c r="Q829" s="1940"/>
      <c r="R829" s="1940"/>
      <c r="S829" s="1940"/>
      <c r="T829" s="1940"/>
      <c r="U829" s="1631"/>
    </row>
    <row r="830" spans="1:21" s="1692" customFormat="1" ht="15.75" thickBot="1" x14ac:dyDescent="0.3">
      <c r="A830" s="565"/>
      <c r="B830" s="1939"/>
      <c r="C830" s="1939"/>
      <c r="D830" s="1693"/>
      <c r="E830" s="1939"/>
      <c r="F830" s="1939"/>
      <c r="G830" s="1693"/>
      <c r="H830" s="1025" t="s">
        <v>1389</v>
      </c>
      <c r="I830" s="1947"/>
      <c r="J830" s="1940"/>
      <c r="K830" s="1940"/>
      <c r="L830" s="1940"/>
      <c r="M830" s="1940"/>
      <c r="N830" s="1940"/>
      <c r="O830" s="1940"/>
      <c r="P830" s="1940"/>
      <c r="Q830" s="1940"/>
      <c r="R830" s="1940"/>
      <c r="S830" s="1940"/>
      <c r="T830" s="1940"/>
      <c r="U830" s="1631"/>
    </row>
    <row r="831" spans="1:21" s="1692" customFormat="1" ht="15.75" thickBot="1" x14ac:dyDescent="0.3">
      <c r="A831" s="565"/>
      <c r="B831" s="1693"/>
      <c r="C831" s="1634" t="s">
        <v>1385</v>
      </c>
      <c r="D831" s="1944" t="str">
        <f>AA42</f>
        <v/>
      </c>
      <c r="E831" s="1945"/>
      <c r="F831" s="1939"/>
      <c r="G831" s="1946"/>
      <c r="H831" s="1707"/>
      <c r="I831" s="1947"/>
      <c r="J831" s="1940"/>
      <c r="K831" s="1940"/>
      <c r="L831" s="1940"/>
      <c r="M831" s="1940"/>
      <c r="N831" s="1940"/>
      <c r="O831" s="1940"/>
      <c r="P831" s="1940"/>
      <c r="Q831" s="1940"/>
      <c r="R831" s="1940"/>
      <c r="S831" s="1940"/>
      <c r="T831" s="1940"/>
      <c r="U831" s="1631"/>
    </row>
    <row r="832" spans="1:21" s="1692" customFormat="1" ht="15.75" thickBot="1" x14ac:dyDescent="0.3">
      <c r="A832" s="565"/>
      <c r="B832" s="1939"/>
      <c r="C832" s="1939"/>
      <c r="D832" s="1693"/>
      <c r="E832" s="1939"/>
      <c r="F832" s="1939"/>
      <c r="G832" s="1939"/>
      <c r="H832" s="1939"/>
      <c r="I832" s="1940"/>
      <c r="J832" s="1940"/>
      <c r="K832" s="1940"/>
      <c r="L832" s="1940"/>
      <c r="M832" s="1940"/>
      <c r="N832" s="1940"/>
      <c r="O832" s="1940"/>
      <c r="P832" s="1940"/>
      <c r="Q832" s="1940"/>
      <c r="R832" s="1940"/>
      <c r="S832" s="1940"/>
      <c r="T832" s="1940"/>
      <c r="U832" s="1631"/>
    </row>
    <row r="833" spans="1:21" s="1692" customFormat="1" ht="15.75" thickBot="1" x14ac:dyDescent="0.3">
      <c r="A833" s="565"/>
      <c r="B833" s="1693"/>
      <c r="C833" s="1634" t="s">
        <v>1386</v>
      </c>
      <c r="D833" s="1944" t="str">
        <f>AB42</f>
        <v/>
      </c>
      <c r="E833" s="1945"/>
      <c r="F833" s="1939"/>
      <c r="G833" s="1939"/>
      <c r="H833" s="1693"/>
      <c r="I833" s="1940"/>
      <c r="J833" s="1940"/>
      <c r="K833" s="1940"/>
      <c r="L833" s="1940"/>
      <c r="M833" s="1940"/>
      <c r="N833" s="1940"/>
      <c r="O833" s="1940"/>
      <c r="P833" s="1940"/>
      <c r="Q833" s="1940"/>
      <c r="R833" s="1940"/>
      <c r="S833" s="1694"/>
      <c r="T833" s="1025" t="s">
        <v>1599</v>
      </c>
      <c r="U833" s="1631"/>
    </row>
    <row r="834" spans="1:21" s="1692" customFormat="1" ht="15.75" thickBot="1" x14ac:dyDescent="0.3">
      <c r="A834" s="565"/>
      <c r="B834" s="1939"/>
      <c r="C834" s="1939"/>
      <c r="D834" s="1693"/>
      <c r="E834" s="1939"/>
      <c r="F834" s="1939"/>
      <c r="G834" s="1939"/>
      <c r="H834" s="1939"/>
      <c r="I834" s="1940"/>
      <c r="J834" s="1940"/>
      <c r="K834" s="1940"/>
      <c r="L834" s="1940"/>
      <c r="M834" s="1940"/>
      <c r="N834" s="1940"/>
      <c r="O834" s="1940"/>
      <c r="P834" s="1940"/>
      <c r="Q834" s="1940"/>
      <c r="R834" s="1940"/>
      <c r="S834" s="1694"/>
      <c r="T834" s="1026" t="s">
        <v>646</v>
      </c>
      <c r="U834" s="1631"/>
    </row>
    <row r="835" spans="1:21" s="1692" customFormat="1" ht="30.75" thickBot="1" x14ac:dyDescent="0.3">
      <c r="A835" s="565"/>
      <c r="B835" s="1693"/>
      <c r="C835" s="1636" t="s">
        <v>1495</v>
      </c>
      <c r="D835" s="1941" t="s">
        <v>646</v>
      </c>
      <c r="E835" s="1942"/>
      <c r="F835" s="1943"/>
      <c r="G835" s="1939"/>
      <c r="H835" s="1693"/>
      <c r="I835" s="1940"/>
      <c r="J835" s="1940"/>
      <c r="K835" s="1940"/>
      <c r="L835" s="1940"/>
      <c r="M835" s="1940"/>
      <c r="N835" s="1940"/>
      <c r="O835" s="1940"/>
      <c r="P835" s="1940"/>
      <c r="Q835" s="1940"/>
      <c r="R835" s="1940"/>
      <c r="S835" s="1940"/>
      <c r="T835" s="1940"/>
      <c r="U835" s="1631"/>
    </row>
    <row r="836" spans="1:21" s="1692" customFormat="1" ht="15.75" thickBot="1" x14ac:dyDescent="0.3">
      <c r="A836" s="565"/>
      <c r="B836" s="1939"/>
      <c r="C836" s="1939"/>
      <c r="D836" s="1693"/>
      <c r="E836" s="1939"/>
      <c r="F836" s="1939"/>
      <c r="G836" s="1939"/>
      <c r="H836" s="1939"/>
      <c r="I836" s="1940"/>
      <c r="J836" s="1940"/>
      <c r="K836" s="1940"/>
      <c r="L836" s="1940"/>
      <c r="M836" s="1940"/>
      <c r="N836" s="1940"/>
      <c r="O836" s="1940"/>
      <c r="P836" s="1940"/>
      <c r="Q836" s="1940"/>
      <c r="R836" s="1940"/>
      <c r="S836" s="1694"/>
      <c r="T836" s="1025" t="s">
        <v>523</v>
      </c>
      <c r="U836" s="1631"/>
    </row>
    <row r="837" spans="1:21" s="1692" customFormat="1" ht="15.75" thickBot="1" x14ac:dyDescent="0.3">
      <c r="A837" s="565"/>
      <c r="B837" s="1693"/>
      <c r="C837" s="1634" t="s">
        <v>1496</v>
      </c>
      <c r="D837" s="1937" t="s">
        <v>1497</v>
      </c>
      <c r="E837" s="1938"/>
      <c r="F837" s="1939"/>
      <c r="G837" s="1939"/>
      <c r="H837" s="1693"/>
      <c r="I837" s="1940"/>
      <c r="J837" s="1940"/>
      <c r="K837" s="1940"/>
      <c r="L837" s="1940"/>
      <c r="M837" s="1940"/>
      <c r="N837" s="1940"/>
      <c r="O837" s="1940"/>
      <c r="P837" s="1940"/>
      <c r="Q837" s="1940"/>
      <c r="R837" s="1940"/>
      <c r="S837" s="1694"/>
      <c r="T837" s="1026" t="str">
        <f>Incentives!E467</f>
        <v>No</v>
      </c>
      <c r="U837" s="1631"/>
    </row>
    <row r="838" spans="1:21" s="1692" customFormat="1" ht="15.75" thickBot="1" x14ac:dyDescent="0.3">
      <c r="A838" s="565"/>
      <c r="B838" s="1934"/>
      <c r="C838" s="1934"/>
      <c r="D838" s="1694"/>
      <c r="E838" s="1934"/>
      <c r="F838" s="1934"/>
      <c r="G838" s="1934"/>
      <c r="H838" s="1934"/>
      <c r="I838" s="1934"/>
      <c r="J838" s="1934"/>
      <c r="K838" s="1934"/>
      <c r="L838" s="1934"/>
      <c r="M838" s="1934"/>
      <c r="N838" s="1934"/>
      <c r="O838" s="1934"/>
      <c r="P838" s="1934"/>
      <c r="Q838" s="1934"/>
      <c r="R838" s="1934"/>
      <c r="S838" s="1934"/>
      <c r="T838" s="1934"/>
      <c r="U838" s="1631"/>
    </row>
    <row r="839" spans="1:21" s="1692" customFormat="1" ht="15.75" thickBot="1" x14ac:dyDescent="0.3">
      <c r="A839" s="565"/>
      <c r="B839" s="1935"/>
      <c r="C839" s="1936"/>
      <c r="D839" s="1936"/>
      <c r="E839" s="1936"/>
      <c r="F839" s="1936"/>
      <c r="G839" s="1936"/>
      <c r="H839" s="1936"/>
      <c r="I839" s="1936"/>
      <c r="J839" s="1936"/>
      <c r="K839" s="1936"/>
      <c r="L839" s="1936"/>
      <c r="M839" s="1936"/>
      <c r="N839" s="1936"/>
      <c r="O839" s="1936"/>
      <c r="P839" s="1936"/>
      <c r="Q839" s="1936"/>
      <c r="R839" s="1936"/>
      <c r="S839" s="1936"/>
      <c r="T839" s="1936"/>
      <c r="U839" s="1936"/>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row r="1045" spans="1:21" x14ac:dyDescent="0.25">
      <c r="A1045" s="565"/>
      <c r="B1045" s="565"/>
      <c r="C1045" s="565"/>
      <c r="D1045" s="565"/>
      <c r="E1045" s="565"/>
      <c r="F1045" s="565"/>
      <c r="G1045" s="988"/>
      <c r="H1045" s="565"/>
      <c r="I1045" s="565"/>
      <c r="J1045" s="565"/>
      <c r="K1045" s="565"/>
      <c r="L1045" s="565"/>
      <c r="M1045" s="565"/>
      <c r="N1045" s="565"/>
      <c r="O1045" s="565"/>
      <c r="P1045" s="565"/>
      <c r="Q1045" s="565"/>
      <c r="R1045" s="565"/>
      <c r="S1045" s="565"/>
      <c r="T1045" s="565"/>
      <c r="U1045" s="565"/>
    </row>
    <row r="1046" spans="1:21" x14ac:dyDescent="0.25">
      <c r="A1046" s="565"/>
      <c r="B1046" s="565"/>
      <c r="C1046" s="565"/>
      <c r="D1046" s="565"/>
      <c r="E1046" s="565"/>
      <c r="F1046" s="565"/>
      <c r="G1046" s="988"/>
      <c r="H1046" s="565"/>
      <c r="I1046" s="565"/>
      <c r="J1046" s="565"/>
      <c r="K1046" s="565"/>
      <c r="L1046" s="565"/>
      <c r="M1046" s="565"/>
      <c r="N1046" s="565"/>
      <c r="O1046" s="565"/>
      <c r="P1046" s="565"/>
      <c r="Q1046" s="565"/>
      <c r="R1046" s="565"/>
      <c r="S1046" s="565"/>
      <c r="T1046" s="565"/>
      <c r="U1046" s="565"/>
    </row>
    <row r="1047" spans="1:21" x14ac:dyDescent="0.25">
      <c r="A1047" s="565"/>
      <c r="B1047" s="565"/>
      <c r="C1047" s="565"/>
      <c r="D1047" s="565"/>
      <c r="E1047" s="565"/>
      <c r="F1047" s="565"/>
      <c r="G1047" s="988"/>
      <c r="H1047" s="565"/>
      <c r="I1047" s="565"/>
      <c r="J1047" s="565"/>
      <c r="K1047" s="565"/>
      <c r="L1047" s="565"/>
      <c r="M1047" s="565"/>
      <c r="N1047" s="565"/>
      <c r="O1047" s="565"/>
      <c r="P1047" s="565"/>
      <c r="Q1047" s="565"/>
      <c r="R1047" s="565"/>
      <c r="S1047" s="565"/>
      <c r="T1047" s="565"/>
      <c r="U1047" s="565"/>
    </row>
    <row r="1048" spans="1:21" x14ac:dyDescent="0.25">
      <c r="A1048" s="565"/>
      <c r="B1048" s="565"/>
      <c r="C1048" s="565"/>
      <c r="D1048" s="565"/>
      <c r="E1048" s="565"/>
      <c r="F1048" s="565"/>
      <c r="G1048" s="988"/>
      <c r="H1048" s="565"/>
      <c r="I1048" s="565"/>
      <c r="J1048" s="565"/>
      <c r="K1048" s="565"/>
      <c r="L1048" s="565"/>
      <c r="M1048" s="565"/>
      <c r="N1048" s="565"/>
      <c r="O1048" s="565"/>
      <c r="P1048" s="565"/>
      <c r="Q1048" s="565"/>
      <c r="R1048" s="565"/>
      <c r="S1048" s="565"/>
      <c r="T1048" s="565"/>
      <c r="U1048" s="565"/>
    </row>
    <row r="1049" spans="1:21" x14ac:dyDescent="0.25">
      <c r="A1049" s="565"/>
      <c r="B1049" s="565"/>
      <c r="C1049" s="565"/>
      <c r="D1049" s="565"/>
      <c r="E1049" s="565"/>
      <c r="F1049" s="565"/>
      <c r="G1049" s="988"/>
      <c r="H1049" s="565"/>
      <c r="I1049" s="565"/>
      <c r="J1049" s="565"/>
      <c r="K1049" s="565"/>
      <c r="L1049" s="565"/>
      <c r="M1049" s="565"/>
      <c r="N1049" s="565"/>
      <c r="O1049" s="565"/>
      <c r="P1049" s="565"/>
      <c r="Q1049" s="565"/>
      <c r="R1049" s="565"/>
      <c r="S1049" s="565"/>
      <c r="T1049" s="565"/>
      <c r="U1049" s="565"/>
    </row>
    <row r="1050" spans="1:21" x14ac:dyDescent="0.25">
      <c r="A1050" s="565"/>
      <c r="B1050" s="565"/>
      <c r="C1050" s="565"/>
      <c r="D1050" s="565"/>
      <c r="E1050" s="565"/>
      <c r="F1050" s="565"/>
      <c r="G1050" s="988"/>
      <c r="H1050" s="565"/>
      <c r="I1050" s="565"/>
      <c r="J1050" s="565"/>
      <c r="K1050" s="565"/>
      <c r="L1050" s="565"/>
      <c r="M1050" s="565"/>
      <c r="N1050" s="565"/>
      <c r="O1050" s="565"/>
      <c r="P1050" s="565"/>
      <c r="Q1050" s="565"/>
      <c r="R1050" s="565"/>
      <c r="S1050" s="565"/>
      <c r="T1050" s="565"/>
      <c r="U1050" s="565"/>
    </row>
    <row r="1051" spans="1:21" x14ac:dyDescent="0.25">
      <c r="A1051" s="565"/>
      <c r="B1051" s="565"/>
      <c r="C1051" s="565"/>
      <c r="D1051" s="565"/>
      <c r="E1051" s="565"/>
      <c r="F1051" s="565"/>
      <c r="G1051" s="988"/>
      <c r="H1051" s="565"/>
      <c r="I1051" s="565"/>
      <c r="J1051" s="565"/>
      <c r="K1051" s="565"/>
      <c r="L1051" s="565"/>
      <c r="M1051" s="565"/>
      <c r="N1051" s="565"/>
      <c r="O1051" s="565"/>
      <c r="P1051" s="565"/>
      <c r="Q1051" s="565"/>
      <c r="R1051" s="565"/>
      <c r="S1051" s="565"/>
      <c r="T1051" s="565"/>
      <c r="U1051" s="565"/>
    </row>
    <row r="1052" spans="1:21" x14ac:dyDescent="0.25">
      <c r="A1052" s="565"/>
      <c r="B1052" s="565"/>
      <c r="C1052" s="565"/>
      <c r="D1052" s="565"/>
      <c r="E1052" s="565"/>
      <c r="F1052" s="565"/>
      <c r="G1052" s="988"/>
      <c r="H1052" s="565"/>
      <c r="I1052" s="565"/>
      <c r="J1052" s="565"/>
      <c r="K1052" s="565"/>
      <c r="L1052" s="565"/>
      <c r="M1052" s="565"/>
      <c r="N1052" s="565"/>
      <c r="O1052" s="565"/>
      <c r="P1052" s="565"/>
      <c r="Q1052" s="565"/>
      <c r="R1052" s="565"/>
      <c r="S1052" s="565"/>
      <c r="T1052" s="565"/>
      <c r="U1052" s="565"/>
    </row>
    <row r="1053" spans="1:21" x14ac:dyDescent="0.25">
      <c r="A1053" s="565"/>
      <c r="B1053" s="565"/>
      <c r="C1053" s="565"/>
      <c r="D1053" s="565"/>
      <c r="E1053" s="565"/>
      <c r="F1053" s="565"/>
      <c r="G1053" s="988"/>
      <c r="H1053" s="565"/>
      <c r="I1053" s="565"/>
      <c r="J1053" s="565"/>
      <c r="K1053" s="565"/>
      <c r="L1053" s="565"/>
      <c r="M1053" s="565"/>
      <c r="N1053" s="565"/>
      <c r="O1053" s="565"/>
      <c r="P1053" s="565"/>
      <c r="Q1053" s="565"/>
      <c r="R1053" s="565"/>
      <c r="S1053" s="565"/>
      <c r="T1053" s="565"/>
      <c r="U1053" s="565"/>
    </row>
    <row r="1054" spans="1:21" x14ac:dyDescent="0.25">
      <c r="A1054" s="565"/>
      <c r="B1054" s="565"/>
      <c r="C1054" s="565"/>
      <c r="D1054" s="565"/>
      <c r="E1054" s="565"/>
      <c r="F1054" s="565"/>
      <c r="G1054" s="988"/>
      <c r="H1054" s="565"/>
      <c r="I1054" s="565"/>
      <c r="J1054" s="565"/>
      <c r="K1054" s="565"/>
      <c r="L1054" s="565"/>
      <c r="M1054" s="565"/>
      <c r="N1054" s="565"/>
      <c r="O1054" s="565"/>
      <c r="P1054" s="565"/>
      <c r="Q1054" s="565"/>
      <c r="R1054" s="565"/>
      <c r="S1054" s="565"/>
      <c r="T1054" s="565"/>
      <c r="U1054" s="565"/>
    </row>
    <row r="1055" spans="1:21" x14ac:dyDescent="0.25">
      <c r="A1055" s="565"/>
      <c r="B1055" s="565"/>
      <c r="C1055" s="565"/>
      <c r="D1055" s="565"/>
      <c r="E1055" s="565"/>
      <c r="F1055" s="565"/>
      <c r="G1055" s="988"/>
      <c r="H1055" s="565"/>
      <c r="I1055" s="565"/>
      <c r="J1055" s="565"/>
      <c r="K1055" s="565"/>
      <c r="L1055" s="565"/>
      <c r="M1055" s="565"/>
      <c r="N1055" s="565"/>
      <c r="O1055" s="565"/>
      <c r="P1055" s="565"/>
      <c r="Q1055" s="565"/>
      <c r="R1055" s="565"/>
      <c r="S1055" s="565"/>
      <c r="T1055" s="565"/>
      <c r="U1055" s="565"/>
    </row>
    <row r="1056" spans="1:21" x14ac:dyDescent="0.25">
      <c r="A1056" s="565"/>
      <c r="B1056" s="565"/>
      <c r="C1056" s="565"/>
      <c r="D1056" s="565"/>
      <c r="E1056" s="565"/>
      <c r="F1056" s="565"/>
      <c r="G1056" s="988"/>
      <c r="H1056" s="565"/>
      <c r="I1056" s="565"/>
      <c r="J1056" s="565"/>
      <c r="K1056" s="565"/>
      <c r="L1056" s="565"/>
      <c r="M1056" s="565"/>
      <c r="N1056" s="565"/>
      <c r="O1056" s="565"/>
      <c r="P1056" s="565"/>
      <c r="Q1056" s="565"/>
      <c r="R1056" s="565"/>
      <c r="S1056" s="565"/>
      <c r="T1056" s="565"/>
      <c r="U1056" s="565"/>
    </row>
    <row r="1057" spans="1:21" x14ac:dyDescent="0.25">
      <c r="A1057" s="565"/>
      <c r="B1057" s="565"/>
      <c r="C1057" s="565"/>
      <c r="D1057" s="565"/>
      <c r="E1057" s="565"/>
      <c r="F1057" s="565"/>
      <c r="G1057" s="988"/>
      <c r="H1057" s="565"/>
      <c r="I1057" s="565"/>
      <c r="J1057" s="565"/>
      <c r="K1057" s="565"/>
      <c r="L1057" s="565"/>
      <c r="M1057" s="565"/>
      <c r="N1057" s="565"/>
      <c r="O1057" s="565"/>
      <c r="P1057" s="565"/>
      <c r="Q1057" s="565"/>
      <c r="R1057" s="565"/>
      <c r="S1057" s="565"/>
      <c r="T1057" s="565"/>
      <c r="U1057" s="565"/>
    </row>
    <row r="1058" spans="1:21" x14ac:dyDescent="0.25">
      <c r="A1058" s="565"/>
      <c r="B1058" s="565"/>
      <c r="C1058" s="565"/>
      <c r="D1058" s="565"/>
      <c r="E1058" s="565"/>
      <c r="F1058" s="565"/>
      <c r="G1058" s="988"/>
      <c r="H1058" s="565"/>
      <c r="I1058" s="565"/>
      <c r="J1058" s="565"/>
      <c r="K1058" s="565"/>
      <c r="L1058" s="565"/>
      <c r="M1058" s="565"/>
      <c r="N1058" s="565"/>
      <c r="O1058" s="565"/>
      <c r="P1058" s="565"/>
      <c r="Q1058" s="565"/>
      <c r="R1058" s="565"/>
      <c r="S1058" s="565"/>
      <c r="T1058" s="565"/>
      <c r="U1058" s="565"/>
    </row>
    <row r="1059" spans="1:21" x14ac:dyDescent="0.25">
      <c r="A1059" s="565"/>
      <c r="B1059" s="565"/>
      <c r="C1059" s="565"/>
      <c r="D1059" s="565"/>
      <c r="E1059" s="565"/>
      <c r="F1059" s="565"/>
      <c r="G1059" s="988"/>
      <c r="H1059" s="565"/>
      <c r="I1059" s="565"/>
      <c r="J1059" s="565"/>
      <c r="K1059" s="565"/>
      <c r="L1059" s="565"/>
      <c r="M1059" s="565"/>
      <c r="N1059" s="565"/>
      <c r="O1059" s="565"/>
      <c r="P1059" s="565"/>
      <c r="Q1059" s="565"/>
      <c r="R1059" s="565"/>
      <c r="S1059" s="565"/>
      <c r="T1059" s="565"/>
      <c r="U1059" s="565"/>
    </row>
    <row r="1060" spans="1:21" x14ac:dyDescent="0.25">
      <c r="A1060" s="565"/>
      <c r="B1060" s="565"/>
      <c r="C1060" s="565"/>
      <c r="D1060" s="565"/>
      <c r="E1060" s="565"/>
      <c r="F1060" s="565"/>
      <c r="G1060" s="988"/>
      <c r="H1060" s="565"/>
      <c r="I1060" s="565"/>
      <c r="J1060" s="565"/>
      <c r="K1060" s="565"/>
      <c r="L1060" s="565"/>
      <c r="M1060" s="565"/>
      <c r="N1060" s="565"/>
      <c r="O1060" s="565"/>
      <c r="P1060" s="565"/>
      <c r="Q1060" s="565"/>
      <c r="R1060" s="565"/>
      <c r="S1060" s="565"/>
      <c r="T1060" s="565"/>
      <c r="U1060" s="565"/>
    </row>
    <row r="1061" spans="1:21" x14ac:dyDescent="0.25">
      <c r="A1061" s="565"/>
      <c r="B1061" s="565"/>
      <c r="C1061" s="565"/>
      <c r="D1061" s="565"/>
      <c r="E1061" s="565"/>
      <c r="F1061" s="565"/>
      <c r="G1061" s="988"/>
      <c r="H1061" s="565"/>
      <c r="I1061" s="565"/>
      <c r="J1061" s="565"/>
      <c r="K1061" s="565"/>
      <c r="L1061" s="565"/>
      <c r="M1061" s="565"/>
      <c r="N1061" s="565"/>
      <c r="O1061" s="565"/>
      <c r="P1061" s="565"/>
      <c r="Q1061" s="565"/>
      <c r="R1061" s="565"/>
      <c r="S1061" s="565"/>
      <c r="T1061" s="565"/>
      <c r="U1061" s="565"/>
    </row>
    <row r="1062" spans="1:21" x14ac:dyDescent="0.25">
      <c r="A1062" s="565"/>
      <c r="B1062" s="565"/>
      <c r="C1062" s="565"/>
      <c r="D1062" s="565"/>
      <c r="E1062" s="565"/>
      <c r="F1062" s="565"/>
      <c r="G1062" s="988"/>
      <c r="H1062" s="565"/>
      <c r="I1062" s="565"/>
      <c r="J1062" s="565"/>
      <c r="K1062" s="565"/>
      <c r="L1062" s="565"/>
      <c r="M1062" s="565"/>
      <c r="N1062" s="565"/>
      <c r="O1062" s="565"/>
      <c r="P1062" s="565"/>
      <c r="Q1062" s="565"/>
      <c r="R1062" s="565"/>
      <c r="S1062" s="565"/>
      <c r="T1062" s="565"/>
      <c r="U1062" s="565"/>
    </row>
    <row r="1063" spans="1:21" x14ac:dyDescent="0.25">
      <c r="A1063" s="565"/>
      <c r="B1063" s="565"/>
      <c r="C1063" s="565"/>
      <c r="D1063" s="565"/>
      <c r="E1063" s="565"/>
      <c r="F1063" s="565"/>
      <c r="G1063" s="988"/>
      <c r="H1063" s="565"/>
      <c r="I1063" s="565"/>
      <c r="J1063" s="565"/>
      <c r="K1063" s="565"/>
      <c r="L1063" s="565"/>
      <c r="M1063" s="565"/>
      <c r="N1063" s="565"/>
      <c r="O1063" s="565"/>
      <c r="P1063" s="565"/>
      <c r="Q1063" s="565"/>
      <c r="R1063" s="565"/>
      <c r="S1063" s="565"/>
      <c r="T1063" s="565"/>
      <c r="U1063" s="565"/>
    </row>
    <row r="1064" spans="1:21" x14ac:dyDescent="0.25">
      <c r="A1064" s="565"/>
      <c r="B1064" s="565"/>
      <c r="C1064" s="565"/>
      <c r="D1064" s="565"/>
      <c r="E1064" s="565"/>
      <c r="F1064" s="565"/>
      <c r="G1064" s="988"/>
      <c r="H1064" s="565"/>
      <c r="I1064" s="565"/>
      <c r="J1064" s="565"/>
      <c r="K1064" s="565"/>
      <c r="L1064" s="565"/>
      <c r="M1064" s="565"/>
      <c r="N1064" s="565"/>
      <c r="O1064" s="565"/>
      <c r="P1064" s="565"/>
      <c r="Q1064" s="565"/>
      <c r="R1064" s="565"/>
      <c r="S1064" s="565"/>
      <c r="T1064" s="565"/>
      <c r="U1064" s="565"/>
    </row>
    <row r="1065" spans="1:21" x14ac:dyDescent="0.25">
      <c r="A1065" s="565"/>
      <c r="B1065" s="565"/>
      <c r="C1065" s="565"/>
      <c r="D1065" s="565"/>
      <c r="E1065" s="565"/>
      <c r="F1065" s="565"/>
      <c r="G1065" s="988"/>
      <c r="H1065" s="565"/>
      <c r="I1065" s="565"/>
      <c r="J1065" s="565"/>
      <c r="K1065" s="565"/>
      <c r="L1065" s="565"/>
      <c r="M1065" s="565"/>
      <c r="N1065" s="565"/>
      <c r="O1065" s="565"/>
      <c r="P1065" s="565"/>
      <c r="Q1065" s="565"/>
      <c r="R1065" s="565"/>
      <c r="S1065" s="565"/>
      <c r="T1065" s="565"/>
      <c r="U1065" s="565"/>
    </row>
    <row r="1066" spans="1:21" x14ac:dyDescent="0.25">
      <c r="A1066" s="565"/>
      <c r="B1066" s="565"/>
      <c r="C1066" s="565"/>
      <c r="D1066" s="565"/>
      <c r="E1066" s="565"/>
      <c r="F1066" s="565"/>
      <c r="G1066" s="988"/>
      <c r="H1066" s="565"/>
      <c r="I1066" s="565"/>
      <c r="J1066" s="565"/>
      <c r="K1066" s="565"/>
      <c r="L1066" s="565"/>
      <c r="M1066" s="565"/>
      <c r="N1066" s="565"/>
      <c r="O1066" s="565"/>
      <c r="P1066" s="565"/>
      <c r="Q1066" s="565"/>
      <c r="R1066" s="565"/>
      <c r="S1066" s="565"/>
      <c r="T1066" s="565"/>
      <c r="U1066" s="565"/>
    </row>
    <row r="1067" spans="1:21" x14ac:dyDescent="0.25">
      <c r="A1067" s="565"/>
      <c r="B1067" s="565"/>
      <c r="C1067" s="565"/>
      <c r="D1067" s="565"/>
      <c r="E1067" s="565"/>
      <c r="F1067" s="565"/>
      <c r="G1067" s="988"/>
      <c r="H1067" s="565"/>
      <c r="I1067" s="565"/>
      <c r="J1067" s="565"/>
      <c r="K1067" s="565"/>
      <c r="L1067" s="565"/>
      <c r="M1067" s="565"/>
      <c r="N1067" s="565"/>
      <c r="O1067" s="565"/>
      <c r="P1067" s="565"/>
      <c r="Q1067" s="565"/>
      <c r="R1067" s="565"/>
      <c r="S1067" s="565"/>
      <c r="T1067" s="565"/>
      <c r="U1067" s="565"/>
    </row>
    <row r="1068" spans="1:21" x14ac:dyDescent="0.25">
      <c r="A1068" s="565"/>
      <c r="B1068" s="565"/>
      <c r="C1068" s="565"/>
      <c r="D1068" s="565"/>
      <c r="E1068" s="565"/>
      <c r="F1068" s="565"/>
      <c r="G1068" s="988"/>
      <c r="H1068" s="565"/>
      <c r="I1068" s="565"/>
      <c r="J1068" s="565"/>
      <c r="K1068" s="565"/>
      <c r="L1068" s="565"/>
      <c r="M1068" s="565"/>
      <c r="N1068" s="565"/>
      <c r="O1068" s="565"/>
      <c r="P1068" s="565"/>
      <c r="Q1068" s="565"/>
      <c r="R1068" s="565"/>
      <c r="S1068" s="565"/>
      <c r="T1068" s="565"/>
      <c r="U1068" s="565"/>
    </row>
    <row r="1069" spans="1:21" x14ac:dyDescent="0.25">
      <c r="A1069" s="565"/>
      <c r="B1069" s="565"/>
      <c r="C1069" s="565"/>
      <c r="D1069" s="565"/>
      <c r="E1069" s="565"/>
      <c r="F1069" s="565"/>
      <c r="G1069" s="988"/>
      <c r="H1069" s="565"/>
      <c r="I1069" s="565"/>
      <c r="J1069" s="565"/>
      <c r="K1069" s="565"/>
      <c r="L1069" s="565"/>
      <c r="M1069" s="565"/>
      <c r="N1069" s="565"/>
      <c r="O1069" s="565"/>
      <c r="P1069" s="565"/>
      <c r="Q1069" s="565"/>
      <c r="R1069" s="565"/>
      <c r="S1069" s="565"/>
      <c r="T1069" s="565"/>
      <c r="U1069" s="565"/>
    </row>
    <row r="1070" spans="1:21" x14ac:dyDescent="0.25">
      <c r="A1070" s="565"/>
      <c r="B1070" s="565"/>
      <c r="C1070" s="565"/>
      <c r="D1070" s="565"/>
      <c r="E1070" s="565"/>
      <c r="F1070" s="565"/>
      <c r="G1070" s="988"/>
      <c r="H1070" s="565"/>
      <c r="I1070" s="565"/>
      <c r="J1070" s="565"/>
      <c r="K1070" s="565"/>
      <c r="L1070" s="565"/>
      <c r="M1070" s="565"/>
      <c r="N1070" s="565"/>
      <c r="O1070" s="565"/>
      <c r="P1070" s="565"/>
      <c r="Q1070" s="565"/>
      <c r="R1070" s="565"/>
      <c r="S1070" s="565"/>
      <c r="T1070" s="565"/>
      <c r="U1070" s="565"/>
    </row>
    <row r="1071" spans="1:21" x14ac:dyDescent="0.25">
      <c r="A1071" s="565"/>
      <c r="B1071" s="565"/>
      <c r="C1071" s="565"/>
      <c r="D1071" s="565"/>
      <c r="E1071" s="565"/>
      <c r="F1071" s="565"/>
      <c r="G1071" s="988"/>
      <c r="H1071" s="565"/>
      <c r="I1071" s="565"/>
      <c r="J1071" s="565"/>
      <c r="K1071" s="565"/>
      <c r="L1071" s="565"/>
      <c r="M1071" s="565"/>
      <c r="N1071" s="565"/>
      <c r="O1071" s="565"/>
      <c r="P1071" s="565"/>
      <c r="Q1071" s="565"/>
      <c r="R1071" s="565"/>
      <c r="S1071" s="565"/>
      <c r="T1071" s="565"/>
      <c r="U1071" s="565"/>
    </row>
    <row r="1072" spans="1:21" x14ac:dyDescent="0.25">
      <c r="A1072" s="565"/>
      <c r="B1072" s="565"/>
      <c r="C1072" s="565"/>
      <c r="D1072" s="565"/>
      <c r="E1072" s="565"/>
      <c r="F1072" s="565"/>
      <c r="G1072" s="988"/>
      <c r="H1072" s="565"/>
      <c r="I1072" s="565"/>
      <c r="J1072" s="565"/>
      <c r="K1072" s="565"/>
      <c r="L1072" s="565"/>
      <c r="M1072" s="565"/>
      <c r="N1072" s="565"/>
      <c r="O1072" s="565"/>
      <c r="P1072" s="565"/>
      <c r="Q1072" s="565"/>
      <c r="R1072" s="565"/>
      <c r="S1072" s="565"/>
      <c r="T1072" s="565"/>
      <c r="U1072" s="565"/>
    </row>
    <row r="1073" spans="1:21" x14ac:dyDescent="0.25">
      <c r="A1073" s="565"/>
      <c r="B1073" s="565"/>
      <c r="C1073" s="565"/>
      <c r="D1073" s="565"/>
      <c r="E1073" s="565"/>
      <c r="F1073" s="565"/>
      <c r="G1073" s="988"/>
      <c r="H1073" s="565"/>
      <c r="I1073" s="565"/>
      <c r="J1073" s="565"/>
      <c r="K1073" s="565"/>
      <c r="L1073" s="565"/>
      <c r="M1073" s="565"/>
      <c r="N1073" s="565"/>
      <c r="O1073" s="565"/>
      <c r="P1073" s="565"/>
      <c r="Q1073" s="565"/>
      <c r="R1073" s="565"/>
      <c r="S1073" s="565"/>
      <c r="T1073" s="565"/>
      <c r="U1073" s="565"/>
    </row>
    <row r="1074" spans="1:21" x14ac:dyDescent="0.25">
      <c r="A1074" s="565"/>
      <c r="B1074" s="565"/>
      <c r="C1074" s="565"/>
      <c r="D1074" s="565"/>
      <c r="E1074" s="565"/>
      <c r="F1074" s="565"/>
      <c r="G1074" s="988"/>
      <c r="H1074" s="565"/>
      <c r="I1074" s="565"/>
      <c r="J1074" s="565"/>
      <c r="K1074" s="565"/>
      <c r="L1074" s="565"/>
      <c r="M1074" s="565"/>
      <c r="N1074" s="565"/>
      <c r="O1074" s="565"/>
      <c r="P1074" s="565"/>
      <c r="Q1074" s="565"/>
      <c r="R1074" s="565"/>
      <c r="S1074" s="565"/>
      <c r="T1074" s="565"/>
      <c r="U1074" s="565"/>
    </row>
    <row r="1075" spans="1:21" x14ac:dyDescent="0.25">
      <c r="A1075" s="565"/>
      <c r="B1075" s="565"/>
      <c r="C1075" s="565"/>
      <c r="D1075" s="565"/>
      <c r="E1075" s="565"/>
      <c r="F1075" s="565"/>
      <c r="G1075" s="988"/>
      <c r="H1075" s="565"/>
      <c r="I1075" s="565"/>
      <c r="J1075" s="565"/>
      <c r="K1075" s="565"/>
      <c r="L1075" s="565"/>
      <c r="M1075" s="565"/>
      <c r="N1075" s="565"/>
      <c r="O1075" s="565"/>
      <c r="P1075" s="565"/>
      <c r="Q1075" s="565"/>
      <c r="R1075" s="565"/>
      <c r="S1075" s="565"/>
      <c r="T1075" s="565"/>
      <c r="U1075" s="565"/>
    </row>
    <row r="1076" spans="1:21" x14ac:dyDescent="0.25">
      <c r="A1076" s="565"/>
      <c r="B1076" s="565"/>
      <c r="C1076" s="565"/>
      <c r="D1076" s="565"/>
      <c r="E1076" s="565"/>
      <c r="F1076" s="565"/>
      <c r="G1076" s="988"/>
      <c r="H1076" s="565"/>
      <c r="I1076" s="565"/>
      <c r="J1076" s="565"/>
      <c r="K1076" s="565"/>
      <c r="L1076" s="565"/>
      <c r="M1076" s="565"/>
      <c r="N1076" s="565"/>
      <c r="O1076" s="565"/>
      <c r="P1076" s="565"/>
      <c r="Q1076" s="565"/>
      <c r="R1076" s="565"/>
      <c r="S1076" s="565"/>
      <c r="T1076" s="565"/>
      <c r="U1076" s="565"/>
    </row>
    <row r="1077" spans="1:21" x14ac:dyDescent="0.25">
      <c r="A1077" s="565"/>
      <c r="B1077" s="565"/>
      <c r="C1077" s="565"/>
      <c r="D1077" s="565"/>
      <c r="E1077" s="565"/>
      <c r="F1077" s="565"/>
      <c r="G1077" s="988"/>
      <c r="H1077" s="565"/>
      <c r="I1077" s="565"/>
      <c r="J1077" s="565"/>
      <c r="K1077" s="565"/>
      <c r="L1077" s="565"/>
      <c r="M1077" s="565"/>
      <c r="N1077" s="565"/>
      <c r="O1077" s="565"/>
      <c r="P1077" s="565"/>
      <c r="Q1077" s="565"/>
      <c r="R1077" s="565"/>
      <c r="S1077" s="565"/>
      <c r="T1077" s="565"/>
      <c r="U1077" s="565"/>
    </row>
    <row r="1078" spans="1:21" x14ac:dyDescent="0.25">
      <c r="A1078" s="565"/>
      <c r="B1078" s="565"/>
      <c r="C1078" s="565"/>
      <c r="D1078" s="565"/>
      <c r="E1078" s="565"/>
      <c r="F1078" s="565"/>
      <c r="G1078" s="988"/>
      <c r="H1078" s="565"/>
      <c r="I1078" s="565"/>
      <c r="J1078" s="565"/>
      <c r="K1078" s="565"/>
      <c r="L1078" s="565"/>
      <c r="M1078" s="565"/>
      <c r="N1078" s="565"/>
      <c r="O1078" s="565"/>
      <c r="P1078" s="565"/>
      <c r="Q1078" s="565"/>
      <c r="R1078" s="565"/>
      <c r="S1078" s="565"/>
      <c r="T1078" s="565"/>
      <c r="U1078" s="565"/>
    </row>
    <row r="1079" spans="1:21" x14ac:dyDescent="0.25">
      <c r="A1079" s="565"/>
      <c r="B1079" s="565"/>
      <c r="C1079" s="565"/>
      <c r="D1079" s="565"/>
      <c r="E1079" s="565"/>
      <c r="F1079" s="565"/>
      <c r="G1079" s="988"/>
      <c r="H1079" s="565"/>
      <c r="I1079" s="565"/>
      <c r="J1079" s="565"/>
      <c r="K1079" s="565"/>
      <c r="L1079" s="565"/>
      <c r="M1079" s="565"/>
      <c r="N1079" s="565"/>
      <c r="O1079" s="565"/>
      <c r="P1079" s="565"/>
      <c r="Q1079" s="565"/>
      <c r="R1079" s="565"/>
      <c r="S1079" s="565"/>
      <c r="T1079" s="565"/>
      <c r="U1079" s="565"/>
    </row>
    <row r="1080" spans="1:21" x14ac:dyDescent="0.25">
      <c r="A1080" s="565"/>
      <c r="B1080" s="565"/>
      <c r="C1080" s="565"/>
      <c r="D1080" s="565"/>
      <c r="E1080" s="565"/>
      <c r="F1080" s="565"/>
      <c r="G1080" s="988"/>
      <c r="H1080" s="565"/>
      <c r="I1080" s="565"/>
      <c r="J1080" s="565"/>
      <c r="K1080" s="565"/>
      <c r="L1080" s="565"/>
      <c r="M1080" s="565"/>
      <c r="N1080" s="565"/>
      <c r="O1080" s="565"/>
      <c r="P1080" s="565"/>
      <c r="Q1080" s="565"/>
      <c r="R1080" s="565"/>
      <c r="S1080" s="565"/>
      <c r="T1080" s="565"/>
      <c r="U1080" s="565"/>
    </row>
    <row r="1081" spans="1:21" x14ac:dyDescent="0.25">
      <c r="A1081" s="565"/>
      <c r="B1081" s="565"/>
      <c r="C1081" s="565"/>
      <c r="D1081" s="565"/>
      <c r="E1081" s="565"/>
      <c r="F1081" s="565"/>
      <c r="G1081" s="988"/>
      <c r="H1081" s="565"/>
      <c r="I1081" s="565"/>
      <c r="J1081" s="565"/>
      <c r="K1081" s="565"/>
      <c r="L1081" s="565"/>
      <c r="M1081" s="565"/>
      <c r="N1081" s="565"/>
      <c r="O1081" s="565"/>
      <c r="P1081" s="565"/>
      <c r="Q1081" s="565"/>
      <c r="R1081" s="565"/>
      <c r="S1081" s="565"/>
      <c r="T1081" s="565"/>
      <c r="U1081" s="565"/>
    </row>
    <row r="1082" spans="1:21" x14ac:dyDescent="0.25">
      <c r="A1082" s="565"/>
      <c r="B1082" s="565"/>
      <c r="C1082" s="565"/>
      <c r="D1082" s="565"/>
      <c r="E1082" s="565"/>
      <c r="F1082" s="565"/>
      <c r="G1082" s="988"/>
      <c r="H1082" s="565"/>
      <c r="I1082" s="565"/>
      <c r="J1082" s="565"/>
      <c r="K1082" s="565"/>
      <c r="L1082" s="565"/>
      <c r="M1082" s="565"/>
      <c r="N1082" s="565"/>
      <c r="O1082" s="565"/>
      <c r="P1082" s="565"/>
      <c r="Q1082" s="565"/>
      <c r="R1082" s="565"/>
      <c r="S1082" s="565"/>
      <c r="T1082" s="565"/>
      <c r="U1082" s="565"/>
    </row>
    <row r="1083" spans="1:21" x14ac:dyDescent="0.25">
      <c r="A1083" s="565"/>
      <c r="B1083" s="565"/>
      <c r="C1083" s="565"/>
      <c r="D1083" s="565"/>
      <c r="E1083" s="565"/>
      <c r="F1083" s="565"/>
      <c r="G1083" s="988"/>
      <c r="H1083" s="565"/>
      <c r="I1083" s="565"/>
      <c r="J1083" s="565"/>
      <c r="K1083" s="565"/>
      <c r="L1083" s="565"/>
      <c r="M1083" s="565"/>
      <c r="N1083" s="565"/>
      <c r="O1083" s="565"/>
      <c r="P1083" s="565"/>
      <c r="Q1083" s="565"/>
      <c r="R1083" s="565"/>
      <c r="S1083" s="565"/>
      <c r="T1083" s="565"/>
      <c r="U1083" s="565"/>
    </row>
    <row r="1084" spans="1:21" x14ac:dyDescent="0.25">
      <c r="A1084" s="565"/>
      <c r="B1084" s="565"/>
      <c r="C1084" s="565"/>
      <c r="D1084" s="565"/>
      <c r="E1084" s="565"/>
      <c r="F1084" s="565"/>
      <c r="G1084" s="988"/>
      <c r="H1084" s="565"/>
      <c r="I1084" s="565"/>
      <c r="J1084" s="565"/>
      <c r="K1084" s="565"/>
      <c r="L1084" s="565"/>
      <c r="M1084" s="565"/>
      <c r="N1084" s="565"/>
      <c r="O1084" s="565"/>
      <c r="P1084" s="565"/>
      <c r="Q1084" s="565"/>
      <c r="R1084" s="565"/>
      <c r="S1084" s="565"/>
      <c r="T1084" s="565"/>
      <c r="U1084" s="565"/>
    </row>
    <row r="1085" spans="1:21" x14ac:dyDescent="0.25">
      <c r="A1085" s="565"/>
      <c r="B1085" s="565"/>
      <c r="C1085" s="565"/>
      <c r="D1085" s="565"/>
      <c r="E1085" s="565"/>
      <c r="F1085" s="565"/>
      <c r="G1085" s="988"/>
      <c r="H1085" s="565"/>
      <c r="I1085" s="565"/>
      <c r="J1085" s="565"/>
      <c r="K1085" s="565"/>
      <c r="L1085" s="565"/>
      <c r="M1085" s="565"/>
      <c r="N1085" s="565"/>
      <c r="O1085" s="565"/>
      <c r="P1085" s="565"/>
      <c r="Q1085" s="565"/>
      <c r="R1085" s="565"/>
      <c r="S1085" s="565"/>
      <c r="T1085" s="565"/>
      <c r="U1085" s="565"/>
    </row>
    <row r="1086" spans="1:21" x14ac:dyDescent="0.25">
      <c r="A1086" s="565"/>
      <c r="B1086" s="565"/>
      <c r="C1086" s="565"/>
      <c r="D1086" s="565"/>
      <c r="E1086" s="565"/>
      <c r="F1086" s="565"/>
      <c r="G1086" s="988"/>
      <c r="H1086" s="565"/>
      <c r="I1086" s="565"/>
      <c r="J1086" s="565"/>
      <c r="K1086" s="565"/>
      <c r="L1086" s="565"/>
      <c r="M1086" s="565"/>
      <c r="N1086" s="565"/>
      <c r="O1086" s="565"/>
      <c r="P1086" s="565"/>
      <c r="Q1086" s="565"/>
      <c r="R1086" s="565"/>
      <c r="S1086" s="565"/>
      <c r="T1086" s="565"/>
      <c r="U1086" s="565"/>
    </row>
    <row r="1087" spans="1:21" x14ac:dyDescent="0.25">
      <c r="A1087" s="565"/>
      <c r="B1087" s="565"/>
      <c r="C1087" s="565"/>
      <c r="D1087" s="565"/>
      <c r="E1087" s="565"/>
      <c r="F1087" s="565"/>
      <c r="G1087" s="988"/>
      <c r="H1087" s="565"/>
      <c r="I1087" s="565"/>
      <c r="J1087" s="565"/>
      <c r="K1087" s="565"/>
      <c r="L1087" s="565"/>
      <c r="M1087" s="565"/>
      <c r="N1087" s="565"/>
      <c r="O1087" s="565"/>
      <c r="P1087" s="565"/>
      <c r="Q1087" s="565"/>
      <c r="R1087" s="565"/>
      <c r="S1087" s="565"/>
      <c r="T1087" s="565"/>
      <c r="U1087" s="565"/>
    </row>
    <row r="1088" spans="1:21" x14ac:dyDescent="0.25">
      <c r="A1088" s="565"/>
      <c r="B1088" s="565"/>
      <c r="C1088" s="565"/>
      <c r="D1088" s="565"/>
      <c r="E1088" s="565"/>
      <c r="F1088" s="565"/>
      <c r="G1088" s="988"/>
      <c r="H1088" s="565"/>
      <c r="I1088" s="565"/>
      <c r="J1088" s="565"/>
      <c r="K1088" s="565"/>
      <c r="L1088" s="565"/>
      <c r="M1088" s="565"/>
      <c r="N1088" s="565"/>
      <c r="O1088" s="565"/>
      <c r="P1088" s="565"/>
      <c r="Q1088" s="565"/>
      <c r="R1088" s="565"/>
      <c r="S1088" s="565"/>
      <c r="T1088" s="565"/>
      <c r="U1088" s="565"/>
    </row>
    <row r="1089" spans="1:21" x14ac:dyDescent="0.25">
      <c r="A1089" s="565"/>
      <c r="B1089" s="565"/>
      <c r="C1089" s="565"/>
      <c r="D1089" s="565"/>
      <c r="E1089" s="565"/>
      <c r="F1089" s="565"/>
      <c r="G1089" s="988"/>
      <c r="H1089" s="565"/>
      <c r="I1089" s="565"/>
      <c r="J1089" s="565"/>
      <c r="K1089" s="565"/>
      <c r="L1089" s="565"/>
      <c r="M1089" s="565"/>
      <c r="N1089" s="565"/>
      <c r="O1089" s="565"/>
      <c r="P1089" s="565"/>
      <c r="Q1089" s="565"/>
      <c r="R1089" s="565"/>
      <c r="S1089" s="565"/>
      <c r="T1089" s="565"/>
      <c r="U1089" s="565"/>
    </row>
    <row r="1090" spans="1:21" x14ac:dyDescent="0.25">
      <c r="A1090" s="565"/>
      <c r="B1090" s="565"/>
      <c r="C1090" s="565"/>
      <c r="D1090" s="565"/>
      <c r="E1090" s="565"/>
      <c r="F1090" s="565"/>
      <c r="G1090" s="988"/>
      <c r="H1090" s="565"/>
      <c r="I1090" s="565"/>
      <c r="J1090" s="565"/>
      <c r="K1090" s="565"/>
      <c r="L1090" s="565"/>
      <c r="M1090" s="565"/>
      <c r="N1090" s="565"/>
      <c r="O1090" s="565"/>
      <c r="P1090" s="565"/>
      <c r="Q1090" s="565"/>
      <c r="R1090" s="565"/>
      <c r="S1090" s="565"/>
      <c r="T1090" s="565"/>
      <c r="U1090" s="565"/>
    </row>
    <row r="1091" spans="1:21" x14ac:dyDescent="0.25">
      <c r="A1091" s="565"/>
      <c r="B1091" s="565"/>
      <c r="C1091" s="565"/>
      <c r="D1091" s="565"/>
      <c r="E1091" s="565"/>
      <c r="F1091" s="565"/>
      <c r="G1091" s="988"/>
      <c r="H1091" s="565"/>
      <c r="I1091" s="565"/>
      <c r="J1091" s="565"/>
      <c r="K1091" s="565"/>
      <c r="L1091" s="565"/>
      <c r="M1091" s="565"/>
      <c r="N1091" s="565"/>
      <c r="O1091" s="565"/>
      <c r="P1091" s="565"/>
      <c r="Q1091" s="565"/>
      <c r="R1091" s="565"/>
      <c r="S1091" s="565"/>
      <c r="T1091" s="565"/>
      <c r="U1091" s="565"/>
    </row>
    <row r="1092" spans="1:21" x14ac:dyDescent="0.25">
      <c r="A1092" s="565"/>
      <c r="B1092" s="565"/>
      <c r="C1092" s="565"/>
      <c r="D1092" s="565"/>
      <c r="E1092" s="565"/>
      <c r="F1092" s="565"/>
      <c r="G1092" s="988"/>
      <c r="H1092" s="565"/>
      <c r="I1092" s="565"/>
      <c r="J1092" s="565"/>
      <c r="K1092" s="565"/>
      <c r="L1092" s="565"/>
      <c r="M1092" s="565"/>
      <c r="N1092" s="565"/>
      <c r="O1092" s="565"/>
      <c r="P1092" s="565"/>
      <c r="Q1092" s="565"/>
      <c r="R1092" s="565"/>
      <c r="S1092" s="565"/>
      <c r="T1092" s="565"/>
      <c r="U1092" s="565"/>
    </row>
    <row r="1093" spans="1:21" x14ac:dyDescent="0.25">
      <c r="A1093" s="565"/>
      <c r="B1093" s="565"/>
      <c r="C1093" s="565"/>
      <c r="D1093" s="565"/>
      <c r="E1093" s="565"/>
      <c r="F1093" s="565"/>
      <c r="G1093" s="988"/>
      <c r="H1093" s="565"/>
      <c r="I1093" s="565"/>
      <c r="J1093" s="565"/>
      <c r="K1093" s="565"/>
      <c r="L1093" s="565"/>
      <c r="M1093" s="565"/>
      <c r="N1093" s="565"/>
      <c r="O1093" s="565"/>
      <c r="P1093" s="565"/>
      <c r="Q1093" s="565"/>
      <c r="R1093" s="565"/>
      <c r="S1093" s="565"/>
      <c r="T1093" s="565"/>
      <c r="U1093" s="565"/>
    </row>
    <row r="1094" spans="1:21" x14ac:dyDescent="0.25">
      <c r="A1094" s="565"/>
      <c r="B1094" s="565"/>
      <c r="C1094" s="565"/>
      <c r="D1094" s="565"/>
      <c r="E1094" s="565"/>
      <c r="F1094" s="565"/>
      <c r="G1094" s="988"/>
      <c r="H1094" s="565"/>
      <c r="I1094" s="565"/>
      <c r="J1094" s="565"/>
      <c r="K1094" s="565"/>
      <c r="L1094" s="565"/>
      <c r="M1094" s="565"/>
      <c r="N1094" s="565"/>
      <c r="O1094" s="565"/>
      <c r="P1094" s="565"/>
      <c r="Q1094" s="565"/>
      <c r="R1094" s="565"/>
      <c r="S1094" s="565"/>
      <c r="T1094" s="565"/>
      <c r="U1094" s="565"/>
    </row>
    <row r="1095" spans="1:21" x14ac:dyDescent="0.25">
      <c r="A1095" s="565"/>
      <c r="B1095" s="565"/>
      <c r="C1095" s="565"/>
      <c r="D1095" s="565"/>
      <c r="E1095" s="565"/>
      <c r="F1095" s="565"/>
      <c r="G1095" s="988"/>
      <c r="H1095" s="565"/>
      <c r="I1095" s="565"/>
      <c r="J1095" s="565"/>
      <c r="K1095" s="565"/>
      <c r="L1095" s="565"/>
      <c r="M1095" s="565"/>
      <c r="N1095" s="565"/>
      <c r="O1095" s="565"/>
      <c r="P1095" s="565"/>
      <c r="Q1095" s="565"/>
      <c r="R1095" s="565"/>
      <c r="S1095" s="565"/>
      <c r="T1095" s="565"/>
      <c r="U1095" s="565"/>
    </row>
    <row r="1096" spans="1:21" x14ac:dyDescent="0.25">
      <c r="A1096" s="565"/>
      <c r="B1096" s="565"/>
      <c r="C1096" s="565"/>
      <c r="D1096" s="565"/>
      <c r="E1096" s="565"/>
      <c r="F1096" s="565"/>
      <c r="G1096" s="988"/>
      <c r="H1096" s="565"/>
      <c r="I1096" s="565"/>
      <c r="J1096" s="565"/>
      <c r="K1096" s="565"/>
      <c r="L1096" s="565"/>
      <c r="M1096" s="565"/>
      <c r="N1096" s="565"/>
      <c r="O1096" s="565"/>
      <c r="P1096" s="565"/>
      <c r="Q1096" s="565"/>
      <c r="R1096" s="565"/>
      <c r="S1096" s="565"/>
      <c r="T1096" s="565"/>
      <c r="U1096" s="565"/>
    </row>
    <row r="1097" spans="1:21" x14ac:dyDescent="0.25">
      <c r="A1097" s="565"/>
      <c r="B1097" s="565"/>
      <c r="C1097" s="565"/>
      <c r="D1097" s="565"/>
      <c r="E1097" s="565"/>
      <c r="F1097" s="565"/>
      <c r="G1097" s="988"/>
      <c r="H1097" s="565"/>
      <c r="I1097" s="565"/>
      <c r="J1097" s="565"/>
      <c r="K1097" s="565"/>
      <c r="L1097" s="565"/>
      <c r="M1097" s="565"/>
      <c r="N1097" s="565"/>
      <c r="O1097" s="565"/>
      <c r="P1097" s="565"/>
      <c r="Q1097" s="565"/>
      <c r="R1097" s="565"/>
      <c r="S1097" s="565"/>
      <c r="T1097" s="565"/>
      <c r="U1097" s="565"/>
    </row>
    <row r="1098" spans="1:21" x14ac:dyDescent="0.25">
      <c r="A1098" s="565"/>
      <c r="B1098" s="565"/>
      <c r="C1098" s="565"/>
      <c r="D1098" s="565"/>
      <c r="E1098" s="565"/>
      <c r="F1098" s="565"/>
      <c r="G1098" s="988"/>
      <c r="H1098" s="565"/>
      <c r="I1098" s="565"/>
      <c r="J1098" s="565"/>
      <c r="K1098" s="565"/>
      <c r="L1098" s="565"/>
      <c r="M1098" s="565"/>
      <c r="N1098" s="565"/>
      <c r="O1098" s="565"/>
      <c r="P1098" s="565"/>
      <c r="Q1098" s="565"/>
      <c r="R1098" s="565"/>
      <c r="S1098" s="565"/>
      <c r="T1098" s="565"/>
      <c r="U1098" s="565"/>
    </row>
    <row r="1099" spans="1:21" x14ac:dyDescent="0.25">
      <c r="A1099" s="565"/>
      <c r="B1099" s="565"/>
      <c r="C1099" s="565"/>
      <c r="D1099" s="565"/>
      <c r="E1099" s="565"/>
      <c r="F1099" s="565"/>
      <c r="G1099" s="988"/>
      <c r="H1099" s="565"/>
      <c r="I1099" s="565"/>
      <c r="J1099" s="565"/>
      <c r="K1099" s="565"/>
      <c r="L1099" s="565"/>
      <c r="M1099" s="565"/>
      <c r="N1099" s="565"/>
      <c r="O1099" s="565"/>
      <c r="P1099" s="565"/>
      <c r="Q1099" s="565"/>
      <c r="R1099" s="565"/>
      <c r="S1099" s="565"/>
      <c r="T1099" s="565"/>
      <c r="U1099" s="565"/>
    </row>
    <row r="1100" spans="1:21" x14ac:dyDescent="0.25">
      <c r="A1100" s="565"/>
      <c r="B1100" s="565"/>
      <c r="C1100" s="565"/>
      <c r="D1100" s="565"/>
      <c r="E1100" s="565"/>
      <c r="F1100" s="565"/>
      <c r="G1100" s="988"/>
      <c r="H1100" s="565"/>
      <c r="I1100" s="565"/>
      <c r="J1100" s="565"/>
      <c r="K1100" s="565"/>
      <c r="L1100" s="565"/>
      <c r="M1100" s="565"/>
      <c r="N1100" s="565"/>
      <c r="O1100" s="565"/>
      <c r="P1100" s="565"/>
      <c r="Q1100" s="565"/>
      <c r="R1100" s="565"/>
      <c r="S1100" s="565"/>
      <c r="T1100" s="565"/>
      <c r="U1100" s="565"/>
    </row>
    <row r="1101" spans="1:21" x14ac:dyDescent="0.25">
      <c r="A1101" s="565"/>
      <c r="B1101" s="565"/>
      <c r="C1101" s="565"/>
      <c r="D1101" s="565"/>
      <c r="E1101" s="565"/>
      <c r="F1101" s="565"/>
      <c r="G1101" s="988"/>
      <c r="H1101" s="565"/>
      <c r="I1101" s="565"/>
      <c r="J1101" s="565"/>
      <c r="K1101" s="565"/>
      <c r="L1101" s="565"/>
      <c r="M1101" s="565"/>
      <c r="N1101" s="565"/>
      <c r="O1101" s="565"/>
      <c r="P1101" s="565"/>
      <c r="Q1101" s="565"/>
      <c r="R1101" s="565"/>
      <c r="S1101" s="565"/>
      <c r="T1101" s="565"/>
      <c r="U1101" s="565"/>
    </row>
    <row r="1102" spans="1:21" x14ac:dyDescent="0.25">
      <c r="A1102" s="565"/>
      <c r="B1102" s="565"/>
      <c r="C1102" s="565"/>
      <c r="D1102" s="565"/>
      <c r="E1102" s="565"/>
      <c r="F1102" s="565"/>
      <c r="G1102" s="988"/>
      <c r="H1102" s="565"/>
      <c r="I1102" s="565"/>
      <c r="J1102" s="565"/>
      <c r="K1102" s="565"/>
      <c r="L1102" s="565"/>
      <c r="M1102" s="565"/>
      <c r="N1102" s="565"/>
      <c r="O1102" s="565"/>
      <c r="P1102" s="565"/>
      <c r="Q1102" s="565"/>
      <c r="R1102" s="565"/>
      <c r="S1102" s="565"/>
      <c r="T1102" s="565"/>
      <c r="U1102" s="565"/>
    </row>
    <row r="1103" spans="1:21" x14ac:dyDescent="0.25">
      <c r="A1103" s="565"/>
      <c r="B1103" s="565"/>
      <c r="C1103" s="565"/>
      <c r="D1103" s="565"/>
      <c r="E1103" s="565"/>
      <c r="F1103" s="565"/>
      <c r="G1103" s="988"/>
      <c r="H1103" s="565"/>
      <c r="I1103" s="565"/>
      <c r="J1103" s="565"/>
      <c r="K1103" s="565"/>
      <c r="L1103" s="565"/>
      <c r="M1103" s="565"/>
      <c r="N1103" s="565"/>
      <c r="O1103" s="565"/>
      <c r="P1103" s="565"/>
      <c r="Q1103" s="565"/>
      <c r="R1103" s="565"/>
      <c r="S1103" s="565"/>
      <c r="T1103" s="565"/>
      <c r="U1103" s="565"/>
    </row>
    <row r="1104" spans="1:21" x14ac:dyDescent="0.25">
      <c r="A1104" s="565"/>
      <c r="B1104" s="565"/>
      <c r="C1104" s="565"/>
      <c r="D1104" s="565"/>
      <c r="E1104" s="565"/>
      <c r="F1104" s="565"/>
      <c r="G1104" s="988"/>
      <c r="H1104" s="565"/>
      <c r="I1104" s="565"/>
      <c r="J1104" s="565"/>
      <c r="K1104" s="565"/>
      <c r="L1104" s="565"/>
      <c r="M1104" s="565"/>
      <c r="N1104" s="565"/>
      <c r="O1104" s="565"/>
      <c r="P1104" s="565"/>
      <c r="Q1104" s="565"/>
      <c r="R1104" s="565"/>
      <c r="S1104" s="565"/>
      <c r="T1104" s="565"/>
      <c r="U1104" s="565"/>
    </row>
    <row r="1105" spans="1:21" x14ac:dyDescent="0.25">
      <c r="A1105" s="565"/>
      <c r="B1105" s="565"/>
      <c r="C1105" s="565"/>
      <c r="D1105" s="565"/>
      <c r="E1105" s="565"/>
      <c r="F1105" s="565"/>
      <c r="G1105" s="988"/>
      <c r="H1105" s="565"/>
      <c r="I1105" s="565"/>
      <c r="J1105" s="565"/>
      <c r="K1105" s="565"/>
      <c r="L1105" s="565"/>
      <c r="M1105" s="565"/>
      <c r="N1105" s="565"/>
      <c r="O1105" s="565"/>
      <c r="P1105" s="565"/>
      <c r="Q1105" s="565"/>
      <c r="R1105" s="565"/>
      <c r="S1105" s="565"/>
      <c r="T1105" s="565"/>
      <c r="U1105" s="565"/>
    </row>
    <row r="1106" spans="1:21" x14ac:dyDescent="0.25">
      <c r="A1106" s="565"/>
      <c r="B1106" s="565"/>
      <c r="C1106" s="565"/>
      <c r="D1106" s="565"/>
      <c r="E1106" s="565"/>
      <c r="F1106" s="565"/>
      <c r="G1106" s="988"/>
      <c r="H1106" s="565"/>
      <c r="I1106" s="565"/>
      <c r="J1106" s="565"/>
      <c r="K1106" s="565"/>
      <c r="L1106" s="565"/>
      <c r="M1106" s="565"/>
      <c r="N1106" s="565"/>
      <c r="O1106" s="565"/>
      <c r="P1106" s="565"/>
      <c r="Q1106" s="565"/>
      <c r="R1106" s="565"/>
      <c r="S1106" s="565"/>
      <c r="T1106" s="565"/>
      <c r="U1106" s="565"/>
    </row>
    <row r="1107" spans="1:21" x14ac:dyDescent="0.25">
      <c r="A1107" s="565"/>
      <c r="B1107" s="565"/>
      <c r="C1107" s="565"/>
      <c r="D1107" s="565"/>
      <c r="E1107" s="565"/>
      <c r="F1107" s="565"/>
      <c r="G1107" s="988"/>
      <c r="H1107" s="565"/>
      <c r="I1107" s="565"/>
      <c r="J1107" s="565"/>
      <c r="K1107" s="565"/>
      <c r="L1107" s="565"/>
      <c r="M1107" s="565"/>
      <c r="N1107" s="565"/>
      <c r="O1107" s="565"/>
      <c r="P1107" s="565"/>
      <c r="Q1107" s="565"/>
      <c r="R1107" s="565"/>
      <c r="S1107" s="565"/>
      <c r="T1107" s="565"/>
      <c r="U1107" s="565"/>
    </row>
    <row r="1108" spans="1:21" x14ac:dyDescent="0.25">
      <c r="A1108" s="565"/>
      <c r="B1108" s="565"/>
      <c r="C1108" s="565"/>
      <c r="D1108" s="565"/>
      <c r="E1108" s="565"/>
      <c r="F1108" s="565"/>
      <c r="G1108" s="988"/>
      <c r="H1108" s="565"/>
      <c r="I1108" s="565"/>
      <c r="J1108" s="565"/>
      <c r="K1108" s="565"/>
      <c r="L1108" s="565"/>
      <c r="M1108" s="565"/>
      <c r="N1108" s="565"/>
      <c r="O1108" s="565"/>
      <c r="P1108" s="565"/>
      <c r="Q1108" s="565"/>
      <c r="R1108" s="565"/>
      <c r="S1108" s="565"/>
      <c r="T1108" s="565"/>
      <c r="U1108" s="565"/>
    </row>
    <row r="1109" spans="1:21" x14ac:dyDescent="0.25">
      <c r="A1109" s="565"/>
      <c r="B1109" s="565"/>
      <c r="C1109" s="565"/>
      <c r="D1109" s="565"/>
      <c r="E1109" s="565"/>
      <c r="F1109" s="565"/>
      <c r="G1109" s="988"/>
      <c r="H1109" s="565"/>
      <c r="I1109" s="565"/>
      <c r="J1109" s="565"/>
      <c r="K1109" s="565"/>
      <c r="L1109" s="565"/>
      <c r="M1109" s="565"/>
      <c r="N1109" s="565"/>
      <c r="O1109" s="565"/>
      <c r="P1109" s="565"/>
      <c r="Q1109" s="565"/>
      <c r="R1109" s="565"/>
      <c r="S1109" s="565"/>
      <c r="T1109" s="565"/>
      <c r="U1109" s="565"/>
    </row>
    <row r="1110" spans="1:21" x14ac:dyDescent="0.25">
      <c r="A1110" s="565"/>
      <c r="B1110" s="565"/>
      <c r="C1110" s="565"/>
      <c r="D1110" s="565"/>
      <c r="E1110" s="565"/>
      <c r="F1110" s="565"/>
      <c r="G1110" s="988"/>
      <c r="H1110" s="565"/>
      <c r="I1110" s="565"/>
      <c r="J1110" s="565"/>
      <c r="K1110" s="565"/>
      <c r="L1110" s="565"/>
      <c r="M1110" s="565"/>
      <c r="N1110" s="565"/>
      <c r="O1110" s="565"/>
      <c r="P1110" s="565"/>
      <c r="Q1110" s="565"/>
      <c r="R1110" s="565"/>
      <c r="S1110" s="565"/>
      <c r="T1110" s="565"/>
      <c r="U1110" s="565"/>
    </row>
    <row r="1111" spans="1:21" x14ac:dyDescent="0.25">
      <c r="A1111" s="565"/>
      <c r="B1111" s="565"/>
      <c r="C1111" s="565"/>
      <c r="D1111" s="565"/>
      <c r="E1111" s="565"/>
      <c r="F1111" s="565"/>
      <c r="G1111" s="988"/>
      <c r="H1111" s="565"/>
      <c r="I1111" s="565"/>
      <c r="J1111" s="565"/>
      <c r="K1111" s="565"/>
      <c r="L1111" s="565"/>
      <c r="M1111" s="565"/>
      <c r="N1111" s="565"/>
      <c r="O1111" s="565"/>
      <c r="P1111" s="565"/>
      <c r="Q1111" s="565"/>
      <c r="R1111" s="565"/>
      <c r="S1111" s="565"/>
      <c r="T1111" s="565"/>
      <c r="U1111" s="565"/>
    </row>
    <row r="1112" spans="1:21" x14ac:dyDescent="0.25">
      <c r="A1112" s="565"/>
      <c r="B1112" s="565"/>
      <c r="C1112" s="565"/>
      <c r="D1112" s="565"/>
      <c r="E1112" s="565"/>
      <c r="F1112" s="565"/>
      <c r="G1112" s="988"/>
      <c r="H1112" s="565"/>
      <c r="I1112" s="565"/>
      <c r="J1112" s="565"/>
      <c r="K1112" s="565"/>
      <c r="L1112" s="565"/>
      <c r="M1112" s="565"/>
      <c r="N1112" s="565"/>
      <c r="O1112" s="565"/>
      <c r="P1112" s="565"/>
      <c r="Q1112" s="565"/>
      <c r="R1112" s="565"/>
      <c r="S1112" s="565"/>
      <c r="T1112" s="565"/>
      <c r="U1112" s="565"/>
    </row>
    <row r="1113" spans="1:21" x14ac:dyDescent="0.25">
      <c r="A1113" s="565"/>
      <c r="B1113" s="565"/>
      <c r="C1113" s="565"/>
      <c r="D1113" s="565"/>
      <c r="E1113" s="565"/>
      <c r="F1113" s="565"/>
      <c r="G1113" s="988"/>
      <c r="H1113" s="565"/>
      <c r="I1113" s="565"/>
      <c r="J1113" s="565"/>
      <c r="K1113" s="565"/>
      <c r="L1113" s="565"/>
      <c r="M1113" s="565"/>
      <c r="N1113" s="565"/>
      <c r="O1113" s="565"/>
      <c r="P1113" s="565"/>
      <c r="Q1113" s="565"/>
      <c r="R1113" s="565"/>
      <c r="S1113" s="565"/>
      <c r="T1113" s="565"/>
      <c r="U1113" s="565"/>
    </row>
    <row r="1114" spans="1:21" x14ac:dyDescent="0.25">
      <c r="A1114" s="565"/>
      <c r="B1114" s="565"/>
      <c r="C1114" s="565"/>
      <c r="D1114" s="565"/>
      <c r="E1114" s="565"/>
      <c r="F1114" s="565"/>
      <c r="G1114" s="988"/>
      <c r="H1114" s="565"/>
      <c r="I1114" s="565"/>
      <c r="J1114" s="565"/>
      <c r="K1114" s="565"/>
      <c r="L1114" s="565"/>
      <c r="M1114" s="565"/>
      <c r="N1114" s="565"/>
      <c r="O1114" s="565"/>
      <c r="P1114" s="565"/>
      <c r="Q1114" s="565"/>
      <c r="R1114" s="565"/>
      <c r="S1114" s="565"/>
      <c r="T1114" s="565"/>
      <c r="U1114" s="565"/>
    </row>
    <row r="1115" spans="1:21" x14ac:dyDescent="0.25">
      <c r="A1115" s="565"/>
      <c r="B1115" s="565"/>
      <c r="C1115" s="565"/>
      <c r="D1115" s="565"/>
      <c r="E1115" s="565"/>
      <c r="F1115" s="565"/>
      <c r="G1115" s="988"/>
      <c r="H1115" s="565"/>
      <c r="I1115" s="565"/>
      <c r="J1115" s="565"/>
      <c r="K1115" s="565"/>
      <c r="L1115" s="565"/>
      <c r="M1115" s="565"/>
      <c r="N1115" s="565"/>
      <c r="O1115" s="565"/>
      <c r="P1115" s="565"/>
      <c r="Q1115" s="565"/>
      <c r="R1115" s="565"/>
      <c r="S1115" s="565"/>
      <c r="T1115" s="565"/>
      <c r="U1115" s="565"/>
    </row>
    <row r="1116" spans="1:21" x14ac:dyDescent="0.25">
      <c r="A1116" s="565"/>
      <c r="B1116" s="565"/>
      <c r="C1116" s="565"/>
      <c r="D1116" s="565"/>
      <c r="E1116" s="565"/>
      <c r="F1116" s="565"/>
      <c r="G1116" s="988"/>
      <c r="H1116" s="565"/>
      <c r="I1116" s="565"/>
      <c r="J1116" s="565"/>
      <c r="K1116" s="565"/>
      <c r="L1116" s="565"/>
      <c r="M1116" s="565"/>
      <c r="N1116" s="565"/>
      <c r="O1116" s="565"/>
      <c r="P1116" s="565"/>
      <c r="Q1116" s="565"/>
      <c r="R1116" s="565"/>
      <c r="S1116" s="565"/>
      <c r="T1116" s="565"/>
      <c r="U1116" s="565"/>
    </row>
    <row r="1117" spans="1:21" x14ac:dyDescent="0.25">
      <c r="A1117" s="565"/>
      <c r="B1117" s="565"/>
      <c r="C1117" s="565"/>
      <c r="D1117" s="565"/>
      <c r="E1117" s="565"/>
      <c r="F1117" s="565"/>
      <c r="G1117" s="988"/>
      <c r="H1117" s="565"/>
      <c r="I1117" s="565"/>
      <c r="J1117" s="565"/>
      <c r="K1117" s="565"/>
      <c r="L1117" s="565"/>
      <c r="M1117" s="565"/>
      <c r="N1117" s="565"/>
      <c r="O1117" s="565"/>
      <c r="P1117" s="565"/>
      <c r="Q1117" s="565"/>
      <c r="R1117" s="565"/>
      <c r="S1117" s="565"/>
      <c r="T1117" s="565"/>
      <c r="U1117" s="565"/>
    </row>
    <row r="1118" spans="1:21" x14ac:dyDescent="0.25">
      <c r="A1118" s="565"/>
      <c r="B1118" s="565"/>
      <c r="C1118" s="565"/>
      <c r="D1118" s="565"/>
      <c r="E1118" s="565"/>
      <c r="F1118" s="565"/>
      <c r="G1118" s="988"/>
      <c r="H1118" s="565"/>
      <c r="I1118" s="565"/>
      <c r="J1118" s="565"/>
      <c r="K1118" s="565"/>
      <c r="L1118" s="565"/>
      <c r="M1118" s="565"/>
      <c r="N1118" s="565"/>
      <c r="O1118" s="565"/>
      <c r="P1118" s="565"/>
      <c r="Q1118" s="565"/>
      <c r="R1118" s="565"/>
      <c r="S1118" s="565"/>
      <c r="T1118" s="565"/>
      <c r="U1118" s="565"/>
    </row>
    <row r="1119" spans="1:21" x14ac:dyDescent="0.25">
      <c r="A1119" s="565"/>
      <c r="B1119" s="565"/>
      <c r="C1119" s="565"/>
      <c r="D1119" s="565"/>
      <c r="E1119" s="565"/>
      <c r="F1119" s="565"/>
      <c r="G1119" s="988"/>
      <c r="H1119" s="565"/>
      <c r="I1119" s="565"/>
      <c r="J1119" s="565"/>
      <c r="K1119" s="565"/>
      <c r="L1119" s="565"/>
      <c r="M1119" s="565"/>
      <c r="N1119" s="565"/>
      <c r="O1119" s="565"/>
      <c r="P1119" s="565"/>
      <c r="Q1119" s="565"/>
      <c r="R1119" s="565"/>
      <c r="S1119" s="565"/>
      <c r="T1119" s="565"/>
      <c r="U1119" s="565"/>
    </row>
    <row r="1120" spans="1:21" x14ac:dyDescent="0.25">
      <c r="A1120" s="565"/>
      <c r="B1120" s="565"/>
      <c r="C1120" s="565"/>
      <c r="D1120" s="565"/>
      <c r="E1120" s="565"/>
      <c r="F1120" s="565"/>
      <c r="G1120" s="988"/>
      <c r="H1120" s="565"/>
      <c r="I1120" s="565"/>
      <c r="J1120" s="565"/>
      <c r="K1120" s="565"/>
      <c r="L1120" s="565"/>
      <c r="M1120" s="565"/>
      <c r="N1120" s="565"/>
      <c r="O1120" s="565"/>
      <c r="P1120" s="565"/>
      <c r="Q1120" s="565"/>
      <c r="R1120" s="565"/>
      <c r="S1120" s="565"/>
      <c r="T1120" s="565"/>
      <c r="U1120" s="565"/>
    </row>
    <row r="1121" spans="1:21" x14ac:dyDescent="0.25">
      <c r="A1121" s="565"/>
      <c r="B1121" s="565"/>
      <c r="C1121" s="565"/>
      <c r="D1121" s="565"/>
      <c r="E1121" s="565"/>
      <c r="F1121" s="565"/>
      <c r="G1121" s="988"/>
      <c r="H1121" s="565"/>
      <c r="I1121" s="565"/>
      <c r="J1121" s="565"/>
      <c r="K1121" s="565"/>
      <c r="L1121" s="565"/>
      <c r="M1121" s="565"/>
      <c r="N1121" s="565"/>
      <c r="O1121" s="565"/>
      <c r="P1121" s="565"/>
      <c r="Q1121" s="565"/>
      <c r="R1121" s="565"/>
      <c r="S1121" s="565"/>
      <c r="T1121" s="565"/>
      <c r="U1121" s="565"/>
    </row>
    <row r="1122" spans="1:21" x14ac:dyDescent="0.25">
      <c r="A1122" s="565"/>
      <c r="B1122" s="565"/>
      <c r="C1122" s="565"/>
      <c r="D1122" s="565"/>
      <c r="E1122" s="565"/>
      <c r="F1122" s="565"/>
      <c r="G1122" s="988"/>
      <c r="H1122" s="565"/>
      <c r="I1122" s="565"/>
      <c r="J1122" s="565"/>
      <c r="K1122" s="565"/>
      <c r="L1122" s="565"/>
      <c r="M1122" s="565"/>
      <c r="N1122" s="565"/>
      <c r="O1122" s="565"/>
      <c r="P1122" s="565"/>
      <c r="Q1122" s="565"/>
      <c r="R1122" s="565"/>
      <c r="S1122" s="565"/>
      <c r="T1122" s="565"/>
      <c r="U1122" s="565"/>
    </row>
    <row r="1123" spans="1:21" x14ac:dyDescent="0.25">
      <c r="A1123" s="565"/>
      <c r="B1123" s="565"/>
      <c r="C1123" s="565"/>
      <c r="D1123" s="565"/>
      <c r="E1123" s="565"/>
      <c r="F1123" s="565"/>
      <c r="G1123" s="988"/>
      <c r="H1123" s="565"/>
      <c r="I1123" s="565"/>
      <c r="J1123" s="565"/>
      <c r="K1123" s="565"/>
      <c r="L1123" s="565"/>
      <c r="M1123" s="565"/>
      <c r="N1123" s="565"/>
      <c r="O1123" s="565"/>
      <c r="P1123" s="565"/>
      <c r="Q1123" s="565"/>
      <c r="R1123" s="565"/>
      <c r="S1123" s="565"/>
      <c r="T1123" s="565"/>
      <c r="U1123" s="565"/>
    </row>
    <row r="1124" spans="1:21" x14ac:dyDescent="0.25">
      <c r="A1124" s="565"/>
      <c r="B1124" s="565"/>
      <c r="C1124" s="565"/>
      <c r="D1124" s="565"/>
      <c r="E1124" s="565"/>
      <c r="F1124" s="565"/>
      <c r="G1124" s="988"/>
      <c r="H1124" s="565"/>
      <c r="I1124" s="565"/>
      <c r="J1124" s="565"/>
      <c r="K1124" s="565"/>
      <c r="L1124" s="565"/>
      <c r="M1124" s="565"/>
      <c r="N1124" s="565"/>
      <c r="O1124" s="565"/>
      <c r="P1124" s="565"/>
      <c r="Q1124" s="565"/>
      <c r="R1124" s="565"/>
      <c r="S1124" s="565"/>
      <c r="T1124" s="565"/>
      <c r="U1124" s="565"/>
    </row>
    <row r="1125" spans="1:21" x14ac:dyDescent="0.25">
      <c r="A1125" s="565"/>
      <c r="B1125" s="565"/>
      <c r="C1125" s="565"/>
      <c r="D1125" s="565"/>
      <c r="E1125" s="565"/>
      <c r="F1125" s="565"/>
      <c r="G1125" s="988"/>
      <c r="H1125" s="565"/>
      <c r="I1125" s="565"/>
      <c r="J1125" s="565"/>
      <c r="K1125" s="565"/>
      <c r="L1125" s="565"/>
      <c r="M1125" s="565"/>
      <c r="N1125" s="565"/>
      <c r="O1125" s="565"/>
      <c r="P1125" s="565"/>
      <c r="Q1125" s="565"/>
      <c r="R1125" s="565"/>
      <c r="S1125" s="565"/>
      <c r="T1125" s="565"/>
      <c r="U1125" s="565"/>
    </row>
    <row r="1126" spans="1:21" x14ac:dyDescent="0.25">
      <c r="A1126" s="565"/>
      <c r="B1126" s="565"/>
      <c r="C1126" s="565"/>
      <c r="D1126" s="565"/>
      <c r="E1126" s="565"/>
      <c r="F1126" s="565"/>
      <c r="G1126" s="988"/>
      <c r="H1126" s="565"/>
      <c r="I1126" s="565"/>
      <c r="J1126" s="565"/>
      <c r="K1126" s="565"/>
      <c r="L1126" s="565"/>
      <c r="M1126" s="565"/>
      <c r="N1126" s="565"/>
      <c r="O1126" s="565"/>
      <c r="P1126" s="565"/>
      <c r="Q1126" s="565"/>
      <c r="R1126" s="565"/>
      <c r="S1126" s="565"/>
      <c r="T1126" s="565"/>
      <c r="U1126" s="565"/>
    </row>
    <row r="1127" spans="1:21" x14ac:dyDescent="0.25">
      <c r="A1127" s="565"/>
      <c r="B1127" s="565"/>
      <c r="C1127" s="565"/>
      <c r="D1127" s="565"/>
      <c r="E1127" s="565"/>
      <c r="F1127" s="565"/>
      <c r="G1127" s="988"/>
      <c r="H1127" s="565"/>
      <c r="I1127" s="565"/>
      <c r="J1127" s="565"/>
      <c r="K1127" s="565"/>
      <c r="L1127" s="565"/>
      <c r="M1127" s="565"/>
      <c r="N1127" s="565"/>
      <c r="O1127" s="565"/>
      <c r="P1127" s="565"/>
      <c r="Q1127" s="565"/>
      <c r="R1127" s="565"/>
      <c r="S1127" s="565"/>
      <c r="T1127" s="565"/>
      <c r="U1127" s="565"/>
    </row>
    <row r="1128" spans="1:21" x14ac:dyDescent="0.25">
      <c r="A1128" s="565"/>
      <c r="B1128" s="565"/>
      <c r="C1128" s="565"/>
      <c r="D1128" s="565"/>
      <c r="E1128" s="565"/>
      <c r="F1128" s="565"/>
      <c r="G1128" s="988"/>
      <c r="H1128" s="565"/>
      <c r="I1128" s="565"/>
      <c r="J1128" s="565"/>
      <c r="K1128" s="565"/>
      <c r="L1128" s="565"/>
      <c r="M1128" s="565"/>
      <c r="N1128" s="565"/>
      <c r="O1128" s="565"/>
      <c r="P1128" s="565"/>
      <c r="Q1128" s="565"/>
      <c r="R1128" s="565"/>
      <c r="S1128" s="565"/>
      <c r="T1128" s="565"/>
      <c r="U1128" s="565"/>
    </row>
    <row r="1129" spans="1:21" x14ac:dyDescent="0.25">
      <c r="A1129" s="565"/>
      <c r="B1129" s="565"/>
      <c r="C1129" s="565"/>
      <c r="D1129" s="565"/>
      <c r="E1129" s="565"/>
      <c r="F1129" s="565"/>
      <c r="G1129" s="988"/>
      <c r="H1129" s="565"/>
      <c r="I1129" s="565"/>
      <c r="J1129" s="565"/>
      <c r="K1129" s="565"/>
      <c r="L1129" s="565"/>
      <c r="M1129" s="565"/>
      <c r="N1129" s="565"/>
      <c r="O1129" s="565"/>
      <c r="P1129" s="565"/>
      <c r="Q1129" s="565"/>
      <c r="R1129" s="565"/>
      <c r="S1129" s="565"/>
      <c r="T1129" s="565"/>
      <c r="U1129" s="565"/>
    </row>
    <row r="1130" spans="1:21" x14ac:dyDescent="0.25">
      <c r="A1130" s="565"/>
      <c r="B1130" s="565"/>
      <c r="C1130" s="565"/>
      <c r="D1130" s="565"/>
      <c r="E1130" s="565"/>
      <c r="F1130" s="565"/>
      <c r="G1130" s="988"/>
      <c r="H1130" s="565"/>
      <c r="I1130" s="565"/>
      <c r="J1130" s="565"/>
      <c r="K1130" s="565"/>
      <c r="L1130" s="565"/>
      <c r="M1130" s="565"/>
      <c r="N1130" s="565"/>
      <c r="O1130" s="565"/>
      <c r="P1130" s="565"/>
      <c r="Q1130" s="565"/>
      <c r="R1130" s="565"/>
      <c r="S1130" s="565"/>
      <c r="T1130" s="565"/>
      <c r="U1130" s="565"/>
    </row>
    <row r="1131" spans="1:21" x14ac:dyDescent="0.25">
      <c r="A1131" s="565"/>
      <c r="B1131" s="565"/>
      <c r="C1131" s="565"/>
      <c r="D1131" s="565"/>
      <c r="E1131" s="565"/>
      <c r="F1131" s="565"/>
      <c r="G1131" s="988"/>
      <c r="H1131" s="565"/>
      <c r="I1131" s="565"/>
      <c r="J1131" s="565"/>
      <c r="K1131" s="565"/>
      <c r="L1131" s="565"/>
      <c r="M1131" s="565"/>
      <c r="N1131" s="565"/>
      <c r="O1131" s="565"/>
      <c r="P1131" s="565"/>
      <c r="Q1131" s="565"/>
      <c r="R1131" s="565"/>
      <c r="S1131" s="565"/>
      <c r="T1131" s="565"/>
      <c r="U1131" s="565"/>
    </row>
    <row r="1132" spans="1:21" x14ac:dyDescent="0.25">
      <c r="A1132" s="565"/>
      <c r="B1132" s="565"/>
      <c r="C1132" s="565"/>
      <c r="D1132" s="565"/>
      <c r="E1132" s="565"/>
      <c r="F1132" s="565"/>
      <c r="G1132" s="988"/>
      <c r="H1132" s="565"/>
      <c r="I1132" s="565"/>
      <c r="J1132" s="565"/>
      <c r="K1132" s="565"/>
      <c r="L1132" s="565"/>
      <c r="M1132" s="565"/>
      <c r="N1132" s="565"/>
      <c r="O1132" s="565"/>
      <c r="P1132" s="565"/>
      <c r="Q1132" s="565"/>
      <c r="R1132" s="565"/>
      <c r="S1132" s="565"/>
      <c r="T1132" s="565"/>
      <c r="U1132" s="565"/>
    </row>
    <row r="1133" spans="1:21" x14ac:dyDescent="0.25">
      <c r="A1133" s="565"/>
      <c r="B1133" s="565"/>
      <c r="C1133" s="565"/>
      <c r="D1133" s="565"/>
      <c r="E1133" s="565"/>
      <c r="F1133" s="565"/>
      <c r="G1133" s="988"/>
      <c r="H1133" s="565"/>
      <c r="I1133" s="565"/>
      <c r="J1133" s="565"/>
      <c r="K1133" s="565"/>
      <c r="L1133" s="565"/>
      <c r="M1133" s="565"/>
      <c r="N1133" s="565"/>
      <c r="O1133" s="565"/>
      <c r="P1133" s="565"/>
      <c r="Q1133" s="565"/>
      <c r="R1133" s="565"/>
      <c r="S1133" s="565"/>
      <c r="T1133" s="565"/>
      <c r="U1133" s="565"/>
    </row>
    <row r="1134" spans="1:21" x14ac:dyDescent="0.25">
      <c r="A1134" s="565"/>
      <c r="B1134" s="565"/>
      <c r="C1134" s="565"/>
      <c r="D1134" s="565"/>
      <c r="E1134" s="565"/>
      <c r="F1134" s="565"/>
      <c r="G1134" s="988"/>
      <c r="H1134" s="565"/>
      <c r="I1134" s="565"/>
      <c r="J1134" s="565"/>
      <c r="K1134" s="565"/>
      <c r="L1134" s="565"/>
      <c r="M1134" s="565"/>
      <c r="N1134" s="565"/>
      <c r="O1134" s="565"/>
      <c r="P1134" s="565"/>
      <c r="Q1134" s="565"/>
      <c r="R1134" s="565"/>
      <c r="S1134" s="565"/>
      <c r="T1134" s="565"/>
      <c r="U1134" s="565"/>
    </row>
    <row r="1135" spans="1:21" x14ac:dyDescent="0.25">
      <c r="A1135" s="565"/>
      <c r="B1135" s="565"/>
      <c r="C1135" s="565"/>
      <c r="D1135" s="565"/>
      <c r="E1135" s="565"/>
      <c r="F1135" s="565"/>
      <c r="G1135" s="988"/>
      <c r="H1135" s="565"/>
      <c r="I1135" s="565"/>
      <c r="J1135" s="565"/>
      <c r="K1135" s="565"/>
      <c r="L1135" s="565"/>
      <c r="M1135" s="565"/>
      <c r="N1135" s="565"/>
      <c r="O1135" s="565"/>
      <c r="P1135" s="565"/>
      <c r="Q1135" s="565"/>
      <c r="R1135" s="565"/>
      <c r="S1135" s="565"/>
      <c r="T1135" s="565"/>
      <c r="U1135" s="565"/>
    </row>
    <row r="1136" spans="1:21" x14ac:dyDescent="0.25">
      <c r="A1136" s="565"/>
      <c r="B1136" s="565"/>
      <c r="C1136" s="565"/>
      <c r="D1136" s="565"/>
      <c r="E1136" s="565"/>
      <c r="F1136" s="565"/>
      <c r="G1136" s="988"/>
      <c r="H1136" s="565"/>
      <c r="I1136" s="565"/>
      <c r="J1136" s="565"/>
      <c r="K1136" s="565"/>
      <c r="L1136" s="565"/>
      <c r="M1136" s="565"/>
      <c r="N1136" s="565"/>
      <c r="O1136" s="565"/>
      <c r="P1136" s="565"/>
      <c r="Q1136" s="565"/>
      <c r="R1136" s="565"/>
      <c r="S1136" s="565"/>
      <c r="T1136" s="565"/>
      <c r="U1136" s="565"/>
    </row>
    <row r="1137" spans="1:21" x14ac:dyDescent="0.25">
      <c r="A1137" s="565"/>
      <c r="B1137" s="565"/>
      <c r="C1137" s="565"/>
      <c r="D1137" s="565"/>
      <c r="E1137" s="565"/>
      <c r="F1137" s="565"/>
      <c r="G1137" s="988"/>
      <c r="H1137" s="565"/>
      <c r="I1137" s="565"/>
      <c r="J1137" s="565"/>
      <c r="K1137" s="565"/>
      <c r="L1137" s="565"/>
      <c r="M1137" s="565"/>
      <c r="N1137" s="565"/>
      <c r="O1137" s="565"/>
      <c r="P1137" s="565"/>
      <c r="Q1137" s="565"/>
      <c r="R1137" s="565"/>
      <c r="S1137" s="565"/>
      <c r="T1137" s="565"/>
      <c r="U1137" s="565"/>
    </row>
    <row r="1138" spans="1:21" x14ac:dyDescent="0.25">
      <c r="A1138" s="565"/>
      <c r="B1138" s="565"/>
      <c r="C1138" s="565"/>
      <c r="D1138" s="565"/>
      <c r="E1138" s="565"/>
      <c r="F1138" s="565"/>
      <c r="G1138" s="988"/>
      <c r="H1138" s="565"/>
      <c r="I1138" s="565"/>
      <c r="J1138" s="565"/>
      <c r="K1138" s="565"/>
      <c r="L1138" s="565"/>
      <c r="M1138" s="565"/>
      <c r="N1138" s="565"/>
      <c r="O1138" s="565"/>
      <c r="P1138" s="565"/>
      <c r="Q1138" s="565"/>
      <c r="R1138" s="565"/>
      <c r="S1138" s="565"/>
      <c r="T1138" s="565"/>
      <c r="U1138" s="565"/>
    </row>
    <row r="1139" spans="1:21" x14ac:dyDescent="0.25">
      <c r="A1139" s="565"/>
      <c r="B1139" s="565"/>
      <c r="C1139" s="565"/>
      <c r="D1139" s="565"/>
      <c r="E1139" s="565"/>
      <c r="F1139" s="565"/>
      <c r="G1139" s="988"/>
      <c r="H1139" s="565"/>
      <c r="I1139" s="565"/>
      <c r="J1139" s="565"/>
      <c r="K1139" s="565"/>
      <c r="L1139" s="565"/>
      <c r="M1139" s="565"/>
      <c r="N1139" s="565"/>
      <c r="O1139" s="565"/>
      <c r="P1139" s="565"/>
      <c r="Q1139" s="565"/>
      <c r="R1139" s="565"/>
      <c r="S1139" s="565"/>
      <c r="T1139" s="565"/>
      <c r="U1139" s="565"/>
    </row>
    <row r="1140" spans="1:21" x14ac:dyDescent="0.25">
      <c r="A1140" s="565"/>
      <c r="B1140" s="565"/>
      <c r="C1140" s="565"/>
      <c r="D1140" s="565"/>
      <c r="E1140" s="565"/>
      <c r="F1140" s="565"/>
      <c r="G1140" s="988"/>
      <c r="H1140" s="565"/>
      <c r="I1140" s="565"/>
      <c r="J1140" s="565"/>
      <c r="K1140" s="565"/>
      <c r="L1140" s="565"/>
      <c r="M1140" s="565"/>
      <c r="N1140" s="565"/>
      <c r="O1140" s="565"/>
      <c r="P1140" s="565"/>
      <c r="Q1140" s="565"/>
      <c r="R1140" s="565"/>
      <c r="S1140" s="565"/>
      <c r="T1140" s="565"/>
      <c r="U1140" s="565"/>
    </row>
    <row r="1141" spans="1:21" x14ac:dyDescent="0.25">
      <c r="A1141" s="565"/>
      <c r="B1141" s="565"/>
      <c r="C1141" s="565"/>
      <c r="D1141" s="565"/>
      <c r="E1141" s="565"/>
      <c r="F1141" s="565"/>
      <c r="G1141" s="988"/>
      <c r="H1141" s="565"/>
      <c r="I1141" s="565"/>
      <c r="J1141" s="565"/>
      <c r="K1141" s="565"/>
      <c r="L1141" s="565"/>
      <c r="M1141" s="565"/>
      <c r="N1141" s="565"/>
      <c r="O1141" s="565"/>
      <c r="P1141" s="565"/>
      <c r="Q1141" s="565"/>
      <c r="R1141" s="565"/>
      <c r="S1141" s="565"/>
      <c r="T1141" s="565"/>
      <c r="U1141" s="565"/>
    </row>
    <row r="1142" spans="1:21" x14ac:dyDescent="0.25">
      <c r="A1142" s="565"/>
      <c r="B1142" s="565"/>
      <c r="C1142" s="565"/>
      <c r="D1142" s="565"/>
      <c r="E1142" s="565"/>
      <c r="F1142" s="565"/>
      <c r="G1142" s="988"/>
      <c r="H1142" s="565"/>
      <c r="I1142" s="565"/>
      <c r="J1142" s="565"/>
      <c r="K1142" s="565"/>
      <c r="L1142" s="565"/>
      <c r="M1142" s="565"/>
      <c r="N1142" s="565"/>
      <c r="O1142" s="565"/>
      <c r="P1142" s="565"/>
      <c r="Q1142" s="565"/>
      <c r="R1142" s="565"/>
      <c r="S1142" s="565"/>
      <c r="T1142" s="565"/>
      <c r="U1142" s="565"/>
    </row>
    <row r="1143" spans="1:21" x14ac:dyDescent="0.25">
      <c r="A1143" s="565"/>
      <c r="B1143" s="565"/>
      <c r="C1143" s="565"/>
      <c r="D1143" s="565"/>
      <c r="E1143" s="565"/>
      <c r="F1143" s="565"/>
      <c r="G1143" s="988"/>
      <c r="H1143" s="565"/>
      <c r="I1143" s="565"/>
      <c r="J1143" s="565"/>
      <c r="K1143" s="565"/>
      <c r="L1143" s="565"/>
      <c r="M1143" s="565"/>
      <c r="N1143" s="565"/>
      <c r="O1143" s="565"/>
      <c r="P1143" s="565"/>
      <c r="Q1143" s="565"/>
      <c r="R1143" s="565"/>
      <c r="S1143" s="565"/>
      <c r="T1143" s="565"/>
      <c r="U1143" s="565"/>
    </row>
    <row r="1144" spans="1:21" x14ac:dyDescent="0.25">
      <c r="A1144" s="565"/>
      <c r="B1144" s="565"/>
      <c r="C1144" s="565"/>
      <c r="D1144" s="565"/>
      <c r="E1144" s="565"/>
      <c r="F1144" s="565"/>
      <c r="G1144" s="988"/>
      <c r="H1144" s="565"/>
      <c r="I1144" s="565"/>
      <c r="J1144" s="565"/>
      <c r="K1144" s="565"/>
      <c r="L1144" s="565"/>
      <c r="M1144" s="565"/>
      <c r="N1144" s="565"/>
      <c r="O1144" s="565"/>
      <c r="P1144" s="565"/>
      <c r="Q1144" s="565"/>
      <c r="R1144" s="565"/>
      <c r="S1144" s="565"/>
      <c r="T1144" s="565"/>
      <c r="U1144" s="565"/>
    </row>
    <row r="1145" spans="1:21" x14ac:dyDescent="0.25">
      <c r="A1145" s="565"/>
      <c r="B1145" s="565"/>
      <c r="C1145" s="565"/>
      <c r="D1145" s="565"/>
      <c r="E1145" s="565"/>
      <c r="F1145" s="565"/>
      <c r="G1145" s="988"/>
      <c r="H1145" s="565"/>
      <c r="I1145" s="565"/>
      <c r="J1145" s="565"/>
      <c r="K1145" s="565"/>
      <c r="L1145" s="565"/>
      <c r="M1145" s="565"/>
      <c r="N1145" s="565"/>
      <c r="O1145" s="565"/>
      <c r="P1145" s="565"/>
      <c r="Q1145" s="565"/>
      <c r="R1145" s="565"/>
      <c r="S1145" s="565"/>
      <c r="T1145" s="565"/>
      <c r="U1145" s="565"/>
    </row>
    <row r="1146" spans="1:21" x14ac:dyDescent="0.25">
      <c r="A1146" s="565"/>
      <c r="B1146" s="565"/>
      <c r="C1146" s="565"/>
      <c r="D1146" s="565"/>
      <c r="E1146" s="565"/>
      <c r="F1146" s="565"/>
      <c r="G1146" s="988"/>
      <c r="H1146" s="565"/>
      <c r="I1146" s="565"/>
      <c r="J1146" s="565"/>
      <c r="K1146" s="565"/>
      <c r="L1146" s="565"/>
      <c r="M1146" s="565"/>
      <c r="N1146" s="565"/>
      <c r="O1146" s="565"/>
      <c r="P1146" s="565"/>
      <c r="Q1146" s="565"/>
      <c r="R1146" s="565"/>
      <c r="S1146" s="565"/>
      <c r="T1146" s="565"/>
      <c r="U1146" s="565"/>
    </row>
    <row r="1147" spans="1:21" x14ac:dyDescent="0.25">
      <c r="A1147" s="565"/>
      <c r="B1147" s="565"/>
      <c r="C1147" s="565"/>
      <c r="D1147" s="565"/>
      <c r="E1147" s="565"/>
      <c r="F1147" s="565"/>
      <c r="G1147" s="988"/>
      <c r="H1147" s="565"/>
      <c r="I1147" s="565"/>
      <c r="J1147" s="565"/>
      <c r="K1147" s="565"/>
      <c r="L1147" s="565"/>
      <c r="M1147" s="565"/>
      <c r="N1147" s="565"/>
      <c r="O1147" s="565"/>
      <c r="P1147" s="565"/>
      <c r="Q1147" s="565"/>
      <c r="R1147" s="565"/>
      <c r="S1147" s="565"/>
      <c r="T1147" s="565"/>
      <c r="U1147" s="565"/>
    </row>
    <row r="1148" spans="1:21" x14ac:dyDescent="0.25">
      <c r="A1148" s="565"/>
      <c r="B1148" s="565"/>
      <c r="C1148" s="565"/>
      <c r="D1148" s="565"/>
      <c r="E1148" s="565"/>
      <c r="F1148" s="565"/>
      <c r="G1148" s="988"/>
      <c r="H1148" s="565"/>
      <c r="I1148" s="565"/>
      <c r="J1148" s="565"/>
      <c r="K1148" s="565"/>
      <c r="L1148" s="565"/>
      <c r="M1148" s="565"/>
      <c r="N1148" s="565"/>
      <c r="O1148" s="565"/>
      <c r="P1148" s="565"/>
      <c r="Q1148" s="565"/>
      <c r="R1148" s="565"/>
      <c r="S1148" s="565"/>
      <c r="T1148" s="565"/>
      <c r="U1148" s="565"/>
    </row>
    <row r="1149" spans="1:21" x14ac:dyDescent="0.25">
      <c r="A1149" s="565"/>
      <c r="B1149" s="565"/>
      <c r="C1149" s="565"/>
      <c r="D1149" s="565"/>
      <c r="E1149" s="565"/>
      <c r="F1149" s="565"/>
      <c r="G1149" s="988"/>
      <c r="H1149" s="565"/>
      <c r="I1149" s="565"/>
      <c r="J1149" s="565"/>
      <c r="K1149" s="565"/>
      <c r="L1149" s="565"/>
      <c r="M1149" s="565"/>
      <c r="N1149" s="565"/>
      <c r="O1149" s="565"/>
      <c r="P1149" s="565"/>
      <c r="Q1149" s="565"/>
      <c r="R1149" s="565"/>
      <c r="S1149" s="565"/>
      <c r="T1149" s="565"/>
      <c r="U1149" s="565"/>
    </row>
    <row r="1150" spans="1:21" x14ac:dyDescent="0.25">
      <c r="A1150" s="565"/>
      <c r="B1150" s="565"/>
      <c r="C1150" s="565"/>
      <c r="D1150" s="565"/>
      <c r="E1150" s="565"/>
      <c r="F1150" s="565"/>
      <c r="G1150" s="988"/>
      <c r="H1150" s="565"/>
      <c r="I1150" s="565"/>
      <c r="J1150" s="565"/>
      <c r="K1150" s="565"/>
      <c r="L1150" s="565"/>
      <c r="M1150" s="565"/>
      <c r="N1150" s="565"/>
      <c r="O1150" s="565"/>
      <c r="P1150" s="565"/>
      <c r="Q1150" s="565"/>
      <c r="R1150" s="565"/>
      <c r="S1150" s="565"/>
      <c r="T1150" s="565"/>
      <c r="U1150" s="565"/>
    </row>
    <row r="1151" spans="1:21" x14ac:dyDescent="0.25">
      <c r="A1151" s="565"/>
      <c r="B1151" s="565"/>
      <c r="C1151" s="565"/>
      <c r="D1151" s="565"/>
      <c r="E1151" s="565"/>
      <c r="F1151" s="565"/>
      <c r="G1151" s="988"/>
      <c r="H1151" s="565"/>
      <c r="I1151" s="565"/>
      <c r="J1151" s="565"/>
      <c r="K1151" s="565"/>
      <c r="L1151" s="565"/>
      <c r="M1151" s="565"/>
      <c r="N1151" s="565"/>
      <c r="O1151" s="565"/>
      <c r="P1151" s="565"/>
      <c r="Q1151" s="565"/>
      <c r="R1151" s="565"/>
      <c r="S1151" s="565"/>
      <c r="T1151" s="565"/>
      <c r="U1151" s="565"/>
    </row>
    <row r="1152" spans="1:21" x14ac:dyDescent="0.25">
      <c r="A1152" s="565"/>
      <c r="B1152" s="565"/>
      <c r="C1152" s="565"/>
      <c r="D1152" s="565"/>
      <c r="E1152" s="565"/>
      <c r="F1152" s="565"/>
      <c r="G1152" s="988"/>
      <c r="H1152" s="565"/>
      <c r="I1152" s="565"/>
      <c r="J1152" s="565"/>
      <c r="K1152" s="565"/>
      <c r="L1152" s="565"/>
      <c r="M1152" s="565"/>
      <c r="N1152" s="565"/>
      <c r="O1152" s="565"/>
      <c r="P1152" s="565"/>
      <c r="Q1152" s="565"/>
      <c r="R1152" s="565"/>
      <c r="S1152" s="565"/>
      <c r="T1152" s="565"/>
      <c r="U1152" s="565"/>
    </row>
    <row r="1153" spans="1:21" x14ac:dyDescent="0.25">
      <c r="A1153" s="565"/>
      <c r="B1153" s="565"/>
      <c r="C1153" s="565"/>
      <c r="D1153" s="565"/>
      <c r="E1153" s="565"/>
      <c r="F1153" s="565"/>
      <c r="G1153" s="988"/>
      <c r="H1153" s="565"/>
      <c r="I1153" s="565"/>
      <c r="J1153" s="565"/>
      <c r="K1153" s="565"/>
      <c r="L1153" s="565"/>
      <c r="M1153" s="565"/>
      <c r="N1153" s="565"/>
      <c r="O1153" s="565"/>
      <c r="P1153" s="565"/>
      <c r="Q1153" s="565"/>
      <c r="R1153" s="565"/>
      <c r="S1153" s="565"/>
      <c r="T1153" s="565"/>
      <c r="U1153" s="565"/>
    </row>
    <row r="1154" spans="1:21" x14ac:dyDescent="0.25">
      <c r="A1154" s="565"/>
      <c r="B1154" s="565"/>
      <c r="C1154" s="565"/>
      <c r="D1154" s="565"/>
      <c r="E1154" s="565"/>
      <c r="F1154" s="565"/>
      <c r="G1154" s="988"/>
      <c r="H1154" s="565"/>
      <c r="I1154" s="565"/>
      <c r="J1154" s="565"/>
      <c r="K1154" s="565"/>
      <c r="L1154" s="565"/>
      <c r="M1154" s="565"/>
      <c r="N1154" s="565"/>
      <c r="O1154" s="565"/>
      <c r="P1154" s="565"/>
      <c r="Q1154" s="565"/>
      <c r="R1154" s="565"/>
      <c r="S1154" s="565"/>
      <c r="T1154" s="565"/>
      <c r="U1154" s="565"/>
    </row>
    <row r="1155" spans="1:21" x14ac:dyDescent="0.25">
      <c r="A1155" s="565"/>
      <c r="B1155" s="565"/>
      <c r="C1155" s="565"/>
      <c r="D1155" s="565"/>
      <c r="E1155" s="565"/>
      <c r="F1155" s="565"/>
      <c r="G1155" s="988"/>
      <c r="H1155" s="565"/>
      <c r="I1155" s="565"/>
      <c r="J1155" s="565"/>
      <c r="K1155" s="565"/>
      <c r="L1155" s="565"/>
      <c r="M1155" s="565"/>
      <c r="N1155" s="565"/>
      <c r="O1155" s="565"/>
      <c r="P1155" s="565"/>
      <c r="Q1155" s="565"/>
      <c r="R1155" s="565"/>
      <c r="S1155" s="565"/>
      <c r="T1155" s="565"/>
      <c r="U1155" s="565"/>
    </row>
    <row r="1156" spans="1:21" x14ac:dyDescent="0.25">
      <c r="A1156" s="565"/>
      <c r="B1156" s="565"/>
      <c r="C1156" s="565"/>
      <c r="D1156" s="565"/>
      <c r="E1156" s="565"/>
      <c r="F1156" s="565"/>
      <c r="G1156" s="988"/>
      <c r="H1156" s="565"/>
      <c r="I1156" s="565"/>
      <c r="J1156" s="565"/>
      <c r="K1156" s="565"/>
      <c r="L1156" s="565"/>
      <c r="M1156" s="565"/>
      <c r="N1156" s="565"/>
      <c r="O1156" s="565"/>
      <c r="P1156" s="565"/>
      <c r="Q1156" s="565"/>
      <c r="R1156" s="565"/>
      <c r="S1156" s="565"/>
      <c r="T1156" s="565"/>
      <c r="U1156" s="565"/>
    </row>
    <row r="1157" spans="1:21" x14ac:dyDescent="0.25">
      <c r="A1157" s="565"/>
      <c r="B1157" s="565"/>
      <c r="C1157" s="565"/>
      <c r="D1157" s="565"/>
      <c r="E1157" s="565"/>
      <c r="F1157" s="565"/>
      <c r="G1157" s="988"/>
      <c r="H1157" s="565"/>
      <c r="I1157" s="565"/>
      <c r="J1157" s="565"/>
      <c r="K1157" s="565"/>
      <c r="L1157" s="565"/>
      <c r="M1157" s="565"/>
      <c r="N1157" s="565"/>
      <c r="O1157" s="565"/>
      <c r="P1157" s="565"/>
      <c r="Q1157" s="565"/>
      <c r="R1157" s="565"/>
      <c r="S1157" s="565"/>
      <c r="T1157" s="565"/>
      <c r="U1157" s="565"/>
    </row>
    <row r="1158" spans="1:21" x14ac:dyDescent="0.25">
      <c r="A1158" s="565"/>
      <c r="B1158" s="565"/>
      <c r="C1158" s="565"/>
      <c r="D1158" s="565"/>
      <c r="E1158" s="565"/>
      <c r="F1158" s="565"/>
      <c r="G1158" s="988"/>
      <c r="H1158" s="565"/>
      <c r="I1158" s="565"/>
      <c r="J1158" s="565"/>
      <c r="K1158" s="565"/>
      <c r="L1158" s="565"/>
      <c r="M1158" s="565"/>
      <c r="N1158" s="565"/>
      <c r="O1158" s="565"/>
      <c r="P1158" s="565"/>
      <c r="Q1158" s="565"/>
      <c r="R1158" s="565"/>
      <c r="S1158" s="565"/>
      <c r="T1158" s="565"/>
      <c r="U1158" s="565"/>
    </row>
    <row r="1159" spans="1:21" x14ac:dyDescent="0.25">
      <c r="A1159" s="565"/>
      <c r="B1159" s="565"/>
      <c r="C1159" s="565"/>
      <c r="D1159" s="565"/>
      <c r="E1159" s="565"/>
      <c r="F1159" s="565"/>
      <c r="G1159" s="988"/>
      <c r="H1159" s="565"/>
      <c r="I1159" s="565"/>
      <c r="J1159" s="565"/>
      <c r="K1159" s="565"/>
      <c r="L1159" s="565"/>
      <c r="M1159" s="565"/>
      <c r="N1159" s="565"/>
      <c r="O1159" s="565"/>
      <c r="P1159" s="565"/>
      <c r="Q1159" s="565"/>
      <c r="R1159" s="565"/>
      <c r="S1159" s="565"/>
      <c r="T1159" s="565"/>
      <c r="U1159" s="565"/>
    </row>
    <row r="1160" spans="1:21" x14ac:dyDescent="0.25">
      <c r="A1160" s="565"/>
      <c r="B1160" s="565"/>
      <c r="C1160" s="565"/>
      <c r="D1160" s="565"/>
      <c r="E1160" s="565"/>
      <c r="F1160" s="565"/>
      <c r="G1160" s="988"/>
      <c r="H1160" s="565"/>
      <c r="I1160" s="565"/>
      <c r="J1160" s="565"/>
      <c r="K1160" s="565"/>
      <c r="L1160" s="565"/>
      <c r="M1160" s="565"/>
      <c r="N1160" s="565"/>
      <c r="O1160" s="565"/>
      <c r="P1160" s="565"/>
      <c r="Q1160" s="565"/>
      <c r="R1160" s="565"/>
      <c r="S1160" s="565"/>
      <c r="T1160" s="565"/>
      <c r="U1160" s="565"/>
    </row>
    <row r="1161" spans="1:21" x14ac:dyDescent="0.25">
      <c r="A1161" s="565"/>
      <c r="B1161" s="565"/>
      <c r="C1161" s="565"/>
      <c r="D1161" s="565"/>
      <c r="E1161" s="565"/>
      <c r="F1161" s="565"/>
      <c r="G1161" s="988"/>
      <c r="H1161" s="565"/>
      <c r="I1161" s="565"/>
      <c r="J1161" s="565"/>
      <c r="K1161" s="565"/>
      <c r="L1161" s="565"/>
      <c r="M1161" s="565"/>
      <c r="N1161" s="565"/>
      <c r="O1161" s="565"/>
      <c r="P1161" s="565"/>
      <c r="Q1161" s="565"/>
      <c r="R1161" s="565"/>
      <c r="S1161" s="565"/>
      <c r="T1161" s="565"/>
      <c r="U1161" s="565"/>
    </row>
    <row r="1162" spans="1:21" x14ac:dyDescent="0.25">
      <c r="A1162" s="565"/>
      <c r="B1162" s="565"/>
      <c r="C1162" s="565"/>
      <c r="D1162" s="565"/>
      <c r="E1162" s="565"/>
      <c r="F1162" s="565"/>
      <c r="G1162" s="988"/>
      <c r="H1162" s="565"/>
      <c r="I1162" s="565"/>
      <c r="J1162" s="565"/>
      <c r="K1162" s="565"/>
      <c r="L1162" s="565"/>
      <c r="M1162" s="565"/>
      <c r="N1162" s="565"/>
      <c r="O1162" s="565"/>
      <c r="P1162" s="565"/>
      <c r="Q1162" s="565"/>
      <c r="R1162" s="565"/>
      <c r="S1162" s="565"/>
      <c r="T1162" s="565"/>
      <c r="U1162" s="565"/>
    </row>
    <row r="1163" spans="1:21" x14ac:dyDescent="0.25">
      <c r="A1163" s="565"/>
      <c r="B1163" s="565"/>
      <c r="C1163" s="565"/>
      <c r="D1163" s="565"/>
      <c r="E1163" s="565"/>
      <c r="F1163" s="565"/>
      <c r="G1163" s="988"/>
      <c r="H1163" s="565"/>
      <c r="I1163" s="565"/>
      <c r="J1163" s="565"/>
      <c r="K1163" s="565"/>
      <c r="L1163" s="565"/>
      <c r="M1163" s="565"/>
      <c r="N1163" s="565"/>
      <c r="O1163" s="565"/>
      <c r="P1163" s="565"/>
      <c r="Q1163" s="565"/>
      <c r="R1163" s="565"/>
      <c r="S1163" s="565"/>
      <c r="T1163" s="565"/>
      <c r="U1163" s="565"/>
    </row>
    <row r="1164" spans="1:21" x14ac:dyDescent="0.25">
      <c r="A1164" s="565"/>
      <c r="B1164" s="565"/>
      <c r="C1164" s="565"/>
      <c r="D1164" s="565"/>
      <c r="E1164" s="565"/>
      <c r="F1164" s="565"/>
      <c r="G1164" s="988"/>
      <c r="H1164" s="565"/>
      <c r="I1164" s="565"/>
      <c r="J1164" s="565"/>
      <c r="K1164" s="565"/>
      <c r="L1164" s="565"/>
      <c r="M1164" s="565"/>
      <c r="N1164" s="565"/>
      <c r="O1164" s="565"/>
      <c r="P1164" s="565"/>
      <c r="Q1164" s="565"/>
      <c r="R1164" s="565"/>
      <c r="S1164" s="565"/>
      <c r="T1164" s="565"/>
      <c r="U1164" s="565"/>
    </row>
    <row r="1165" spans="1:21" x14ac:dyDescent="0.25">
      <c r="A1165" s="565"/>
      <c r="B1165" s="565"/>
      <c r="C1165" s="565"/>
      <c r="D1165" s="565"/>
      <c r="E1165" s="565"/>
      <c r="F1165" s="565"/>
      <c r="G1165" s="988"/>
      <c r="H1165" s="565"/>
      <c r="I1165" s="565"/>
      <c r="J1165" s="565"/>
      <c r="K1165" s="565"/>
      <c r="L1165" s="565"/>
      <c r="M1165" s="565"/>
      <c r="N1165" s="565"/>
      <c r="O1165" s="565"/>
      <c r="P1165" s="565"/>
      <c r="Q1165" s="565"/>
      <c r="R1165" s="565"/>
      <c r="S1165" s="565"/>
      <c r="T1165" s="565"/>
      <c r="U1165" s="565"/>
    </row>
    <row r="1166" spans="1:21" x14ac:dyDescent="0.25">
      <c r="A1166" s="565"/>
      <c r="B1166" s="565"/>
      <c r="C1166" s="565"/>
      <c r="D1166" s="565"/>
      <c r="E1166" s="565"/>
      <c r="F1166" s="565"/>
      <c r="G1166" s="988"/>
      <c r="H1166" s="565"/>
      <c r="I1166" s="565"/>
      <c r="J1166" s="565"/>
      <c r="K1166" s="565"/>
      <c r="L1166" s="565"/>
      <c r="M1166" s="565"/>
      <c r="N1166" s="565"/>
      <c r="O1166" s="565"/>
      <c r="P1166" s="565"/>
      <c r="Q1166" s="565"/>
      <c r="R1166" s="565"/>
      <c r="S1166" s="565"/>
      <c r="T1166" s="565"/>
      <c r="U1166" s="565"/>
    </row>
    <row r="1167" spans="1:21" x14ac:dyDescent="0.25">
      <c r="A1167" s="565"/>
      <c r="B1167" s="565"/>
      <c r="C1167" s="565"/>
      <c r="D1167" s="565"/>
      <c r="E1167" s="565"/>
      <c r="F1167" s="565"/>
      <c r="G1167" s="988"/>
      <c r="H1167" s="565"/>
      <c r="I1167" s="565"/>
      <c r="J1167" s="565"/>
      <c r="K1167" s="565"/>
      <c r="L1167" s="565"/>
      <c r="M1167" s="565"/>
      <c r="N1167" s="565"/>
      <c r="O1167" s="565"/>
      <c r="P1167" s="565"/>
      <c r="Q1167" s="565"/>
      <c r="R1167" s="565"/>
      <c r="S1167" s="565"/>
      <c r="T1167" s="565"/>
      <c r="U1167" s="565"/>
    </row>
    <row r="1168" spans="1:21" x14ac:dyDescent="0.25">
      <c r="A1168" s="565"/>
      <c r="B1168" s="565"/>
      <c r="C1168" s="565"/>
      <c r="D1168" s="565"/>
      <c r="E1168" s="565"/>
      <c r="F1168" s="565"/>
      <c r="G1168" s="988"/>
      <c r="H1168" s="565"/>
      <c r="I1168" s="565"/>
      <c r="J1168" s="565"/>
      <c r="K1168" s="565"/>
      <c r="L1168" s="565"/>
      <c r="M1168" s="565"/>
      <c r="N1168" s="565"/>
      <c r="O1168" s="565"/>
      <c r="P1168" s="565"/>
      <c r="Q1168" s="565"/>
      <c r="R1168" s="565"/>
      <c r="S1168" s="565"/>
      <c r="T1168" s="565"/>
      <c r="U1168" s="565"/>
    </row>
    <row r="1169" spans="1:21" x14ac:dyDescent="0.25">
      <c r="A1169" s="565"/>
      <c r="B1169" s="565"/>
      <c r="C1169" s="565"/>
      <c r="D1169" s="565"/>
      <c r="E1169" s="565"/>
      <c r="F1169" s="565"/>
      <c r="G1169" s="988"/>
      <c r="H1169" s="565"/>
      <c r="I1169" s="565"/>
      <c r="J1169" s="565"/>
      <c r="K1169" s="565"/>
      <c r="L1169" s="565"/>
      <c r="M1169" s="565"/>
      <c r="N1169" s="565"/>
      <c r="O1169" s="565"/>
      <c r="P1169" s="565"/>
      <c r="Q1169" s="565"/>
      <c r="R1169" s="565"/>
      <c r="S1169" s="565"/>
      <c r="T1169" s="565"/>
      <c r="U1169" s="565"/>
    </row>
    <row r="1170" spans="1:21" x14ac:dyDescent="0.25">
      <c r="A1170" s="565"/>
      <c r="B1170" s="565"/>
      <c r="C1170" s="565"/>
      <c r="D1170" s="565"/>
      <c r="E1170" s="565"/>
      <c r="F1170" s="565"/>
      <c r="G1170" s="988"/>
      <c r="H1170" s="565"/>
      <c r="I1170" s="565"/>
      <c r="J1170" s="565"/>
      <c r="K1170" s="565"/>
      <c r="L1170" s="565"/>
      <c r="M1170" s="565"/>
      <c r="N1170" s="565"/>
      <c r="O1170" s="565"/>
      <c r="P1170" s="565"/>
      <c r="Q1170" s="565"/>
      <c r="R1170" s="565"/>
      <c r="S1170" s="565"/>
      <c r="T1170" s="565"/>
      <c r="U1170" s="565"/>
    </row>
    <row r="1171" spans="1:21" x14ac:dyDescent="0.25">
      <c r="A1171" s="565"/>
      <c r="B1171" s="565"/>
      <c r="C1171" s="565"/>
      <c r="D1171" s="565"/>
      <c r="E1171" s="565"/>
      <c r="F1171" s="565"/>
      <c r="G1171" s="988"/>
      <c r="H1171" s="565"/>
      <c r="I1171" s="565"/>
      <c r="J1171" s="565"/>
      <c r="K1171" s="565"/>
      <c r="L1171" s="565"/>
      <c r="M1171" s="565"/>
      <c r="N1171" s="565"/>
      <c r="O1171" s="565"/>
      <c r="P1171" s="565"/>
      <c r="Q1171" s="565"/>
      <c r="R1171" s="565"/>
      <c r="S1171" s="565"/>
      <c r="T1171" s="565"/>
      <c r="U1171" s="565"/>
    </row>
    <row r="1172" spans="1:21" x14ac:dyDescent="0.25">
      <c r="A1172" s="565"/>
      <c r="B1172" s="565"/>
      <c r="C1172" s="565"/>
      <c r="D1172" s="565"/>
      <c r="E1172" s="565"/>
      <c r="F1172" s="565"/>
      <c r="G1172" s="988"/>
      <c r="H1172" s="565"/>
      <c r="I1172" s="565"/>
      <c r="J1172" s="565"/>
      <c r="K1172" s="565"/>
      <c r="L1172" s="565"/>
      <c r="M1172" s="565"/>
      <c r="N1172" s="565"/>
      <c r="O1172" s="565"/>
      <c r="P1172" s="565"/>
      <c r="Q1172" s="565"/>
      <c r="R1172" s="565"/>
      <c r="S1172" s="565"/>
      <c r="T1172" s="565"/>
      <c r="U1172" s="565"/>
    </row>
    <row r="1173" spans="1:21" x14ac:dyDescent="0.25">
      <c r="A1173" s="565"/>
      <c r="B1173" s="565"/>
      <c r="C1173" s="565"/>
      <c r="D1173" s="565"/>
      <c r="E1173" s="565"/>
      <c r="F1173" s="565"/>
      <c r="G1173" s="988"/>
      <c r="H1173" s="565"/>
      <c r="I1173" s="565"/>
      <c r="J1173" s="565"/>
      <c r="K1173" s="565"/>
      <c r="L1173" s="565"/>
      <c r="M1173" s="565"/>
      <c r="N1173" s="565"/>
      <c r="O1173" s="565"/>
      <c r="P1173" s="565"/>
      <c r="Q1173" s="565"/>
      <c r="R1173" s="565"/>
      <c r="S1173" s="565"/>
      <c r="T1173" s="565"/>
      <c r="U1173" s="565"/>
    </row>
    <row r="1174" spans="1:21" x14ac:dyDescent="0.25">
      <c r="A1174" s="565"/>
      <c r="B1174" s="565"/>
      <c r="C1174" s="565"/>
      <c r="D1174" s="565"/>
      <c r="E1174" s="565"/>
      <c r="F1174" s="565"/>
      <c r="G1174" s="988"/>
      <c r="H1174" s="565"/>
      <c r="I1174" s="565"/>
      <c r="J1174" s="565"/>
      <c r="K1174" s="565"/>
      <c r="L1174" s="565"/>
      <c r="M1174" s="565"/>
      <c r="N1174" s="565"/>
      <c r="O1174" s="565"/>
      <c r="P1174" s="565"/>
      <c r="Q1174" s="565"/>
      <c r="R1174" s="565"/>
      <c r="S1174" s="565"/>
      <c r="T1174" s="565"/>
      <c r="U1174" s="565"/>
    </row>
    <row r="1175" spans="1:21" x14ac:dyDescent="0.25">
      <c r="A1175" s="565"/>
      <c r="B1175" s="565"/>
      <c r="C1175" s="565"/>
      <c r="D1175" s="565"/>
      <c r="E1175" s="565"/>
      <c r="F1175" s="565"/>
      <c r="G1175" s="988"/>
      <c r="H1175" s="565"/>
      <c r="I1175" s="565"/>
      <c r="J1175" s="565"/>
      <c r="K1175" s="565"/>
      <c r="L1175" s="565"/>
      <c r="M1175" s="565"/>
      <c r="N1175" s="565"/>
      <c r="O1175" s="565"/>
      <c r="P1175" s="565"/>
      <c r="Q1175" s="565"/>
      <c r="R1175" s="565"/>
      <c r="S1175" s="565"/>
      <c r="T1175" s="565"/>
      <c r="U1175" s="565"/>
    </row>
    <row r="1176" spans="1:21" x14ac:dyDescent="0.25">
      <c r="A1176" s="565"/>
      <c r="B1176" s="565"/>
      <c r="C1176" s="565"/>
      <c r="D1176" s="565"/>
      <c r="E1176" s="565"/>
      <c r="F1176" s="565"/>
      <c r="G1176" s="988"/>
      <c r="H1176" s="565"/>
      <c r="I1176" s="565"/>
      <c r="J1176" s="565"/>
      <c r="K1176" s="565"/>
      <c r="L1176" s="565"/>
      <c r="M1176" s="565"/>
      <c r="N1176" s="565"/>
      <c r="O1176" s="565"/>
      <c r="P1176" s="565"/>
      <c r="Q1176" s="565"/>
      <c r="R1176" s="565"/>
      <c r="S1176" s="565"/>
      <c r="T1176" s="565"/>
      <c r="U1176" s="565"/>
    </row>
    <row r="1177" spans="1:21" x14ac:dyDescent="0.25">
      <c r="A1177" s="565"/>
      <c r="B1177" s="565"/>
      <c r="C1177" s="565"/>
      <c r="D1177" s="565"/>
      <c r="E1177" s="565"/>
      <c r="F1177" s="565"/>
      <c r="G1177" s="988"/>
      <c r="H1177" s="565"/>
      <c r="I1177" s="565"/>
      <c r="J1177" s="565"/>
      <c r="K1177" s="565"/>
      <c r="L1177" s="565"/>
      <c r="M1177" s="565"/>
      <c r="N1177" s="565"/>
      <c r="O1177" s="565"/>
      <c r="P1177" s="565"/>
      <c r="Q1177" s="565"/>
      <c r="R1177" s="565"/>
      <c r="S1177" s="565"/>
      <c r="T1177" s="565"/>
      <c r="U1177" s="565"/>
    </row>
    <row r="1178" spans="1:21" x14ac:dyDescent="0.25">
      <c r="A1178" s="565"/>
      <c r="B1178" s="565"/>
      <c r="C1178" s="565"/>
      <c r="D1178" s="565"/>
      <c r="E1178" s="565"/>
      <c r="F1178" s="565"/>
      <c r="G1178" s="988"/>
      <c r="H1178" s="565"/>
      <c r="I1178" s="565"/>
      <c r="J1178" s="565"/>
      <c r="K1178" s="565"/>
      <c r="L1178" s="565"/>
      <c r="M1178" s="565"/>
      <c r="N1178" s="565"/>
      <c r="O1178" s="565"/>
      <c r="P1178" s="565"/>
      <c r="Q1178" s="565"/>
      <c r="R1178" s="565"/>
      <c r="S1178" s="565"/>
      <c r="T1178" s="565"/>
      <c r="U1178" s="565"/>
    </row>
    <row r="1179" spans="1:21" x14ac:dyDescent="0.25">
      <c r="A1179" s="565"/>
      <c r="B1179" s="565"/>
      <c r="C1179" s="565"/>
      <c r="D1179" s="565"/>
      <c r="E1179" s="565"/>
      <c r="F1179" s="565"/>
      <c r="G1179" s="988"/>
      <c r="H1179" s="565"/>
      <c r="I1179" s="565"/>
      <c r="J1179" s="565"/>
      <c r="K1179" s="565"/>
      <c r="L1179" s="565"/>
      <c r="M1179" s="565"/>
      <c r="N1179" s="565"/>
      <c r="O1179" s="565"/>
      <c r="P1179" s="565"/>
      <c r="Q1179" s="565"/>
      <c r="R1179" s="565"/>
      <c r="S1179" s="565"/>
      <c r="T1179" s="565"/>
      <c r="U1179" s="565"/>
    </row>
    <row r="1180" spans="1:21" x14ac:dyDescent="0.25">
      <c r="A1180" s="565"/>
      <c r="B1180" s="565"/>
      <c r="C1180" s="565"/>
      <c r="D1180" s="565"/>
      <c r="E1180" s="565"/>
      <c r="F1180" s="565"/>
      <c r="G1180" s="988"/>
      <c r="H1180" s="565"/>
      <c r="I1180" s="565"/>
      <c r="J1180" s="565"/>
      <c r="K1180" s="565"/>
      <c r="L1180" s="565"/>
      <c r="M1180" s="565"/>
      <c r="N1180" s="565"/>
      <c r="O1180" s="565"/>
      <c r="P1180" s="565"/>
      <c r="Q1180" s="565"/>
      <c r="R1180" s="565"/>
      <c r="S1180" s="565"/>
      <c r="T1180" s="565"/>
      <c r="U1180" s="565"/>
    </row>
    <row r="1181" spans="1:21" x14ac:dyDescent="0.25">
      <c r="A1181" s="565"/>
      <c r="B1181" s="565"/>
      <c r="C1181" s="565"/>
      <c r="D1181" s="565"/>
      <c r="E1181" s="565"/>
      <c r="F1181" s="565"/>
      <c r="G1181" s="988"/>
      <c r="H1181" s="565"/>
      <c r="I1181" s="565"/>
      <c r="J1181" s="565"/>
      <c r="K1181" s="565"/>
      <c r="L1181" s="565"/>
      <c r="M1181" s="565"/>
      <c r="N1181" s="565"/>
      <c r="O1181" s="565"/>
      <c r="P1181" s="565"/>
      <c r="Q1181" s="565"/>
      <c r="R1181" s="565"/>
      <c r="S1181" s="565"/>
      <c r="T1181" s="565"/>
      <c r="U1181" s="565"/>
    </row>
    <row r="1182" spans="1:21" x14ac:dyDescent="0.25">
      <c r="A1182" s="565"/>
      <c r="B1182" s="565"/>
      <c r="C1182" s="565"/>
      <c r="D1182" s="565"/>
      <c r="E1182" s="565"/>
      <c r="F1182" s="565"/>
      <c r="G1182" s="988"/>
      <c r="H1182" s="565"/>
      <c r="I1182" s="565"/>
      <c r="J1182" s="565"/>
      <c r="K1182" s="565"/>
      <c r="L1182" s="565"/>
      <c r="M1182" s="565"/>
      <c r="N1182" s="565"/>
      <c r="O1182" s="565"/>
      <c r="P1182" s="565"/>
      <c r="Q1182" s="565"/>
      <c r="R1182" s="565"/>
      <c r="S1182" s="565"/>
      <c r="T1182" s="565"/>
      <c r="U1182" s="565"/>
    </row>
    <row r="1183" spans="1:21" x14ac:dyDescent="0.25">
      <c r="A1183" s="565"/>
      <c r="B1183" s="565"/>
      <c r="C1183" s="565"/>
      <c r="D1183" s="565"/>
      <c r="E1183" s="565"/>
      <c r="F1183" s="565"/>
      <c r="G1183" s="988"/>
      <c r="H1183" s="565"/>
      <c r="I1183" s="565"/>
      <c r="J1183" s="565"/>
      <c r="K1183" s="565"/>
      <c r="L1183" s="565"/>
      <c r="M1183" s="565"/>
      <c r="N1183" s="565"/>
      <c r="O1183" s="565"/>
      <c r="P1183" s="565"/>
      <c r="Q1183" s="565"/>
      <c r="R1183" s="565"/>
      <c r="S1183" s="565"/>
      <c r="T1183" s="565"/>
      <c r="U1183" s="565"/>
    </row>
    <row r="1184" spans="1:21" x14ac:dyDescent="0.25">
      <c r="A1184" s="565"/>
      <c r="B1184" s="565"/>
      <c r="C1184" s="565"/>
      <c r="D1184" s="565"/>
      <c r="E1184" s="565"/>
      <c r="F1184" s="565"/>
      <c r="G1184" s="988"/>
      <c r="H1184" s="565"/>
      <c r="I1184" s="565"/>
      <c r="J1184" s="565"/>
      <c r="K1184" s="565"/>
      <c r="L1184" s="565"/>
      <c r="M1184" s="565"/>
      <c r="N1184" s="565"/>
      <c r="O1184" s="565"/>
      <c r="P1184" s="565"/>
      <c r="Q1184" s="565"/>
      <c r="R1184" s="565"/>
      <c r="S1184" s="565"/>
      <c r="T1184" s="565"/>
      <c r="U1184" s="565"/>
    </row>
  </sheetData>
  <sheetProtection algorithmName="SHA-512" hashValue="S94+QWB6FLm6my7lbBiingEjm/UlDqGdBzW3yXNHrR9s5TdsCdieHsypn8Ysun+HChTJtqEnInr/Hpu5cEUjXg==" saltValue="GWMA5V2njeeyb5nuz7L9jw=="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980"/>
      <c r="K2" s="1980"/>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84" t="e">
        <f>VLOOKUP($J$4,'Market Geography'!$D:$G,4,FALSE)</f>
        <v>#N/A</v>
      </c>
      <c r="K3" s="188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84">
        <f>Welcome!$D$4</f>
        <v>0</v>
      </c>
      <c r="K4" s="188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81" t="e">
        <f>VLOOKUP($J$4,'Market Geography'!$D:$F,3,FALSE)</f>
        <v>#N/A</v>
      </c>
      <c r="K5" s="1981"/>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84" t="s">
        <v>134</v>
      </c>
      <c r="K6" s="188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84" t="str">
        <f>IF(Welcome!$D$10="MDA","C","N")</f>
        <v>N</v>
      </c>
      <c r="K7" s="188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77" t="s">
        <v>925</v>
      </c>
      <c r="AI13" s="1978"/>
      <c r="AJ13" s="1979"/>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83" t="s">
        <v>970</v>
      </c>
      <c r="F1" s="1984"/>
      <c r="G1" s="1984"/>
      <c r="H1" s="1984"/>
      <c r="I1" s="1984"/>
      <c r="J1" s="1985"/>
      <c r="L1" s="1983" t="s">
        <v>969</v>
      </c>
      <c r="M1" s="1985"/>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83" t="s">
        <v>971</v>
      </c>
      <c r="F20" s="1984"/>
      <c r="G20" s="1985"/>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82" t="s">
        <v>113</v>
      </c>
      <c r="M22" s="1982"/>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83" t="s">
        <v>969</v>
      </c>
      <c r="M23" s="1985"/>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82" t="s">
        <v>972</v>
      </c>
      <c r="F28" s="1982"/>
      <c r="G28" s="1982"/>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86" t="s">
        <v>804</v>
      </c>
      <c r="AD1" s="1986"/>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86" t="s">
        <v>805</v>
      </c>
      <c r="AD5" s="1986"/>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86"/>
      <c r="AD6" s="1986"/>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87"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87"/>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87"/>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88" t="s">
        <v>910</v>
      </c>
      <c r="AZ5" s="1989"/>
      <c r="BA5" s="412">
        <v>1757315</v>
      </c>
      <c r="BB5" s="272" t="s">
        <v>214</v>
      </c>
      <c r="BC5" s="1" t="s">
        <v>214</v>
      </c>
      <c r="BD5" s="405">
        <v>3.2000000000000001E-2</v>
      </c>
      <c r="BE5" s="405">
        <v>6.9000000000000006E-2</v>
      </c>
      <c r="BF5" s="405">
        <v>8.2000000000000003E-2</v>
      </c>
      <c r="BG5" s="405">
        <v>9.6000000000000002E-2</v>
      </c>
      <c r="BH5" s="406">
        <v>0.13300000000000001</v>
      </c>
      <c r="BK5" s="1988" t="s">
        <v>911</v>
      </c>
      <c r="BL5" s="1989"/>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91" t="s">
        <v>909</v>
      </c>
      <c r="AT10" s="1991"/>
      <c r="AY10" s="1990" t="s">
        <v>907</v>
      </c>
      <c r="AZ10" s="1990"/>
      <c r="BA10" s="1990"/>
      <c r="BB10" s="1990"/>
      <c r="BC10" s="1990"/>
      <c r="BF10" s="1990" t="s">
        <v>908</v>
      </c>
      <c r="BG10" s="1990"/>
      <c r="BH10" s="1990"/>
      <c r="BI10" s="1990"/>
      <c r="BJ10" s="1990"/>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2002" t="s">
        <v>1836</v>
      </c>
      <c r="C2" s="2003"/>
      <c r="D2" s="2003"/>
      <c r="E2" s="2003"/>
      <c r="F2" s="2003"/>
      <c r="G2" s="2003"/>
      <c r="H2" s="2003"/>
      <c r="I2" s="2003"/>
      <c r="J2" s="2004"/>
      <c r="K2" s="1146"/>
      <c r="L2" s="1140"/>
      <c r="M2" s="2008" t="s">
        <v>1896</v>
      </c>
      <c r="N2" s="2009"/>
      <c r="O2" s="2010"/>
      <c r="P2" s="2011"/>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2005"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2006"/>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92"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2007"/>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92"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2007"/>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2000"/>
      <c r="P9" s="2001"/>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97" t="s">
        <v>1854</v>
      </c>
      <c r="C14" s="1133" t="s">
        <v>1855</v>
      </c>
      <c r="D14" s="1134" t="s">
        <v>1856</v>
      </c>
      <c r="E14" s="1169"/>
      <c r="F14" s="1169"/>
      <c r="G14" s="1169"/>
      <c r="H14" s="1169"/>
      <c r="I14" s="1169"/>
      <c r="J14" s="1169"/>
      <c r="K14" s="1169"/>
      <c r="L14" s="1169"/>
      <c r="M14" s="1169"/>
      <c r="N14" s="1169"/>
      <c r="O14" s="1169"/>
      <c r="P14" s="1170"/>
      <c r="Q14" s="1169"/>
      <c r="R14" s="1169"/>
      <c r="S14" s="1169"/>
      <c r="T14" s="1997"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98"/>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98"/>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99" t="s">
        <v>1858</v>
      </c>
      <c r="C16" s="1172" t="s">
        <v>1859</v>
      </c>
      <c r="D16" s="1173" t="s">
        <v>131</v>
      </c>
      <c r="E16" s="1173" t="s">
        <v>1860</v>
      </c>
      <c r="F16" s="1140"/>
      <c r="G16" s="1140"/>
      <c r="H16" s="1140"/>
      <c r="I16" s="1140"/>
      <c r="J16" s="1140"/>
      <c r="K16" s="1140"/>
      <c r="L16" s="1140"/>
      <c r="M16" s="1140"/>
      <c r="N16" s="1140"/>
      <c r="O16" s="1140"/>
      <c r="P16" s="1141"/>
      <c r="Q16" s="1140"/>
      <c r="R16" s="1140"/>
      <c r="S16" s="1140"/>
      <c r="T16" s="1999"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93"/>
      <c r="C17" s="1174" t="s">
        <v>1861</v>
      </c>
      <c r="D17" s="1174" t="s">
        <v>1862</v>
      </c>
      <c r="E17" s="1175"/>
      <c r="F17" s="1140"/>
      <c r="G17" s="1140"/>
      <c r="H17" s="1140"/>
      <c r="I17" s="1140"/>
      <c r="J17" s="1140"/>
      <c r="K17" s="1140"/>
      <c r="L17" s="1140"/>
      <c r="M17" s="1140"/>
      <c r="N17" s="1140"/>
      <c r="O17" s="1140"/>
      <c r="P17" s="1141"/>
      <c r="Q17" s="1140"/>
      <c r="R17" s="1140"/>
      <c r="S17" s="1140"/>
      <c r="T17" s="1993"/>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93"/>
      <c r="C18" s="1176" t="s">
        <v>1861</v>
      </c>
      <c r="D18" s="1176" t="s">
        <v>1863</v>
      </c>
      <c r="E18" s="1177" t="s">
        <v>1864</v>
      </c>
      <c r="F18" s="1140"/>
      <c r="G18" s="1140"/>
      <c r="H18" s="1140"/>
      <c r="I18" s="1140"/>
      <c r="J18" s="1140"/>
      <c r="K18" s="1140"/>
      <c r="L18" s="1140"/>
      <c r="M18" s="1140"/>
      <c r="N18" s="1140"/>
      <c r="O18" s="1140"/>
      <c r="P18" s="1141"/>
      <c r="Q18" s="1140"/>
      <c r="R18" s="1140"/>
      <c r="S18" s="1140"/>
      <c r="T18" s="1993"/>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93"/>
      <c r="C19" s="1176" t="s">
        <v>1861</v>
      </c>
      <c r="D19" s="1176" t="s">
        <v>1865</v>
      </c>
      <c r="E19" s="1177" t="s">
        <v>1699</v>
      </c>
      <c r="F19" s="1140"/>
      <c r="G19" s="1140"/>
      <c r="H19" s="1140"/>
      <c r="I19" s="1140"/>
      <c r="J19" s="1140"/>
      <c r="K19" s="1140"/>
      <c r="L19" s="1140"/>
      <c r="M19" s="1140"/>
      <c r="N19" s="1140"/>
      <c r="O19" s="1140"/>
      <c r="P19" s="1141"/>
      <c r="Q19" s="1140"/>
      <c r="R19" s="1140"/>
      <c r="S19" s="1140"/>
      <c r="T19" s="1993"/>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94"/>
      <c r="C20" s="1178" t="s">
        <v>1861</v>
      </c>
      <c r="D20" s="1178" t="s">
        <v>1866</v>
      </c>
      <c r="E20" s="1179" t="s">
        <v>1867</v>
      </c>
      <c r="F20" s="1140"/>
      <c r="G20" s="1140"/>
      <c r="H20" s="1140"/>
      <c r="I20" s="1140"/>
      <c r="J20" s="1140"/>
      <c r="K20" s="1140"/>
      <c r="L20" s="1140"/>
      <c r="M20" s="1140"/>
      <c r="N20" s="1140"/>
      <c r="O20" s="1140"/>
      <c r="P20" s="1141"/>
      <c r="Q20" s="1140"/>
      <c r="R20" s="1140"/>
      <c r="S20" s="1140"/>
      <c r="T20" s="1994"/>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92"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92"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93"/>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93"/>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93"/>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93"/>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93"/>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93"/>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93"/>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93"/>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93"/>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93"/>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93"/>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93"/>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93"/>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93"/>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93"/>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93"/>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93"/>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93"/>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94"/>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94"/>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92"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92"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95"/>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95"/>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93"/>
      <c r="C38" s="1203" t="s">
        <v>1884</v>
      </c>
      <c r="D38" s="1204" t="s">
        <v>126</v>
      </c>
      <c r="E38" s="1205" t="s">
        <v>128</v>
      </c>
      <c r="F38" s="1206" t="s">
        <v>1104</v>
      </c>
      <c r="G38" s="1169"/>
      <c r="H38" s="1169"/>
      <c r="I38" s="1169"/>
      <c r="J38" s="1169"/>
      <c r="K38" s="1169"/>
      <c r="L38" s="1169"/>
      <c r="M38" s="1169"/>
      <c r="N38" s="1169"/>
      <c r="O38" s="1169"/>
      <c r="P38" s="1169"/>
      <c r="Q38" s="1170"/>
      <c r="R38" s="1140"/>
      <c r="S38" s="1140"/>
      <c r="T38" s="1993"/>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93"/>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93"/>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94"/>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94"/>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92" t="s">
        <v>1858</v>
      </c>
      <c r="C41" s="1224" t="s">
        <v>1859</v>
      </c>
      <c r="D41" s="1225" t="s">
        <v>131</v>
      </c>
      <c r="E41" s="1225" t="s">
        <v>1860</v>
      </c>
      <c r="F41" s="1140"/>
      <c r="G41" s="1140"/>
      <c r="H41" s="1140"/>
      <c r="I41" s="1140"/>
      <c r="J41" s="1140"/>
      <c r="K41" s="1140"/>
      <c r="L41" s="1140"/>
      <c r="M41" s="1140"/>
      <c r="N41" s="1140"/>
      <c r="O41" s="1140"/>
      <c r="P41" s="1140"/>
      <c r="Q41" s="1141"/>
      <c r="R41" s="1140"/>
      <c r="S41" s="1140"/>
      <c r="T41" s="1992"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95"/>
      <c r="C42" s="1174" t="s">
        <v>1861</v>
      </c>
      <c r="D42" s="1174" t="s">
        <v>1862</v>
      </c>
      <c r="E42" s="1175"/>
      <c r="F42" s="1140"/>
      <c r="G42" s="1140"/>
      <c r="H42" s="1140"/>
      <c r="I42" s="1140"/>
      <c r="J42" s="1140"/>
      <c r="K42" s="1140"/>
      <c r="L42" s="1140"/>
      <c r="M42" s="1140"/>
      <c r="N42" s="1140"/>
      <c r="O42" s="1140"/>
      <c r="P42" s="1140"/>
      <c r="Q42" s="1141"/>
      <c r="R42" s="1140"/>
      <c r="S42" s="1140"/>
      <c r="T42" s="1995"/>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95"/>
      <c r="C43" s="1176" t="s">
        <v>1861</v>
      </c>
      <c r="D43" s="1176" t="s">
        <v>1863</v>
      </c>
      <c r="E43" s="1177" t="s">
        <v>1864</v>
      </c>
      <c r="F43" s="1140"/>
      <c r="G43" s="1140"/>
      <c r="H43" s="1140"/>
      <c r="I43" s="1140"/>
      <c r="J43" s="1140"/>
      <c r="K43" s="1140"/>
      <c r="L43" s="1140"/>
      <c r="M43" s="1140"/>
      <c r="N43" s="1140"/>
      <c r="O43" s="1140"/>
      <c r="P43" s="1140"/>
      <c r="Q43" s="1141"/>
      <c r="R43" s="1140"/>
      <c r="S43" s="1140"/>
      <c r="T43" s="1995"/>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95"/>
      <c r="C44" s="1176" t="s">
        <v>1861</v>
      </c>
      <c r="D44" s="1176" t="s">
        <v>1865</v>
      </c>
      <c r="E44" s="1177" t="s">
        <v>1699</v>
      </c>
      <c r="F44" s="1140"/>
      <c r="G44" s="1140"/>
      <c r="H44" s="1140"/>
      <c r="I44" s="1140"/>
      <c r="J44" s="1140"/>
      <c r="K44" s="1140"/>
      <c r="L44" s="1140"/>
      <c r="M44" s="1140"/>
      <c r="N44" s="1140"/>
      <c r="O44" s="1140"/>
      <c r="P44" s="1140"/>
      <c r="Q44" s="1141"/>
      <c r="R44" s="1140"/>
      <c r="S44" s="1140"/>
      <c r="T44" s="1995"/>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96"/>
      <c r="C45" s="1178" t="s">
        <v>1861</v>
      </c>
      <c r="D45" s="1178" t="s">
        <v>1866</v>
      </c>
      <c r="E45" s="1179" t="s">
        <v>1867</v>
      </c>
      <c r="F45" s="1140"/>
      <c r="G45" s="1140"/>
      <c r="H45" s="1140"/>
      <c r="I45" s="1140"/>
      <c r="J45" s="1140"/>
      <c r="K45" s="1140"/>
      <c r="L45" s="1140"/>
      <c r="M45" s="1140"/>
      <c r="N45" s="1140"/>
      <c r="O45" s="1140"/>
      <c r="P45" s="1140"/>
      <c r="Q45" s="1141"/>
      <c r="R45" s="1140"/>
      <c r="S45" s="1140"/>
      <c r="T45" s="1996"/>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92"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92"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93"/>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93"/>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93"/>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93"/>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93"/>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93"/>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93"/>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93"/>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93"/>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93"/>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93"/>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93"/>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93"/>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93"/>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93"/>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93"/>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93"/>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93"/>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94"/>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94"/>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92"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92"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95"/>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95"/>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93"/>
      <c r="C63" s="1203" t="s">
        <v>1884</v>
      </c>
      <c r="D63" s="1204" t="s">
        <v>126</v>
      </c>
      <c r="E63" s="1205" t="s">
        <v>128</v>
      </c>
      <c r="F63" s="1206" t="s">
        <v>1104</v>
      </c>
      <c r="G63" s="1169"/>
      <c r="H63" s="1169"/>
      <c r="I63" s="1169"/>
      <c r="J63" s="1169"/>
      <c r="K63" s="1169"/>
      <c r="L63" s="1169"/>
      <c r="M63" s="1169"/>
      <c r="N63" s="1169"/>
      <c r="O63" s="1169"/>
      <c r="P63" s="1169"/>
      <c r="Q63" s="1170"/>
      <c r="R63" s="1140"/>
      <c r="S63" s="1140"/>
      <c r="T63" s="1995"/>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93"/>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93"/>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93"/>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93"/>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93"/>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93"/>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93"/>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93"/>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93"/>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93"/>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94"/>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94"/>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92" t="s">
        <v>1858</v>
      </c>
      <c r="C70" s="1224" t="s">
        <v>1859</v>
      </c>
      <c r="D70" s="1225" t="s">
        <v>131</v>
      </c>
      <c r="E70" s="1225" t="s">
        <v>1860</v>
      </c>
      <c r="F70" s="1140"/>
      <c r="G70" s="1140"/>
      <c r="H70" s="1140"/>
      <c r="I70" s="1140"/>
      <c r="J70" s="1140"/>
      <c r="K70" s="1140"/>
      <c r="L70" s="1140"/>
      <c r="M70" s="1140"/>
      <c r="N70" s="1140"/>
      <c r="O70" s="1140"/>
      <c r="P70" s="1140"/>
      <c r="Q70" s="1141"/>
      <c r="R70" s="1140"/>
      <c r="S70" s="1140"/>
      <c r="T70" s="1992"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95"/>
      <c r="C71" s="1174" t="s">
        <v>1861</v>
      </c>
      <c r="D71" s="1174" t="s">
        <v>1862</v>
      </c>
      <c r="E71" s="1175"/>
      <c r="F71" s="1140"/>
      <c r="G71" s="1140"/>
      <c r="H71" s="1140"/>
      <c r="I71" s="1140"/>
      <c r="J71" s="1140"/>
      <c r="K71" s="1140"/>
      <c r="L71" s="1140"/>
      <c r="M71" s="1140"/>
      <c r="N71" s="1140"/>
      <c r="O71" s="1140"/>
      <c r="P71" s="1140"/>
      <c r="Q71" s="1141"/>
      <c r="R71" s="1140"/>
      <c r="S71" s="1140"/>
      <c r="T71" s="1995"/>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95"/>
      <c r="C72" s="1176" t="s">
        <v>1861</v>
      </c>
      <c r="D72" s="1176" t="s">
        <v>1863</v>
      </c>
      <c r="E72" s="1177" t="s">
        <v>1864</v>
      </c>
      <c r="F72" s="1140"/>
      <c r="G72" s="1140"/>
      <c r="H72" s="1140"/>
      <c r="I72" s="1140"/>
      <c r="J72" s="1140"/>
      <c r="K72" s="1140"/>
      <c r="L72" s="1140"/>
      <c r="M72" s="1140"/>
      <c r="N72" s="1140"/>
      <c r="O72" s="1140"/>
      <c r="P72" s="1140"/>
      <c r="Q72" s="1141"/>
      <c r="R72" s="1140"/>
      <c r="S72" s="1140"/>
      <c r="T72" s="1995"/>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95"/>
      <c r="C73" s="1176" t="s">
        <v>1861</v>
      </c>
      <c r="D73" s="1176" t="s">
        <v>1865</v>
      </c>
      <c r="E73" s="1177" t="s">
        <v>1699</v>
      </c>
      <c r="F73" s="1140"/>
      <c r="G73" s="1140"/>
      <c r="H73" s="1140"/>
      <c r="I73" s="1140"/>
      <c r="J73" s="1140"/>
      <c r="K73" s="1140"/>
      <c r="L73" s="1140"/>
      <c r="M73" s="1140"/>
      <c r="N73" s="1140"/>
      <c r="O73" s="1140"/>
      <c r="P73" s="1140"/>
      <c r="Q73" s="1141"/>
      <c r="R73" s="1140"/>
      <c r="S73" s="1140"/>
      <c r="T73" s="1995"/>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96"/>
      <c r="C74" s="1178" t="s">
        <v>1861</v>
      </c>
      <c r="D74" s="1178" t="s">
        <v>1866</v>
      </c>
      <c r="E74" s="1179" t="s">
        <v>1867</v>
      </c>
      <c r="F74" s="1140"/>
      <c r="G74" s="1140"/>
      <c r="H74" s="1140"/>
      <c r="I74" s="1140"/>
      <c r="J74" s="1140"/>
      <c r="K74" s="1140"/>
      <c r="L74" s="1140"/>
      <c r="M74" s="1140"/>
      <c r="N74" s="1140"/>
      <c r="O74" s="1140"/>
      <c r="P74" s="1140"/>
      <c r="Q74" s="1141"/>
      <c r="R74" s="1140"/>
      <c r="S74" s="1140"/>
      <c r="T74" s="1996"/>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92"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92"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93"/>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93"/>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93"/>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93"/>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93"/>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93"/>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93"/>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93"/>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93"/>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93"/>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93"/>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93"/>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93"/>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93"/>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93"/>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93"/>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93"/>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93"/>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94"/>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94"/>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92"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92"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95"/>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95"/>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93"/>
      <c r="C92" s="1203" t="s">
        <v>1884</v>
      </c>
      <c r="D92" s="1204" t="s">
        <v>126</v>
      </c>
      <c r="E92" s="1205" t="s">
        <v>128</v>
      </c>
      <c r="F92" s="1206" t="s">
        <v>1104</v>
      </c>
      <c r="G92" s="1169"/>
      <c r="H92" s="1169"/>
      <c r="I92" s="1169"/>
      <c r="J92" s="1169"/>
      <c r="K92" s="1169"/>
      <c r="L92" s="1169"/>
      <c r="M92" s="1169"/>
      <c r="N92" s="1169"/>
      <c r="O92" s="1169"/>
      <c r="P92" s="1169"/>
      <c r="Q92" s="1170"/>
      <c r="R92" s="1140"/>
      <c r="S92" s="1140"/>
      <c r="T92" s="1995"/>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93"/>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93"/>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93"/>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93"/>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92" t="s">
        <v>1858</v>
      </c>
      <c r="C95" s="1224" t="s">
        <v>1859</v>
      </c>
      <c r="D95" s="1225" t="s">
        <v>131</v>
      </c>
      <c r="E95" s="1225" t="s">
        <v>1860</v>
      </c>
      <c r="F95" s="1140"/>
      <c r="G95" s="1140"/>
      <c r="H95" s="1140"/>
      <c r="I95" s="1140"/>
      <c r="J95" s="1140"/>
      <c r="K95" s="1140"/>
      <c r="L95" s="1140"/>
      <c r="M95" s="1140"/>
      <c r="N95" s="1140"/>
      <c r="O95" s="1140"/>
      <c r="P95" s="1140"/>
      <c r="Q95" s="1141"/>
      <c r="R95" s="1140"/>
      <c r="S95" s="1140"/>
      <c r="T95" s="1992"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95"/>
      <c r="C96" s="1174" t="s">
        <v>1861</v>
      </c>
      <c r="D96" s="1174" t="s">
        <v>1862</v>
      </c>
      <c r="E96" s="1175"/>
      <c r="F96" s="1140"/>
      <c r="G96" s="1140"/>
      <c r="H96" s="1140"/>
      <c r="I96" s="1140"/>
      <c r="J96" s="1140"/>
      <c r="K96" s="1140"/>
      <c r="L96" s="1140"/>
      <c r="M96" s="1140"/>
      <c r="N96" s="1140"/>
      <c r="O96" s="1140"/>
      <c r="P96" s="1140"/>
      <c r="Q96" s="1141"/>
      <c r="R96" s="1140"/>
      <c r="S96" s="1140"/>
      <c r="T96" s="1995"/>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95"/>
      <c r="C97" s="1176" t="s">
        <v>1861</v>
      </c>
      <c r="D97" s="1176" t="s">
        <v>1863</v>
      </c>
      <c r="E97" s="1177" t="s">
        <v>1864</v>
      </c>
      <c r="F97" s="1140"/>
      <c r="G97" s="1140"/>
      <c r="H97" s="1140"/>
      <c r="I97" s="1140"/>
      <c r="J97" s="1140"/>
      <c r="K97" s="1140"/>
      <c r="L97" s="1140"/>
      <c r="M97" s="1140"/>
      <c r="N97" s="1140"/>
      <c r="O97" s="1140"/>
      <c r="P97" s="1140"/>
      <c r="Q97" s="1141"/>
      <c r="R97" s="1140"/>
      <c r="S97" s="1140"/>
      <c r="T97" s="1995"/>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95"/>
      <c r="C98" s="1176" t="s">
        <v>1861</v>
      </c>
      <c r="D98" s="1176" t="s">
        <v>1865</v>
      </c>
      <c r="E98" s="1177" t="s">
        <v>1699</v>
      </c>
      <c r="F98" s="1140"/>
      <c r="G98" s="1140"/>
      <c r="H98" s="1140"/>
      <c r="I98" s="1140"/>
      <c r="J98" s="1140"/>
      <c r="K98" s="1140"/>
      <c r="L98" s="1140"/>
      <c r="M98" s="1140"/>
      <c r="N98" s="1140"/>
      <c r="O98" s="1140"/>
      <c r="P98" s="1140"/>
      <c r="Q98" s="1141"/>
      <c r="R98" s="1140"/>
      <c r="S98" s="1140"/>
      <c r="T98" s="1995"/>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96"/>
      <c r="C99" s="1178" t="s">
        <v>1861</v>
      </c>
      <c r="D99" s="1178" t="s">
        <v>1866</v>
      </c>
      <c r="E99" s="1179" t="s">
        <v>1867</v>
      </c>
      <c r="F99" s="1140"/>
      <c r="G99" s="1140"/>
      <c r="H99" s="1140"/>
      <c r="I99" s="1140"/>
      <c r="J99" s="1140"/>
      <c r="K99" s="1140"/>
      <c r="L99" s="1140"/>
      <c r="M99" s="1140"/>
      <c r="N99" s="1140"/>
      <c r="O99" s="1140"/>
      <c r="P99" s="1140"/>
      <c r="Q99" s="1141"/>
      <c r="R99" s="1140"/>
      <c r="S99" s="1140"/>
      <c r="T99" s="1996"/>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92"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92"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93"/>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93"/>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93"/>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93"/>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93"/>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93"/>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93"/>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93"/>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93"/>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93"/>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93"/>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93"/>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93"/>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93"/>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93"/>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93"/>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93"/>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93"/>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94"/>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94"/>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92"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92"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95"/>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95"/>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93"/>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95"/>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93"/>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93"/>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93"/>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93"/>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93"/>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93"/>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93"/>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93"/>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93"/>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93"/>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94"/>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94"/>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92"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92"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95"/>
      <c r="C125" s="1174" t="s">
        <v>1861</v>
      </c>
      <c r="D125" s="1174" t="s">
        <v>1862</v>
      </c>
      <c r="E125" s="1175"/>
      <c r="F125" s="1140"/>
      <c r="G125" s="1140"/>
      <c r="H125" s="1140"/>
      <c r="I125" s="1140"/>
      <c r="J125" s="1140"/>
      <c r="K125" s="1140"/>
      <c r="L125" s="1140"/>
      <c r="M125" s="1140"/>
      <c r="N125" s="1140"/>
      <c r="O125" s="1140"/>
      <c r="P125" s="1140"/>
      <c r="Q125" s="1141"/>
      <c r="R125" s="1140"/>
      <c r="S125" s="1140"/>
      <c r="T125" s="1995"/>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95"/>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95"/>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95"/>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95"/>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96"/>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96"/>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92"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92"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93"/>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93"/>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93"/>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93"/>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93"/>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93"/>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93"/>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93"/>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93"/>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93"/>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93"/>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93"/>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93"/>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93"/>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93"/>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93"/>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93"/>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93"/>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94"/>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94"/>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97"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97"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98"/>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98"/>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99"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99"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93"/>
      <c r="C147" s="1174" t="s">
        <v>1861</v>
      </c>
      <c r="D147" s="1174" t="s">
        <v>1862</v>
      </c>
      <c r="E147" s="1175"/>
      <c r="F147" s="1140"/>
      <c r="G147" s="1140"/>
      <c r="H147" s="1140"/>
      <c r="I147" s="1140"/>
      <c r="J147" s="1140"/>
      <c r="K147" s="1140"/>
      <c r="L147" s="1140"/>
      <c r="M147" s="1140"/>
      <c r="N147" s="1140"/>
      <c r="O147" s="1140"/>
      <c r="P147" s="1141"/>
      <c r="Q147" s="1140"/>
      <c r="R147" s="1140"/>
      <c r="S147" s="1140"/>
      <c r="T147" s="1993"/>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93"/>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93"/>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93"/>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93"/>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94"/>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94"/>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92"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92"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93"/>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93"/>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93"/>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93"/>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93"/>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93"/>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93"/>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93"/>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93"/>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93"/>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93"/>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93"/>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93"/>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93"/>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93"/>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93"/>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93"/>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93"/>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94"/>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94"/>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92"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92"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95"/>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95"/>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93"/>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95"/>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93"/>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95"/>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94"/>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96"/>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92"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92"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95"/>
      <c r="C172" s="1174" t="s">
        <v>1861</v>
      </c>
      <c r="D172" s="1174" t="s">
        <v>1862</v>
      </c>
      <c r="E172" s="1175"/>
      <c r="F172" s="1140"/>
      <c r="G172" s="1140"/>
      <c r="H172" s="1140"/>
      <c r="I172" s="1140"/>
      <c r="J172" s="1140"/>
      <c r="K172" s="1140"/>
      <c r="L172" s="1140"/>
      <c r="M172" s="1140"/>
      <c r="N172" s="1140"/>
      <c r="O172" s="1140"/>
      <c r="P172" s="1140"/>
      <c r="Q172" s="1141"/>
      <c r="R172" s="1140"/>
      <c r="S172" s="1140"/>
      <c r="T172" s="1995"/>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95"/>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95"/>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95"/>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95"/>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96"/>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96"/>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92"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92"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93"/>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93"/>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93"/>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93"/>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93"/>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93"/>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93"/>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93"/>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93"/>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93"/>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93"/>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93"/>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93"/>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93"/>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93"/>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93"/>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93"/>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93"/>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94"/>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94"/>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92"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92"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95"/>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95"/>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93"/>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95"/>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93"/>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93"/>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93"/>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93"/>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93"/>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93"/>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93"/>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93"/>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93"/>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93"/>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94"/>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94"/>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92"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92"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95"/>
      <c r="C201" s="1174" t="s">
        <v>1861</v>
      </c>
      <c r="D201" s="1174" t="s">
        <v>1862</v>
      </c>
      <c r="E201" s="1175"/>
      <c r="F201" s="1140"/>
      <c r="G201" s="1140"/>
      <c r="H201" s="1140"/>
      <c r="I201" s="1140"/>
      <c r="J201" s="1140"/>
      <c r="K201" s="1140"/>
      <c r="L201" s="1140"/>
      <c r="M201" s="1140"/>
      <c r="N201" s="1140"/>
      <c r="O201" s="1140"/>
      <c r="P201" s="1140"/>
      <c r="Q201" s="1141"/>
      <c r="R201" s="1140"/>
      <c r="S201" s="1140"/>
      <c r="T201" s="1995"/>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95"/>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95"/>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95"/>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95"/>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96"/>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96"/>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92"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92"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93"/>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93"/>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93"/>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93"/>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93"/>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93"/>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93"/>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93"/>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93"/>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93"/>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93"/>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93"/>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93"/>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93"/>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93"/>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93"/>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93"/>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93"/>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94"/>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94"/>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92"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92"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92"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92"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92"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95"/>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95"/>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95"/>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95"/>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95"/>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93"/>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95"/>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95"/>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95"/>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95"/>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93"/>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95"/>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95"/>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95"/>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95"/>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94"/>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96"/>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96"/>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96"/>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96"/>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92"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92"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92"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92"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92"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95"/>
      <c r="C226" s="1174" t="s">
        <v>1861</v>
      </c>
      <c r="D226" s="1174" t="s">
        <v>1862</v>
      </c>
      <c r="E226" s="1175"/>
      <c r="F226" s="1140"/>
      <c r="G226" s="1140"/>
      <c r="H226" s="1140"/>
      <c r="I226" s="1140"/>
      <c r="J226" s="1140"/>
      <c r="K226" s="1140"/>
      <c r="L226" s="1140"/>
      <c r="M226" s="1140"/>
      <c r="N226" s="1140"/>
      <c r="O226" s="1140"/>
      <c r="P226" s="1140"/>
      <c r="Q226" s="1141"/>
      <c r="R226" s="1140"/>
      <c r="S226" s="1140"/>
      <c r="T226" s="1995"/>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95"/>
      <c r="AM226" s="1174" t="s">
        <v>1861</v>
      </c>
      <c r="AN226" s="1174" t="s">
        <v>1862</v>
      </c>
      <c r="AO226" s="1175"/>
      <c r="AP226" s="1140"/>
      <c r="AQ226" s="1140"/>
      <c r="AR226" s="1140"/>
      <c r="AS226" s="1140"/>
      <c r="AT226" s="1140"/>
      <c r="AU226" s="1140"/>
      <c r="AV226" s="1140"/>
      <c r="AW226" s="1140"/>
      <c r="AX226" s="1140"/>
      <c r="AY226" s="1140"/>
      <c r="AZ226" s="1140"/>
      <c r="BA226" s="1141"/>
      <c r="BB226" s="1140"/>
      <c r="BC226" s="1995"/>
      <c r="BD226" s="1174" t="s">
        <v>1861</v>
      </c>
      <c r="BE226" s="1174" t="s">
        <v>1862</v>
      </c>
      <c r="BF226" s="1175"/>
      <c r="BG226" s="1140"/>
      <c r="BH226" s="1140"/>
      <c r="BI226" s="1140"/>
      <c r="BJ226" s="1140"/>
      <c r="BK226" s="1140"/>
      <c r="BL226" s="1140"/>
      <c r="BM226" s="1140"/>
      <c r="BN226" s="1140"/>
      <c r="BO226" s="1140"/>
      <c r="BP226" s="1140"/>
      <c r="BQ226" s="1140"/>
      <c r="BR226" s="1141"/>
      <c r="BS226" s="1140"/>
      <c r="BT226" s="1995"/>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95"/>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95"/>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95"/>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95"/>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95"/>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95"/>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95"/>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95"/>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95"/>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95"/>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96"/>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96"/>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96"/>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96"/>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96"/>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92"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92"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92"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92"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92"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93"/>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93"/>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93"/>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93"/>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93"/>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93"/>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93"/>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93"/>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93"/>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93"/>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93"/>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93"/>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93"/>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93"/>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93"/>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93"/>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93"/>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93"/>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93"/>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93"/>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93"/>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93"/>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93"/>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93"/>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93"/>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93"/>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93"/>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93"/>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93"/>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93"/>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93"/>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93"/>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93"/>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93"/>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93"/>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93"/>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93"/>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93"/>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93"/>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93"/>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93"/>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93"/>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93"/>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93"/>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93"/>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94"/>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94"/>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94"/>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94"/>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94"/>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92"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95"/>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93"/>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93"/>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94"/>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92"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95"/>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95"/>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95"/>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95"/>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95"/>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96"/>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92"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93"/>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93"/>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93"/>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93"/>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93"/>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93"/>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93"/>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93"/>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93"/>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94"/>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92"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92"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95"/>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95"/>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92"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92"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93"/>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93"/>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93"/>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93"/>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93"/>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93"/>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93"/>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93"/>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93"/>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93"/>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93"/>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93"/>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93"/>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93"/>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93"/>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93"/>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93"/>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93"/>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94"/>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94"/>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92"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95"/>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92"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93"/>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93"/>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93"/>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93"/>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93"/>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93"/>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93"/>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93"/>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93"/>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94"/>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97"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98"/>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92"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93"/>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93"/>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93"/>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93"/>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93"/>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93"/>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93"/>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93"/>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93"/>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94"/>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92"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96"/>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92"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93"/>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93"/>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93"/>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93"/>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93"/>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93"/>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93"/>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93"/>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93"/>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94"/>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92"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96"/>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92"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96"/>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92"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93"/>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93"/>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93"/>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93"/>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93"/>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93"/>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93"/>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93"/>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93"/>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94"/>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92"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96"/>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92"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92"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96"/>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96"/>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92"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92"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93"/>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93"/>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93"/>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93"/>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93"/>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93"/>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93"/>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93"/>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93"/>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93"/>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93"/>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93"/>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93"/>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93"/>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93"/>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93"/>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93"/>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93"/>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94"/>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94"/>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92"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92"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2012"/>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2012"/>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2012"/>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2012"/>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2012"/>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2012"/>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2012"/>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2012"/>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93"/>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93"/>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92"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92"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93"/>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93"/>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93"/>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93"/>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93"/>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93"/>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93"/>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93"/>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93"/>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93"/>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93"/>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93"/>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93"/>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93"/>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93"/>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93"/>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93"/>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93"/>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94"/>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94"/>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92"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92"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2012"/>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2012"/>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2012"/>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2012"/>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2012"/>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2012"/>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2012"/>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2012"/>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93"/>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93"/>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92"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92"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93"/>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93"/>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93"/>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93"/>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93"/>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93"/>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93"/>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93"/>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93"/>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93"/>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93"/>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93"/>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93"/>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93"/>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93"/>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93"/>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93"/>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93"/>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94"/>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94"/>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51" t="s">
        <v>715</v>
      </c>
      <c r="C2" s="2052"/>
      <c r="D2" s="2052"/>
      <c r="E2" s="2052"/>
      <c r="F2" s="2052"/>
      <c r="G2" s="2052"/>
      <c r="H2" s="2052"/>
      <c r="I2" s="2052"/>
      <c r="J2" s="2052"/>
      <c r="K2" s="2052"/>
      <c r="L2" s="2052"/>
      <c r="M2" s="2052"/>
      <c r="N2" s="2052"/>
      <c r="O2" s="2052"/>
      <c r="P2" s="2052"/>
      <c r="Q2" s="2052"/>
      <c r="R2" s="2052"/>
      <c r="S2" s="2052"/>
      <c r="T2" s="2052"/>
      <c r="U2" s="2052"/>
      <c r="V2" s="2052"/>
      <c r="W2" s="2052"/>
      <c r="X2" s="2052"/>
      <c r="Y2" s="2052"/>
      <c r="Z2" s="2052"/>
      <c r="AA2" s="2052"/>
      <c r="AB2" s="2052"/>
      <c r="AC2" s="2052"/>
      <c r="AD2" s="2052"/>
      <c r="AE2" s="2052"/>
      <c r="AF2" s="2052"/>
      <c r="AG2" s="2052"/>
      <c r="AH2" s="2052"/>
      <c r="AI2" s="2052"/>
      <c r="AJ2" s="2052"/>
      <c r="AK2" s="2052"/>
      <c r="AL2" s="2052"/>
      <c r="AM2" s="2052"/>
      <c r="AN2" s="2052"/>
      <c r="AO2" s="2052"/>
      <c r="AP2" s="2052"/>
      <c r="AQ2" s="2052"/>
      <c r="AR2" s="2052"/>
      <c r="AS2" s="2052"/>
      <c r="AT2" s="2052"/>
      <c r="AU2" s="2052"/>
      <c r="AV2" s="2052"/>
      <c r="AW2" s="2052"/>
      <c r="AX2" s="2052"/>
      <c r="AY2" s="2052"/>
      <c r="AZ2" s="2052"/>
      <c r="BA2" s="2052"/>
      <c r="BB2" s="2052"/>
      <c r="BC2" s="2052"/>
      <c r="BD2" s="2052"/>
      <c r="BE2" s="2052"/>
      <c r="BF2" s="2053"/>
    </row>
    <row r="3" spans="2:68" x14ac:dyDescent="0.25">
      <c r="B3" s="2054"/>
      <c r="C3" s="2055"/>
      <c r="D3" s="2055"/>
      <c r="E3" s="2055"/>
      <c r="F3" s="2055"/>
      <c r="G3" s="2055"/>
      <c r="H3" s="2055"/>
      <c r="I3" s="2055"/>
      <c r="J3" s="2055"/>
      <c r="K3" s="2055"/>
      <c r="L3" s="2055"/>
      <c r="M3" s="2055"/>
      <c r="N3" s="2055"/>
      <c r="O3" s="2055"/>
      <c r="P3" s="2055"/>
      <c r="Q3" s="2055"/>
      <c r="R3" s="2055"/>
      <c r="S3" s="2055"/>
      <c r="T3" s="2055"/>
      <c r="U3" s="2055"/>
      <c r="V3" s="2055"/>
      <c r="W3" s="2055"/>
      <c r="X3" s="2055"/>
      <c r="Y3" s="2055"/>
      <c r="Z3" s="2055"/>
      <c r="AA3" s="2055"/>
      <c r="AB3" s="2055"/>
      <c r="AC3" s="2055"/>
      <c r="AD3" s="2055"/>
      <c r="AE3" s="2055"/>
      <c r="AF3" s="2055"/>
      <c r="AG3" s="2055"/>
      <c r="AH3" s="2055"/>
      <c r="AI3" s="2055"/>
      <c r="AJ3" s="2055"/>
      <c r="AK3" s="2055"/>
      <c r="AL3" s="2055"/>
      <c r="AM3" s="2055"/>
      <c r="AN3" s="2055"/>
      <c r="AO3" s="2055"/>
      <c r="AP3" s="2055"/>
      <c r="AQ3" s="2055"/>
      <c r="AR3" s="2055"/>
      <c r="AS3" s="2055"/>
      <c r="AT3" s="2055"/>
      <c r="AU3" s="2055"/>
      <c r="AV3" s="2055"/>
      <c r="AW3" s="2055"/>
      <c r="AX3" s="2055"/>
      <c r="AY3" s="2055"/>
      <c r="AZ3" s="2055"/>
      <c r="BA3" s="2055"/>
      <c r="BB3" s="2055"/>
      <c r="BC3" s="2055"/>
      <c r="BD3" s="2055"/>
      <c r="BE3" s="2055"/>
      <c r="BF3" s="205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13" t="s">
        <v>644</v>
      </c>
      <c r="C8" s="2014"/>
      <c r="D8" s="2014"/>
      <c r="E8" s="2014"/>
      <c r="F8" s="2014"/>
      <c r="G8" s="2014"/>
      <c r="H8" s="2014"/>
      <c r="I8" s="2014"/>
      <c r="J8" s="2014"/>
      <c r="K8" s="2014"/>
      <c r="L8" s="2014"/>
      <c r="M8" s="2014"/>
      <c r="N8" s="2014"/>
      <c r="O8" s="2014"/>
      <c r="P8" s="2014"/>
      <c r="Q8" s="2014"/>
      <c r="R8" s="2014"/>
      <c r="S8" s="2014"/>
      <c r="T8" s="2014"/>
      <c r="U8" s="2014"/>
      <c r="V8" s="2014"/>
      <c r="W8" s="2014"/>
      <c r="X8" s="2014"/>
      <c r="Y8" s="2014"/>
      <c r="Z8" s="2014"/>
      <c r="AA8" s="2014"/>
      <c r="AB8" s="2014"/>
      <c r="AC8" s="2014"/>
      <c r="AD8" s="2014"/>
      <c r="AE8" s="2014"/>
      <c r="AF8" s="2014"/>
      <c r="AG8" s="2014"/>
      <c r="AH8" s="2014"/>
      <c r="AI8" s="2014"/>
      <c r="AJ8" s="2014"/>
      <c r="AK8" s="2014"/>
      <c r="AL8" s="2014"/>
      <c r="AM8" s="2014"/>
      <c r="AN8" s="2014"/>
      <c r="AO8" s="2014"/>
      <c r="AP8" s="2014"/>
      <c r="AQ8" s="2014"/>
      <c r="AR8" s="2014"/>
      <c r="AS8" s="2014"/>
      <c r="AT8" s="2014"/>
      <c r="AU8" s="2014"/>
      <c r="AV8" s="2014"/>
      <c r="AW8" s="2014"/>
      <c r="AX8" s="2014"/>
      <c r="AY8" s="2014"/>
      <c r="AZ8" s="2014"/>
      <c r="BA8" s="2014"/>
      <c r="BB8" s="2014"/>
      <c r="BC8" s="2014"/>
      <c r="BD8" s="2014"/>
      <c r="BE8" s="2014"/>
      <c r="BF8" s="201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70" t="s">
        <v>840</v>
      </c>
      <c r="C10" s="1986"/>
      <c r="D10" s="1986"/>
      <c r="E10" s="1986"/>
      <c r="F10" s="1986"/>
      <c r="G10" s="1986"/>
      <c r="H10" s="1986"/>
      <c r="I10" s="1986"/>
      <c r="J10" s="1986"/>
      <c r="K10" s="2061">
        <f>'Tracking &amp; Profitability'!$H$5</f>
        <v>0</v>
      </c>
      <c r="L10" s="2061"/>
      <c r="M10" s="2061"/>
      <c r="N10" s="2061"/>
      <c r="O10" s="2061"/>
      <c r="P10" s="2061"/>
      <c r="Q10" s="2061"/>
      <c r="R10" s="2061"/>
      <c r="S10" s="2061"/>
      <c r="T10" s="2061"/>
      <c r="U10" s="2061"/>
      <c r="V10" s="2061"/>
      <c r="W10" s="2061"/>
      <c r="X10" s="2061"/>
      <c r="Y10" s="2061"/>
      <c r="Z10" s="2061"/>
      <c r="AA10" s="2061"/>
      <c r="AB10" s="2061"/>
      <c r="AC10" s="2061"/>
      <c r="AD10" s="2061"/>
      <c r="AE10" s="2061"/>
      <c r="AI10" s="1986" t="s">
        <v>714</v>
      </c>
      <c r="AJ10" s="1986"/>
      <c r="AK10" s="1986"/>
      <c r="AL10" s="1986"/>
      <c r="AM10" s="1986"/>
      <c r="AN10" s="1986"/>
      <c r="AO10" s="1986"/>
      <c r="AP10" s="1986"/>
      <c r="AQ10" s="1986"/>
      <c r="AR10" s="1986"/>
      <c r="AT10" s="2069"/>
      <c r="AU10" s="2069"/>
      <c r="AV10" s="2069"/>
      <c r="AW10" s="2069"/>
      <c r="AX10" s="2069"/>
      <c r="AY10" s="2069"/>
      <c r="AZ10" s="2069"/>
      <c r="BA10" s="2069"/>
      <c r="BB10" s="2069"/>
      <c r="BC10" s="2069"/>
      <c r="BD10" s="2069"/>
      <c r="BF10" s="138"/>
    </row>
    <row r="11" spans="2:68" x14ac:dyDescent="0.25">
      <c r="B11" s="137"/>
      <c r="AL11" s="2"/>
      <c r="AM11" s="2"/>
      <c r="AN11" s="2"/>
      <c r="AO11" s="2"/>
      <c r="AP11" s="2"/>
      <c r="AQ11" s="2"/>
      <c r="AR11" s="2"/>
      <c r="AS11" s="2"/>
      <c r="AT11" s="2"/>
      <c r="AU11" s="2"/>
      <c r="AV11" s="2"/>
      <c r="BF11" s="138"/>
    </row>
    <row r="12" spans="2:68" x14ac:dyDescent="0.25">
      <c r="B12" s="2063" t="s">
        <v>841</v>
      </c>
      <c r="C12" s="2060"/>
      <c r="D12" s="2060"/>
      <c r="E12" s="2060"/>
      <c r="F12" s="2060"/>
      <c r="G12" s="2060"/>
      <c r="H12" s="2060"/>
      <c r="I12" s="2060"/>
      <c r="J12" s="2060"/>
      <c r="K12" s="2072">
        <f>'Required Info to Submit'!$F$4</f>
        <v>0</v>
      </c>
      <c r="L12" s="2072"/>
      <c r="M12" s="2072"/>
      <c r="N12" s="2072"/>
      <c r="O12" s="2072"/>
      <c r="P12" s="2072"/>
      <c r="Q12" s="2072"/>
      <c r="R12" s="2072"/>
      <c r="S12" s="2072"/>
      <c r="T12" s="2072"/>
      <c r="U12" s="2072"/>
      <c r="V12" s="2072"/>
      <c r="W12" s="2072"/>
      <c r="X12" s="2072"/>
      <c r="Y12" s="2072"/>
      <c r="Z12" s="2072"/>
      <c r="AA12" s="2072"/>
      <c r="AB12" s="2072"/>
      <c r="AC12" s="2072"/>
      <c r="AD12" s="2072"/>
      <c r="AE12" s="207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63" t="s">
        <v>852</v>
      </c>
      <c r="C14" s="2060"/>
      <c r="D14" s="2060"/>
      <c r="E14" s="2060"/>
      <c r="F14" s="2060"/>
      <c r="G14" s="2060"/>
      <c r="H14" s="2060"/>
      <c r="I14" s="2060"/>
      <c r="J14" s="2060"/>
      <c r="K14" s="2060"/>
      <c r="L14" s="2060"/>
      <c r="M14" s="2060"/>
      <c r="N14" s="2060"/>
      <c r="O14" s="2060"/>
      <c r="P14" s="2060"/>
      <c r="Q14" s="2060"/>
      <c r="R14" s="2062">
        <f>'Required Info to Submit'!$F$6</f>
        <v>0</v>
      </c>
      <c r="S14" s="2062"/>
      <c r="T14" s="2062"/>
      <c r="U14" s="2062"/>
      <c r="V14" s="2062"/>
      <c r="W14" s="2062"/>
      <c r="X14" s="2062"/>
      <c r="Y14" s="2062"/>
      <c r="Z14" s="2062"/>
      <c r="AA14" s="2062"/>
      <c r="AB14" s="2062"/>
      <c r="AC14" s="2062"/>
      <c r="AD14" s="2062"/>
      <c r="AE14" s="2062"/>
      <c r="AF14" s="2062"/>
      <c r="AG14" s="2062"/>
      <c r="AH14" s="2062"/>
      <c r="AI14" s="2062"/>
      <c r="AJ14" s="2062"/>
      <c r="AK14" s="2062"/>
      <c r="AL14" s="2062"/>
      <c r="AM14" s="2062"/>
      <c r="AN14" s="2062"/>
      <c r="AO14" s="2062"/>
      <c r="AP14" s="2062"/>
      <c r="AQ14" s="2062"/>
      <c r="AR14" s="2062"/>
      <c r="AS14" s="2062"/>
      <c r="AT14" s="2062"/>
      <c r="AU14" s="2062"/>
      <c r="AV14" s="2062"/>
      <c r="AW14" s="2062"/>
      <c r="AX14" s="2062"/>
      <c r="AY14" s="2062"/>
      <c r="AZ14" s="2062"/>
      <c r="BA14" s="2062"/>
      <c r="BB14" s="2062"/>
      <c r="BC14" s="2062"/>
      <c r="BD14" s="2062"/>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63" t="s">
        <v>713</v>
      </c>
      <c r="C16" s="2060"/>
      <c r="D16" s="2060"/>
      <c r="E16" s="2060"/>
      <c r="F16" s="2060"/>
      <c r="G16" s="2060"/>
      <c r="H16" s="2060"/>
      <c r="I16" s="2060"/>
      <c r="J16" s="2060"/>
      <c r="K16" s="2060"/>
      <c r="L16" s="2060"/>
      <c r="M16" s="2060"/>
      <c r="N16" s="2060"/>
      <c r="O16" s="2060"/>
      <c r="P16" s="2060"/>
      <c r="Q16" s="2060"/>
      <c r="R16" s="2072" t="s">
        <v>239</v>
      </c>
      <c r="S16" s="2072"/>
      <c r="T16" s="2055" t="s">
        <v>645</v>
      </c>
      <c r="U16" s="2055"/>
      <c r="V16" s="2055"/>
      <c r="W16" s="2055"/>
      <c r="X16" s="2055"/>
      <c r="Y16" s="2055"/>
      <c r="Z16" s="2055"/>
      <c r="AA16" s="2055"/>
      <c r="AB16" s="2055"/>
      <c r="AC16" s="2055"/>
      <c r="AD16" s="2055"/>
      <c r="AE16" s="2055"/>
      <c r="AF16" s="2055"/>
      <c r="AG16" s="2055"/>
      <c r="AH16" s="2055"/>
      <c r="AI16" s="2055"/>
      <c r="AJ16" s="2055"/>
      <c r="AK16" s="2055"/>
      <c r="AL16" s="2055"/>
      <c r="AO16" s="2055"/>
      <c r="AP16" s="2055"/>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64" t="s">
        <v>834</v>
      </c>
      <c r="C18" s="2065"/>
      <c r="D18" s="2065"/>
      <c r="E18" s="2065"/>
      <c r="F18" s="2065"/>
      <c r="G18" s="2065"/>
      <c r="H18" s="2065"/>
      <c r="I18" s="2065"/>
      <c r="J18" s="2065"/>
      <c r="K18" s="2065"/>
      <c r="L18" s="2065"/>
      <c r="M18" s="2065"/>
      <c r="N18" s="2065"/>
      <c r="O18" s="2065"/>
      <c r="P18" s="2065"/>
      <c r="Q18" s="2065"/>
      <c r="R18" s="2061">
        <f>'Required Info to Submit'!$F$8</f>
        <v>0</v>
      </c>
      <c r="S18" s="2061"/>
      <c r="T18" s="2061"/>
      <c r="U18" s="2061"/>
      <c r="V18" s="2061"/>
      <c r="W18" s="2061"/>
      <c r="X18" s="2061"/>
      <c r="Y18" s="2061"/>
      <c r="Z18" s="2061"/>
      <c r="AA18" s="2061"/>
      <c r="AB18" s="2061"/>
      <c r="AC18" s="2061"/>
      <c r="AD18" s="2061"/>
      <c r="AE18" s="2061"/>
      <c r="AF18" s="2061"/>
      <c r="AG18" s="2061"/>
      <c r="AH18" s="2061"/>
      <c r="AI18" s="2061"/>
      <c r="AJ18" s="2061"/>
      <c r="AK18" s="2061"/>
      <c r="AL18" s="2061"/>
      <c r="AN18" s="2060" t="s">
        <v>836</v>
      </c>
      <c r="AO18" s="2060"/>
      <c r="AP18" s="2060"/>
      <c r="AQ18" s="2060"/>
      <c r="AR18" s="2060"/>
      <c r="AS18" s="2060"/>
      <c r="AT18" s="2060"/>
      <c r="AU18" s="2060"/>
      <c r="AV18" s="2061">
        <f>'Required Info to Submit'!F10</f>
        <v>0</v>
      </c>
      <c r="AW18" s="2061"/>
      <c r="AX18" s="2061"/>
      <c r="AY18" s="2061"/>
      <c r="AZ18" s="2061"/>
      <c r="BA18" s="2061"/>
      <c r="BB18" s="2061"/>
      <c r="BC18" s="2061"/>
      <c r="BD18" s="2061"/>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63" t="s">
        <v>835</v>
      </c>
      <c r="C20" s="2060"/>
      <c r="D20" s="2060"/>
      <c r="E20" s="2060"/>
      <c r="F20" s="2060"/>
      <c r="G20" s="2060"/>
      <c r="H20" s="2060"/>
      <c r="I20" s="2060"/>
      <c r="J20" s="2060"/>
      <c r="K20" s="2060"/>
      <c r="L20" s="2060"/>
      <c r="M20" s="2060"/>
      <c r="N20" s="2060"/>
      <c r="O20" s="2060"/>
      <c r="P20" s="2060"/>
      <c r="Q20" s="2060"/>
      <c r="R20" s="2061">
        <f>'Required Info to Submit'!F9</f>
        <v>0</v>
      </c>
      <c r="S20" s="2061"/>
      <c r="T20" s="2061"/>
      <c r="U20" s="2061"/>
      <c r="V20" s="2061"/>
      <c r="W20" s="2061"/>
      <c r="X20" s="2061"/>
      <c r="Y20" s="2061"/>
      <c r="Z20" s="2061"/>
      <c r="AA20" s="2061"/>
      <c r="AB20" s="2061"/>
      <c r="AC20" s="2061"/>
      <c r="AD20" s="2061"/>
      <c r="AE20" s="2061"/>
      <c r="AF20" s="2061"/>
      <c r="AG20" s="2061"/>
      <c r="AH20" s="2061"/>
      <c r="AI20" s="2061"/>
      <c r="AJ20" s="2061"/>
      <c r="AK20" s="2061"/>
      <c r="AL20" s="2061"/>
      <c r="AN20" s="2060" t="s">
        <v>798</v>
      </c>
      <c r="AO20" s="2060"/>
      <c r="AP20" s="2060"/>
      <c r="AQ20" s="2060"/>
      <c r="AR20" s="2060"/>
      <c r="AS20" s="2060"/>
      <c r="AT20" s="2060"/>
      <c r="AU20" s="2060"/>
      <c r="AV20" s="2061">
        <f>'Required Info to Submit'!F11</f>
        <v>0</v>
      </c>
      <c r="AW20" s="2061"/>
      <c r="AX20" s="2061"/>
      <c r="AY20" s="2061"/>
      <c r="AZ20" s="2061"/>
      <c r="BA20" s="2061"/>
      <c r="BB20" s="2061"/>
      <c r="BC20" s="2061"/>
      <c r="BD20" s="2061"/>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63" t="s">
        <v>837</v>
      </c>
      <c r="C22" s="2060"/>
      <c r="D22" s="2060"/>
      <c r="E22" s="2060"/>
      <c r="F22" s="2060"/>
      <c r="G22" s="2060"/>
      <c r="H22" s="2060"/>
      <c r="I22" s="2060"/>
      <c r="J22" s="2060"/>
      <c r="K22" s="2060"/>
      <c r="L22" s="2060"/>
      <c r="M22" s="2060"/>
      <c r="N22" s="2060"/>
      <c r="O22" s="2060"/>
      <c r="P22" s="2060"/>
      <c r="Q22" s="2060"/>
      <c r="R22" s="2061">
        <f>'Required Info to Submit'!F12</f>
        <v>0</v>
      </c>
      <c r="S22" s="2061"/>
      <c r="T22" s="2061"/>
      <c r="U22" s="2061"/>
      <c r="V22" s="2061"/>
      <c r="W22" s="2061"/>
      <c r="X22" s="2061"/>
      <c r="Y22" s="2061"/>
      <c r="Z22" s="2061"/>
      <c r="AA22" s="2061"/>
      <c r="AB22" s="2061"/>
      <c r="AC22" s="2061"/>
      <c r="AD22" s="2061"/>
      <c r="AE22" s="2061"/>
      <c r="AF22" s="2061"/>
      <c r="AG22" s="2061"/>
      <c r="AH22" s="2061"/>
      <c r="AI22" s="2061"/>
      <c r="AJ22" s="2061"/>
      <c r="AK22" s="2061"/>
      <c r="AL22" s="2061"/>
      <c r="AN22" s="2060"/>
      <c r="AO22" s="2060"/>
      <c r="AP22" s="2060"/>
      <c r="AQ22" s="2060"/>
      <c r="AR22" s="2060"/>
      <c r="AS22" s="2060"/>
      <c r="AT22" s="2060"/>
      <c r="AU22" s="2060"/>
      <c r="AV22" s="2067"/>
      <c r="AW22" s="2067"/>
      <c r="AX22" s="2067"/>
      <c r="AY22" s="2067"/>
      <c r="AZ22" s="2067"/>
      <c r="BA22" s="2067"/>
      <c r="BB22" s="2067"/>
      <c r="BC22" s="2067"/>
      <c r="BD22" s="2067"/>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63" t="s">
        <v>838</v>
      </c>
      <c r="C24" s="2060"/>
      <c r="D24" s="2060"/>
      <c r="E24" s="2060"/>
      <c r="F24" s="2060"/>
      <c r="G24" s="2060"/>
      <c r="H24" s="2060"/>
      <c r="I24" s="2060"/>
      <c r="J24" s="2060"/>
      <c r="K24" s="2060"/>
      <c r="L24" s="2060"/>
      <c r="M24" s="2060"/>
      <c r="N24" s="2060"/>
      <c r="O24" s="2060"/>
      <c r="P24" s="2060"/>
      <c r="Q24" s="2060"/>
      <c r="R24" s="2073">
        <f>'Required Info to Submit'!$F$14</f>
        <v>0</v>
      </c>
      <c r="S24" s="2073"/>
      <c r="T24" s="2073"/>
      <c r="U24" s="2073"/>
      <c r="V24" s="2073"/>
      <c r="W24" s="2073"/>
      <c r="X24" s="2073"/>
      <c r="Y24" s="2073"/>
      <c r="Z24" s="2073"/>
      <c r="AA24" s="2073"/>
      <c r="AB24" s="2073"/>
      <c r="AC24" s="2073"/>
      <c r="AN24" s="1986" t="s">
        <v>842</v>
      </c>
      <c r="AO24" s="1986"/>
      <c r="AP24" s="1986"/>
      <c r="AQ24" s="1986"/>
      <c r="AR24" s="1986"/>
      <c r="AS24" s="1986"/>
      <c r="AT24" s="1986"/>
      <c r="AU24" s="1986"/>
      <c r="AV24" s="2068" t="str">
        <f>IF('Required Info to Submit'!$F$17&lt;&gt;"",'Required Info to Submit'!$F$17,"")</f>
        <v/>
      </c>
      <c r="AW24" s="2068"/>
      <c r="AX24" s="2068"/>
      <c r="AY24" s="2068"/>
      <c r="AZ24" s="2068"/>
      <c r="BA24" s="2068"/>
      <c r="BB24" s="2068"/>
      <c r="BC24" s="2068"/>
      <c r="BD24" s="2068"/>
      <c r="BF24" s="138"/>
    </row>
    <row r="25" spans="2:68" ht="17.25" x14ac:dyDescent="0.25">
      <c r="B25" s="137"/>
      <c r="C25" s="263"/>
      <c r="D25" s="263"/>
      <c r="E25" s="263"/>
      <c r="F25" s="263"/>
      <c r="G25" s="263"/>
      <c r="H25" s="2066" t="s">
        <v>712</v>
      </c>
      <c r="I25" s="2066"/>
      <c r="J25" s="2066"/>
      <c r="K25" s="2066"/>
      <c r="L25" s="2066"/>
      <c r="M25" s="2066"/>
      <c r="N25" s="2066"/>
      <c r="O25" s="2066"/>
      <c r="P25" s="2066"/>
      <c r="Q25" s="263"/>
      <c r="AN25" s="2066" t="s">
        <v>711</v>
      </c>
      <c r="AO25" s="2066"/>
      <c r="AP25" s="2066"/>
      <c r="AQ25" s="2066"/>
      <c r="AR25" s="2066"/>
      <c r="AS25" s="2066"/>
      <c r="AT25" s="2066"/>
      <c r="BF25" s="138"/>
    </row>
    <row r="26" spans="2:68" ht="18.75" x14ac:dyDescent="0.3">
      <c r="B26" s="2013" t="s">
        <v>649</v>
      </c>
      <c r="C26" s="2014"/>
      <c r="D26" s="2014"/>
      <c r="E26" s="2014"/>
      <c r="F26" s="2014"/>
      <c r="G26" s="2014"/>
      <c r="H26" s="2014"/>
      <c r="I26" s="2014"/>
      <c r="J26" s="2014"/>
      <c r="K26" s="2014"/>
      <c r="L26" s="2014"/>
      <c r="M26" s="2014"/>
      <c r="N26" s="2014"/>
      <c r="O26" s="2014"/>
      <c r="P26" s="2014"/>
      <c r="Q26" s="2014"/>
      <c r="R26" s="2014"/>
      <c r="S26" s="2014"/>
      <c r="T26" s="2014"/>
      <c r="U26" s="2014"/>
      <c r="V26" s="2014"/>
      <c r="W26" s="2014"/>
      <c r="X26" s="2014"/>
      <c r="Y26" s="2014"/>
      <c r="Z26" s="2014"/>
      <c r="AA26" s="2014"/>
      <c r="AB26" s="2014"/>
      <c r="AC26" s="2014"/>
      <c r="AD26" s="2014"/>
      <c r="AE26" s="2014"/>
      <c r="AF26" s="2014"/>
      <c r="AG26" s="2014"/>
      <c r="AH26" s="2014"/>
      <c r="AI26" s="2014"/>
      <c r="AJ26" s="2014"/>
      <c r="AK26" s="2014"/>
      <c r="AL26" s="2014"/>
      <c r="AM26" s="2014"/>
      <c r="AN26" s="2014"/>
      <c r="AO26" s="2014"/>
      <c r="AP26" s="2014"/>
      <c r="AQ26" s="2014"/>
      <c r="AR26" s="2014"/>
      <c r="AS26" s="2014"/>
      <c r="AT26" s="2014"/>
      <c r="AU26" s="2014"/>
      <c r="AV26" s="2014"/>
      <c r="AW26" s="2014"/>
      <c r="AX26" s="2014"/>
      <c r="AY26" s="2014"/>
      <c r="AZ26" s="2014"/>
      <c r="BA26" s="2014"/>
      <c r="BB26" s="2014"/>
      <c r="BC26" s="2014"/>
      <c r="BD26" s="2014"/>
      <c r="BE26" s="2014"/>
      <c r="BF26" s="201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77" t="s">
        <v>650</v>
      </c>
      <c r="C28" s="2078"/>
      <c r="D28" s="2078"/>
      <c r="E28" s="2078"/>
      <c r="F28" s="2078"/>
      <c r="G28" s="2078"/>
      <c r="H28" s="2078"/>
      <c r="I28" s="2078"/>
      <c r="J28" s="2078"/>
      <c r="K28" s="2078"/>
      <c r="L28" s="2078"/>
      <c r="M28" s="2078"/>
      <c r="N28" s="2078"/>
      <c r="O28" s="2078"/>
      <c r="P28" s="2078"/>
      <c r="Q28" s="2078"/>
      <c r="T28" s="2074">
        <f>'Tracking &amp; Profitability'!$E$6</f>
        <v>0</v>
      </c>
      <c r="U28" s="2074"/>
      <c r="V28" s="2074"/>
      <c r="W28" s="2074"/>
      <c r="X28" s="2074"/>
      <c r="Y28" s="2074"/>
      <c r="Z28" s="2074"/>
      <c r="AA28" s="2074"/>
      <c r="AB28" s="2074"/>
      <c r="AF28" t="s">
        <v>710</v>
      </c>
      <c r="AO28" s="2072">
        <f>Welcome!$D$30</f>
        <v>0</v>
      </c>
      <c r="AP28" s="2072"/>
      <c r="AQ28" s="2072"/>
      <c r="AR28" s="2055" t="s">
        <v>651</v>
      </c>
      <c r="AS28" s="2055"/>
      <c r="AU28" s="2072">
        <f>Welcome!$E$30</f>
        <v>0</v>
      </c>
      <c r="AV28" s="2072"/>
      <c r="AW28" s="2072"/>
      <c r="AX28" s="2055" t="s">
        <v>709</v>
      </c>
      <c r="AY28" s="2055"/>
      <c r="BA28" s="2072">
        <f>Welcome!$F$30</f>
        <v>0</v>
      </c>
      <c r="BB28" s="2072"/>
      <c r="BC28" s="2072"/>
      <c r="BD28" s="2055" t="s">
        <v>652</v>
      </c>
      <c r="BE28" s="2055"/>
      <c r="BF28" s="138"/>
    </row>
    <row r="29" spans="2:68" ht="17.25" x14ac:dyDescent="0.25">
      <c r="B29" s="137"/>
      <c r="T29" s="134"/>
      <c r="U29" s="134"/>
      <c r="V29" s="134"/>
      <c r="W29" s="134"/>
      <c r="X29" s="134"/>
      <c r="Y29" s="134"/>
      <c r="Z29" s="134"/>
      <c r="AA29" s="134"/>
      <c r="AB29" s="134"/>
      <c r="AF29" s="2066" t="s">
        <v>708</v>
      </c>
      <c r="AG29" s="2066"/>
      <c r="AH29" s="2066"/>
      <c r="AI29" s="2066"/>
      <c r="AJ29" s="2066"/>
      <c r="AK29" s="2066"/>
      <c r="AL29" s="2066"/>
      <c r="AM29" s="2066"/>
      <c r="AN29" s="2066"/>
      <c r="AO29" s="2066"/>
      <c r="AP29" s="2066"/>
      <c r="AQ29" s="2066"/>
      <c r="AR29" s="2066"/>
      <c r="AS29" s="2066"/>
      <c r="AT29" s="2066"/>
      <c r="AU29" s="2066"/>
      <c r="AV29" s="2066"/>
      <c r="AW29" s="2066"/>
      <c r="AX29" s="2066"/>
      <c r="AY29" s="2066"/>
      <c r="AZ29" s="2066"/>
      <c r="BA29" s="2066"/>
      <c r="BB29" s="2066"/>
      <c r="BC29" s="2066"/>
      <c r="BD29" s="2066"/>
      <c r="BE29" s="2066"/>
      <c r="BF29" s="138"/>
    </row>
    <row r="30" spans="2:68" x14ac:dyDescent="0.25">
      <c r="B30" s="2070" t="s">
        <v>705</v>
      </c>
      <c r="C30" s="1986"/>
      <c r="D30" s="1986"/>
      <c r="E30" s="1986"/>
      <c r="F30" s="1986"/>
      <c r="G30" s="1986"/>
      <c r="H30" s="1986"/>
      <c r="I30" s="1986"/>
      <c r="J30" s="1986"/>
      <c r="K30" s="1986"/>
      <c r="L30" s="1986"/>
      <c r="M30" s="1986"/>
      <c r="N30" s="1986"/>
      <c r="O30" s="1986"/>
      <c r="P30" s="1986"/>
      <c r="Q30" s="1986"/>
      <c r="T30" s="2081">
        <v>1</v>
      </c>
      <c r="U30" s="2081"/>
      <c r="V30" s="2081"/>
      <c r="W30" s="2081"/>
      <c r="AF30" s="2071" t="s">
        <v>707</v>
      </c>
      <c r="AG30" s="2071"/>
      <c r="AH30" s="2071"/>
      <c r="AI30" s="2071"/>
      <c r="AJ30" s="2071"/>
      <c r="AK30" s="2071"/>
      <c r="AL30" s="2071"/>
      <c r="AM30" s="2071"/>
      <c r="AN30" s="2071"/>
      <c r="AO30" s="2071"/>
      <c r="AP30" s="2072">
        <f>Welcome!$D$24</f>
        <v>0</v>
      </c>
      <c r="AQ30" s="2072"/>
      <c r="AR30" s="2072"/>
      <c r="AT30" s="2071" t="s">
        <v>706</v>
      </c>
      <c r="AU30" s="2071"/>
      <c r="AV30" s="2071"/>
      <c r="AW30" s="2071"/>
      <c r="AX30" s="2071"/>
      <c r="AY30" s="2071"/>
      <c r="AZ30" s="2071"/>
      <c r="BA30" s="2071"/>
      <c r="BB30" s="2071"/>
      <c r="BC30" s="2071"/>
      <c r="BF30" s="138"/>
    </row>
    <row r="31" spans="2:68" x14ac:dyDescent="0.25">
      <c r="B31" s="137"/>
      <c r="BF31" s="138"/>
      <c r="BP31" s="262"/>
    </row>
    <row r="32" spans="2:68" x14ac:dyDescent="0.25">
      <c r="B32" s="2070" t="s">
        <v>702</v>
      </c>
      <c r="C32" s="1986"/>
      <c r="D32" s="1986"/>
      <c r="E32" s="1986"/>
      <c r="F32" s="1986"/>
      <c r="G32" s="1986"/>
      <c r="H32" s="1986"/>
      <c r="I32" s="1986"/>
      <c r="J32" s="1986"/>
      <c r="K32" s="1986"/>
      <c r="L32" s="1986"/>
      <c r="M32" s="1986"/>
      <c r="N32" s="1986"/>
      <c r="O32" s="1986"/>
      <c r="P32" s="1986"/>
      <c r="Q32" s="1986"/>
      <c r="T32" s="2075" t="s">
        <v>968</v>
      </c>
      <c r="U32" s="2075"/>
      <c r="V32" s="2075"/>
      <c r="W32" s="2075"/>
      <c r="X32" s="2075"/>
      <c r="Y32" s="2075"/>
      <c r="Z32" s="2075"/>
      <c r="AA32" s="2075"/>
      <c r="AB32" s="2075"/>
      <c r="AC32" s="2075"/>
      <c r="AD32" s="2075"/>
      <c r="AE32" s="2075"/>
      <c r="AF32" s="2075"/>
      <c r="AG32" s="2075"/>
      <c r="AH32" s="2075"/>
      <c r="AI32" s="2075"/>
      <c r="AJ32" s="2075"/>
      <c r="AK32" s="2075"/>
      <c r="AL32" s="2075"/>
      <c r="AM32" s="2075"/>
      <c r="AN32" s="2075"/>
      <c r="AO32" s="2075"/>
      <c r="BF32" s="138"/>
    </row>
    <row r="33" spans="2:92" x14ac:dyDescent="0.25">
      <c r="B33" s="137"/>
      <c r="BF33" s="138"/>
    </row>
    <row r="34" spans="2:92" x14ac:dyDescent="0.25">
      <c r="B34" s="137"/>
      <c r="C34" s="82"/>
      <c r="D34" s="82"/>
      <c r="E34" s="82"/>
      <c r="F34" s="82"/>
      <c r="G34" s="82"/>
      <c r="H34" s="82"/>
      <c r="I34" s="2072"/>
      <c r="J34" s="2072"/>
      <c r="K34" s="2055" t="s">
        <v>482</v>
      </c>
      <c r="L34" s="2055"/>
      <c r="M34" s="2055"/>
      <c r="N34" s="2055"/>
      <c r="O34" s="2055"/>
      <c r="P34" s="2055"/>
      <c r="Q34" s="2055"/>
      <c r="R34" s="2072" t="s">
        <v>239</v>
      </c>
      <c r="S34" s="2072"/>
      <c r="T34" s="2055" t="s">
        <v>481</v>
      </c>
      <c r="U34" s="2055"/>
      <c r="V34" s="2055"/>
      <c r="W34" s="2055"/>
      <c r="X34" s="2072"/>
      <c r="Y34" s="2072"/>
      <c r="Z34" s="2055" t="s">
        <v>480</v>
      </c>
      <c r="AA34" s="2055"/>
      <c r="AB34" s="2055"/>
      <c r="AF34" t="s">
        <v>704</v>
      </c>
      <c r="AL34" s="2072">
        <f>Welcome!$H$30</f>
        <v>5</v>
      </c>
      <c r="AM34" s="2072"/>
      <c r="AN34" s="2072"/>
      <c r="AO34" t="s">
        <v>703</v>
      </c>
      <c r="BF34" s="138"/>
    </row>
    <row r="35" spans="2:92" x14ac:dyDescent="0.25">
      <c r="B35" s="137"/>
      <c r="BF35" s="138"/>
      <c r="BP35" s="264"/>
      <c r="CN35" s="262"/>
    </row>
    <row r="36" spans="2:92" x14ac:dyDescent="0.25">
      <c r="B36" s="2077" t="s">
        <v>701</v>
      </c>
      <c r="C36" s="2078"/>
      <c r="D36" s="2078"/>
      <c r="E36" s="2078"/>
      <c r="F36" s="2078"/>
      <c r="G36" s="2078"/>
      <c r="H36" s="2078"/>
      <c r="I36" s="2078"/>
      <c r="J36" s="2078"/>
      <c r="K36" s="2078"/>
      <c r="L36" s="2078"/>
      <c r="M36" s="2078"/>
      <c r="N36" s="2078"/>
      <c r="O36" s="2078"/>
      <c r="P36" s="2078"/>
      <c r="Q36" s="2078"/>
      <c r="R36" s="2078"/>
      <c r="T36" s="2088" t="str">
        <f>IFERROR($T$28/('Tracking &amp; Profitability'!$E$7*52*Welcome!$D$18),"Error on A La Carte")</f>
        <v>Error on A La Carte</v>
      </c>
      <c r="U36" s="2088"/>
      <c r="V36" s="2088"/>
      <c r="W36" s="2088"/>
      <c r="X36" s="2088"/>
      <c r="Y36" s="2088"/>
      <c r="Z36" s="2088"/>
      <c r="AA36" s="2088"/>
      <c r="AB36" s="2088"/>
      <c r="AF36" s="2078" t="s">
        <v>477</v>
      </c>
      <c r="AG36" s="2078"/>
      <c r="AH36" s="2078"/>
      <c r="AI36" s="2078"/>
      <c r="AJ36" s="2078"/>
      <c r="AK36" s="2078"/>
      <c r="AL36" s="2078"/>
      <c r="AM36" s="2078"/>
      <c r="AN36" s="2078"/>
      <c r="AO36" s="2078"/>
      <c r="AP36" s="2078"/>
      <c r="AQ36" s="2078"/>
      <c r="AR36" s="2078"/>
      <c r="AS36" s="2078"/>
      <c r="AU36" s="2072" t="e">
        <f>ROUND(((1-(('PIM Model'!$G$15+'PIM Model'!$G$17+'PIM Model'!$G$18)/'PIM Model'!$G$31))*100),0)&amp;"%/"&amp;ROUND((('PIM Model'!$G$15+'PIM Model'!$G$17+'PIM Model'!$G$18)/'PIM Model'!$G$31*100),0)&amp;"%"</f>
        <v>#DIV/0!</v>
      </c>
      <c r="AV36" s="2072"/>
      <c r="AW36" s="2072"/>
      <c r="AX36" s="2072"/>
      <c r="AY36" s="2072"/>
      <c r="AZ36" s="207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77" t="s">
        <v>699</v>
      </c>
      <c r="C38" s="2078"/>
      <c r="D38" s="2078"/>
      <c r="E38" s="2078"/>
      <c r="F38" s="2078"/>
      <c r="G38" s="2078"/>
      <c r="H38" s="2078"/>
      <c r="I38" s="2078"/>
      <c r="J38" s="2078"/>
      <c r="K38" s="2078"/>
      <c r="L38" s="2078"/>
      <c r="M38" s="2078"/>
      <c r="N38" s="2078"/>
      <c r="O38" s="2078"/>
      <c r="P38" s="2078"/>
      <c r="Q38" s="2078"/>
      <c r="R38" s="2078"/>
      <c r="T38" s="2089" t="str">
        <f>IFERROR('PIM Model'!$H$31/('PIM Model'!$E$6*52*Welcome!$D$18),"Error on A La Carte")</f>
        <v>Error on A La Carte</v>
      </c>
      <c r="U38" s="2089"/>
      <c r="V38" s="2089"/>
      <c r="W38" s="2089"/>
      <c r="X38" s="2089"/>
      <c r="Y38" s="2089"/>
      <c r="Z38" s="2089"/>
      <c r="AA38" s="2089"/>
      <c r="AB38" s="2089"/>
      <c r="AC38" s="265"/>
      <c r="AD38" s="265"/>
      <c r="AF38" s="1986" t="s">
        <v>653</v>
      </c>
      <c r="AG38" s="1986"/>
      <c r="AH38" s="1986"/>
      <c r="AI38" s="1986"/>
      <c r="AJ38" s="1986"/>
      <c r="AK38" s="1986"/>
      <c r="AL38" s="1986"/>
      <c r="AM38" s="1986"/>
      <c r="AN38" s="1986"/>
      <c r="AO38" s="1986"/>
      <c r="AP38" s="1986"/>
      <c r="AQ38" s="1986"/>
      <c r="AR38" s="1986"/>
      <c r="AS38" s="1986"/>
      <c r="AU38" s="2072">
        <f>COUNTIF('PIM Model'!$E$10:$E$30,"Include")</f>
        <v>21</v>
      </c>
      <c r="AV38" s="2072"/>
      <c r="AW38" s="2072"/>
      <c r="AX38" s="2072"/>
      <c r="AY38" s="2072"/>
      <c r="AZ38" s="2072"/>
      <c r="BF38" s="138"/>
    </row>
    <row r="39" spans="2:92" x14ac:dyDescent="0.25">
      <c r="B39" s="137"/>
      <c r="BF39" s="138"/>
    </row>
    <row r="40" spans="2:92" x14ac:dyDescent="0.25">
      <c r="B40" s="2077" t="s">
        <v>697</v>
      </c>
      <c r="C40" s="2078"/>
      <c r="D40" s="2078"/>
      <c r="E40" s="2078"/>
      <c r="F40" s="2078"/>
      <c r="G40" s="2078"/>
      <c r="H40" s="2078"/>
      <c r="I40" s="2078"/>
      <c r="J40" s="2078"/>
      <c r="K40" s="2078"/>
      <c r="L40" s="2078"/>
      <c r="M40" s="2078"/>
      <c r="N40" s="2078"/>
      <c r="O40" s="2078"/>
      <c r="P40" s="2078"/>
      <c r="Q40" s="2078"/>
      <c r="R40" s="2078"/>
      <c r="T40" s="2074">
        <f>IFERROR('PIM Model'!$G$31/'PIM Model'!$H$31,0)</f>
        <v>0</v>
      </c>
      <c r="U40" s="2074"/>
      <c r="V40" s="2074"/>
      <c r="W40" s="2074"/>
      <c r="X40" s="2074"/>
      <c r="Y40" s="2074"/>
      <c r="Z40" s="2074"/>
      <c r="AA40" s="2074"/>
      <c r="AB40" s="2074"/>
      <c r="AF40" s="1986" t="s">
        <v>700</v>
      </c>
      <c r="AG40" s="1986"/>
      <c r="AH40" s="1986"/>
      <c r="AI40" s="1986"/>
      <c r="AJ40" s="1986"/>
      <c r="AK40" s="1986"/>
      <c r="AL40" s="1986"/>
      <c r="AM40" s="1986"/>
      <c r="AN40" s="1986"/>
      <c r="AO40" s="1986"/>
      <c r="AP40" s="1986"/>
      <c r="AQ40" s="1986"/>
      <c r="AR40" s="1986"/>
      <c r="AS40" s="1986"/>
      <c r="AU40" s="2072">
        <f>Welcome!$G$30</f>
        <v>0</v>
      </c>
      <c r="AV40" s="2072"/>
      <c r="AW40" s="2072"/>
      <c r="BC40" s="2055"/>
      <c r="BD40" s="2055"/>
      <c r="BE40" s="2055"/>
      <c r="BF40" s="138"/>
    </row>
    <row r="41" spans="2:92" x14ac:dyDescent="0.25">
      <c r="B41" s="137"/>
      <c r="BF41" s="138"/>
      <c r="BP41" s="262"/>
      <c r="CN41" s="264"/>
    </row>
    <row r="42" spans="2:92" x14ac:dyDescent="0.25">
      <c r="B42" s="2070" t="s">
        <v>695</v>
      </c>
      <c r="C42" s="1986"/>
      <c r="D42" s="1986"/>
      <c r="E42" s="1986"/>
      <c r="F42" s="1986"/>
      <c r="G42" s="1986"/>
      <c r="H42" s="1986"/>
      <c r="I42" s="1986"/>
      <c r="J42" s="1986"/>
      <c r="K42" s="1986"/>
      <c r="L42" s="1986"/>
      <c r="M42" s="1986"/>
      <c r="N42" s="1986"/>
      <c r="O42" s="1986"/>
      <c r="P42" s="1986"/>
      <c r="Q42" s="1986"/>
      <c r="R42" s="1986"/>
      <c r="T42" s="2074" t="s">
        <v>730</v>
      </c>
      <c r="U42" s="2074"/>
      <c r="V42" s="2074"/>
      <c r="W42" s="2074"/>
      <c r="X42" s="2074"/>
      <c r="Y42" s="2074"/>
      <c r="Z42" s="2074"/>
      <c r="AA42" s="2074"/>
      <c r="AB42" s="2074"/>
      <c r="AF42" s="1986" t="s">
        <v>698</v>
      </c>
      <c r="AG42" s="1986"/>
      <c r="AH42" s="1986"/>
      <c r="AI42" s="1986"/>
      <c r="AJ42" s="1986"/>
      <c r="AK42" s="1986"/>
      <c r="AL42" s="1986"/>
      <c r="AM42" s="1986"/>
      <c r="AN42" s="1986"/>
      <c r="AO42" s="1986"/>
      <c r="AP42" s="1986"/>
      <c r="AQ42" s="1986"/>
      <c r="AR42" s="1986"/>
      <c r="AS42" s="1986"/>
      <c r="AU42" s="2072" t="s">
        <v>646</v>
      </c>
      <c r="AV42" s="2072"/>
      <c r="AW42" s="2072"/>
      <c r="BC42" s="2055"/>
      <c r="BD42" s="2055"/>
      <c r="BE42" s="2055"/>
      <c r="BF42" s="138"/>
    </row>
    <row r="43" spans="2:92" x14ac:dyDescent="0.25">
      <c r="B43" s="137"/>
      <c r="BF43" s="138"/>
      <c r="BP43" s="262"/>
      <c r="CN43" s="264"/>
    </row>
    <row r="44" spans="2:92" x14ac:dyDescent="0.25">
      <c r="B44" s="2077" t="s">
        <v>693</v>
      </c>
      <c r="C44" s="2078"/>
      <c r="D44" s="2078"/>
      <c r="E44" s="2078"/>
      <c r="F44" s="2078"/>
      <c r="G44" s="2078"/>
      <c r="H44" s="2078"/>
      <c r="I44" s="2078"/>
      <c r="J44" s="2078"/>
      <c r="K44" s="2078"/>
      <c r="L44" s="2078"/>
      <c r="M44" s="2078"/>
      <c r="N44" s="2078"/>
      <c r="O44" s="2078"/>
      <c r="P44" s="2078"/>
      <c r="Q44" s="2078"/>
      <c r="R44" s="2078"/>
      <c r="T44" s="2080">
        <f>'Tracking &amp; Profitability'!$E$7</f>
        <v>0</v>
      </c>
      <c r="U44" s="2080"/>
      <c r="V44" s="2080"/>
      <c r="W44" s="2080"/>
      <c r="X44" s="2080"/>
      <c r="Y44" s="2080"/>
      <c r="Z44" s="2080"/>
      <c r="AA44" s="2080"/>
      <c r="AB44" s="2080"/>
      <c r="AF44" s="1986" t="s">
        <v>696</v>
      </c>
      <c r="AG44" s="1986"/>
      <c r="AH44" s="1986"/>
      <c r="AI44" s="1986"/>
      <c r="AJ44" s="1986"/>
      <c r="AK44" s="1986"/>
      <c r="AL44" s="1986"/>
      <c r="AM44" s="1986"/>
      <c r="AN44" s="1986"/>
      <c r="AO44" s="1986"/>
      <c r="AP44" s="1986"/>
      <c r="AQ44" s="1986"/>
      <c r="AR44" s="1986"/>
      <c r="AS44" s="1986"/>
      <c r="AU44" s="2072" t="s">
        <v>646</v>
      </c>
      <c r="AV44" s="2072"/>
      <c r="AW44" s="2072"/>
      <c r="BC44" s="2055"/>
      <c r="BD44" s="2055"/>
      <c r="BE44" s="2055"/>
      <c r="BF44" s="138"/>
    </row>
    <row r="45" spans="2:92" x14ac:dyDescent="0.25">
      <c r="B45" s="137"/>
      <c r="BF45" s="138"/>
      <c r="CN45" s="264"/>
    </row>
    <row r="46" spans="2:92" x14ac:dyDescent="0.25">
      <c r="B46" s="2082" t="s">
        <v>654</v>
      </c>
      <c r="C46" s="2083"/>
      <c r="D46" s="2083"/>
      <c r="E46" s="2083"/>
      <c r="F46" s="2083"/>
      <c r="G46" s="2083"/>
      <c r="H46" s="2083"/>
      <c r="I46" s="2083"/>
      <c r="J46" s="2083"/>
      <c r="K46" s="2083"/>
      <c r="L46" s="2083"/>
      <c r="M46" s="2083"/>
      <c r="N46" s="2083"/>
      <c r="O46" s="2083"/>
      <c r="P46" s="2083"/>
      <c r="Q46" s="2083"/>
      <c r="R46" s="2083"/>
      <c r="T46" s="2085">
        <f>'Agreement Worksheet'!$C$10</f>
        <v>500</v>
      </c>
      <c r="U46" s="2061"/>
      <c r="V46" s="2061"/>
      <c r="W46" s="2061"/>
      <c r="X46" s="2061"/>
      <c r="Y46" s="2061"/>
      <c r="Z46" s="2061"/>
      <c r="AA46" s="2061"/>
      <c r="AB46" s="2061"/>
      <c r="AF46" s="2076" t="s">
        <v>694</v>
      </c>
      <c r="AG46" s="2076"/>
      <c r="AH46" s="2076"/>
      <c r="AI46" s="2076"/>
      <c r="AJ46" s="2076"/>
      <c r="AK46" s="2076"/>
      <c r="AL46" s="2076"/>
      <c r="AM46" s="2076"/>
      <c r="AN46" s="2076"/>
      <c r="AO46" s="2076"/>
      <c r="AP46" s="2076"/>
      <c r="AQ46" s="2076"/>
      <c r="AR46" s="2076"/>
      <c r="AS46" s="2076"/>
      <c r="AU46" s="2093">
        <f>'Agreement Worksheet'!$C$13/100</f>
        <v>0.3</v>
      </c>
      <c r="AV46" s="2093"/>
      <c r="AW46" s="2093"/>
      <c r="AX46" s="2093"/>
      <c r="AY46" s="2093"/>
      <c r="AZ46" s="2093"/>
      <c r="BF46" s="138"/>
    </row>
    <row r="47" spans="2:92" x14ac:dyDescent="0.25">
      <c r="B47" s="137"/>
      <c r="BF47" s="138"/>
      <c r="CN47" s="264"/>
    </row>
    <row r="48" spans="2:92" x14ac:dyDescent="0.25">
      <c r="B48" s="2077" t="s">
        <v>478</v>
      </c>
      <c r="C48" s="2078"/>
      <c r="D48" s="2078"/>
      <c r="E48" s="2078"/>
      <c r="F48" s="2078"/>
      <c r="G48" s="2078"/>
      <c r="H48" s="2078"/>
      <c r="I48" s="2078"/>
      <c r="J48" s="2078"/>
      <c r="K48" s="2078"/>
      <c r="L48" s="2078"/>
      <c r="M48" s="2078"/>
      <c r="N48" s="2078"/>
      <c r="O48" s="2078"/>
      <c r="P48" s="2078"/>
      <c r="Q48" s="2078"/>
      <c r="R48" s="2078"/>
      <c r="T48" s="2061">
        <f>$K$10</f>
        <v>0</v>
      </c>
      <c r="U48" s="2061"/>
      <c r="V48" s="2061"/>
      <c r="W48" s="2061"/>
      <c r="X48" s="2061"/>
      <c r="Y48" s="2061"/>
      <c r="Z48" s="2061"/>
      <c r="AA48" s="2061"/>
      <c r="AB48" s="2061"/>
      <c r="AF48" s="2076" t="s">
        <v>692</v>
      </c>
      <c r="AG48" s="2076"/>
      <c r="AH48" s="2076"/>
      <c r="AI48" s="2076"/>
      <c r="AJ48" s="2076"/>
      <c r="AK48" s="2076"/>
      <c r="AL48" s="2076"/>
      <c r="AM48" s="2076"/>
      <c r="AN48" s="2076"/>
      <c r="AO48" s="2076"/>
      <c r="AP48" s="2076"/>
      <c r="AQ48" s="2076"/>
      <c r="AR48" s="2076"/>
      <c r="AS48" s="2076"/>
      <c r="AU48" s="2097">
        <f>'Agreement Worksheet'!$F$13</f>
        <v>2.25</v>
      </c>
      <c r="AV48" s="2098"/>
      <c r="AW48" s="2098"/>
      <c r="AX48" s="2098"/>
      <c r="AY48" s="2098"/>
      <c r="AZ48" s="2098"/>
      <c r="BF48" s="138"/>
    </row>
    <row r="49" spans="2:92" x14ac:dyDescent="0.25">
      <c r="B49" s="137"/>
      <c r="BF49" s="138"/>
      <c r="CN49" s="264"/>
    </row>
    <row r="50" spans="2:92" x14ac:dyDescent="0.25">
      <c r="B50" s="2087" t="s">
        <v>691</v>
      </c>
      <c r="C50" s="2076"/>
      <c r="D50" s="2076"/>
      <c r="E50" s="2076"/>
      <c r="F50" s="2076"/>
      <c r="G50" s="2076"/>
      <c r="H50" s="2076"/>
      <c r="I50" s="2076"/>
      <c r="J50" s="2076"/>
      <c r="K50" s="2076"/>
      <c r="L50" s="2076"/>
      <c r="M50" s="2076"/>
      <c r="N50" s="2076"/>
      <c r="O50" s="2076"/>
      <c r="P50" s="2076"/>
      <c r="Q50" s="2076"/>
      <c r="R50" s="2076"/>
      <c r="T50" s="2084">
        <f>'Agreement Worksheet'!$E$10</f>
        <v>500</v>
      </c>
      <c r="U50" s="2084"/>
      <c r="V50" s="2084"/>
      <c r="W50" s="2084"/>
      <c r="X50" s="2084"/>
      <c r="Y50" s="2084"/>
      <c r="Z50" s="1986" t="s">
        <v>690</v>
      </c>
      <c r="AA50" s="1986"/>
      <c r="AB50" s="1986"/>
      <c r="AC50" s="2084">
        <f>'Agreement Worksheet'!$F$10</f>
        <v>35</v>
      </c>
      <c r="AD50" s="2084"/>
      <c r="AE50" s="2084"/>
      <c r="AF50" s="2084"/>
      <c r="AG50" s="208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90" t="s">
        <v>674</v>
      </c>
      <c r="C53" s="2091"/>
      <c r="D53" s="2091"/>
      <c r="E53" s="2091"/>
      <c r="F53" s="2091"/>
      <c r="G53" s="2091"/>
      <c r="H53" s="2091"/>
      <c r="I53" s="2091"/>
      <c r="J53" s="2091"/>
      <c r="K53" s="2091"/>
      <c r="L53" s="2091"/>
      <c r="M53" s="2091"/>
      <c r="N53" s="2091"/>
      <c r="O53" s="2091"/>
      <c r="P53" s="2091"/>
      <c r="Q53" s="2091"/>
      <c r="R53" s="2091"/>
      <c r="S53" s="2091"/>
      <c r="T53" s="2091"/>
      <c r="U53" s="2091"/>
      <c r="V53" s="2091"/>
      <c r="W53" s="2091"/>
      <c r="X53" s="2091"/>
      <c r="Y53" s="2091"/>
      <c r="Z53" s="2091"/>
      <c r="AA53" s="2091"/>
      <c r="AB53" s="2091"/>
      <c r="AC53" s="2091"/>
      <c r="AD53" s="2091"/>
      <c r="AE53" s="2091"/>
      <c r="AF53" s="2091"/>
      <c r="AG53" s="2091"/>
      <c r="AH53" s="2091"/>
      <c r="AI53" s="2091"/>
      <c r="AJ53" s="2091"/>
      <c r="AK53" s="2091"/>
      <c r="AL53" s="2091"/>
      <c r="AM53" s="2091"/>
      <c r="AN53" s="2091"/>
      <c r="AO53" s="2091"/>
      <c r="AP53" s="2091"/>
      <c r="AQ53" s="2091"/>
      <c r="AR53" s="2091"/>
      <c r="AS53" s="2091"/>
      <c r="AT53" s="2091"/>
      <c r="AU53" s="2091"/>
      <c r="AV53" s="2091"/>
      <c r="AW53" s="2091"/>
      <c r="AX53" s="2091"/>
      <c r="AY53" s="2091"/>
      <c r="AZ53" s="2091"/>
      <c r="BA53" s="2091"/>
      <c r="BB53" s="2091"/>
      <c r="BC53" s="2091"/>
      <c r="BD53" s="2091"/>
      <c r="BE53" s="2091"/>
      <c r="BF53" s="2092"/>
    </row>
    <row r="54" spans="2:92" x14ac:dyDescent="0.25">
      <c r="B54" s="2094" t="s">
        <v>689</v>
      </c>
      <c r="C54" s="2095"/>
      <c r="D54" s="2095"/>
      <c r="E54" s="2095"/>
      <c r="F54" s="2095"/>
      <c r="G54" s="2095"/>
      <c r="H54" s="2095"/>
      <c r="I54" s="2095"/>
      <c r="J54" s="2095"/>
      <c r="K54" s="2095"/>
      <c r="L54" s="2095"/>
      <c r="M54" s="2095"/>
      <c r="N54" s="2095"/>
      <c r="O54" s="2095"/>
      <c r="P54" s="2095"/>
      <c r="Q54" s="2095"/>
      <c r="R54" s="2095"/>
      <c r="S54" s="2095"/>
      <c r="T54" s="2095"/>
      <c r="U54" s="2095"/>
      <c r="V54" s="2095"/>
      <c r="W54" s="2095"/>
      <c r="X54" s="2095"/>
      <c r="Y54" s="2095"/>
      <c r="Z54" s="2095"/>
      <c r="AA54" s="2095"/>
      <c r="AB54" s="2095"/>
      <c r="AC54" s="2095"/>
      <c r="AD54" s="2095"/>
      <c r="AE54" s="2095"/>
      <c r="AF54" s="2095"/>
      <c r="AG54" s="2095"/>
      <c r="AH54" s="2095"/>
      <c r="AI54" s="2095"/>
      <c r="AJ54" s="2095"/>
      <c r="AK54" s="2095"/>
      <c r="AL54" s="2095"/>
      <c r="AM54" s="2095"/>
      <c r="AN54" s="2095"/>
      <c r="AO54" s="2095"/>
      <c r="AP54" s="2095"/>
      <c r="AQ54" s="2095"/>
      <c r="AR54" s="2095"/>
      <c r="AS54" s="2095"/>
      <c r="AT54" s="2095"/>
      <c r="AU54" s="2095"/>
      <c r="AV54" s="2095"/>
      <c r="AW54" s="2095"/>
      <c r="AX54" s="2095"/>
      <c r="AY54" s="2095"/>
      <c r="AZ54" s="2095"/>
      <c r="BA54" s="2095"/>
      <c r="BB54" s="2095"/>
      <c r="BC54" s="2095"/>
      <c r="BD54" s="2095"/>
      <c r="BE54" s="2095"/>
      <c r="BF54" s="2096"/>
      <c r="BP54" s="262"/>
    </row>
    <row r="55" spans="2:92" x14ac:dyDescent="0.25">
      <c r="B55" s="137"/>
      <c r="AC55" s="267"/>
      <c r="AD55" s="267"/>
      <c r="AE55" s="267"/>
      <c r="AF55" s="267"/>
      <c r="AG55" s="267"/>
      <c r="AH55" s="267"/>
      <c r="AK55" s="2060"/>
      <c r="AL55" s="2060"/>
      <c r="AM55" s="2060"/>
      <c r="AN55" s="2060"/>
      <c r="AO55" s="1917"/>
      <c r="AP55" s="1917"/>
      <c r="AQ55" s="1917"/>
      <c r="AR55" s="134"/>
      <c r="AS55" s="134"/>
      <c r="AT55" s="1917"/>
      <c r="AU55" s="1917"/>
      <c r="AV55" s="1917"/>
      <c r="AW55" s="134"/>
      <c r="AX55" s="134"/>
      <c r="AY55" s="1917"/>
      <c r="AZ55" s="1917"/>
      <c r="BA55" s="1917"/>
      <c r="BB55" s="134"/>
      <c r="BC55" s="134"/>
      <c r="BD55" s="1917"/>
      <c r="BE55" s="1917"/>
      <c r="BF55" s="2079"/>
      <c r="BP55" s="268"/>
    </row>
    <row r="56" spans="2:92" x14ac:dyDescent="0.25">
      <c r="B56" s="137"/>
      <c r="C56" s="2071" t="s">
        <v>103</v>
      </c>
      <c r="D56" s="2071"/>
      <c r="E56" s="2071"/>
      <c r="F56" s="2071"/>
      <c r="G56" s="2071"/>
      <c r="H56" s="2071"/>
      <c r="I56" s="2071"/>
      <c r="J56" s="2071"/>
      <c r="K56" s="2071"/>
      <c r="L56" s="2071"/>
      <c r="M56" s="2071"/>
      <c r="N56" s="2071"/>
      <c r="O56" s="2071"/>
      <c r="P56" s="2071"/>
      <c r="Q56" s="2071"/>
      <c r="R56" s="2071"/>
      <c r="S56" s="2071"/>
      <c r="T56" s="2071"/>
      <c r="U56" s="2071"/>
      <c r="V56" s="2071"/>
      <c r="W56" s="2071"/>
      <c r="X56" s="2071"/>
      <c r="Y56" s="2071"/>
      <c r="Z56" s="2071"/>
      <c r="AC56" s="2072" t="str">
        <f>'PIM Model'!$AD$11</f>
        <v/>
      </c>
      <c r="AD56" s="2072"/>
      <c r="AE56" s="2072" t="str">
        <f>'PIM Model'!$D$11</f>
        <v>%</v>
      </c>
      <c r="AF56" s="2072"/>
      <c r="AG56" s="2072" t="str">
        <f>'PIM Model'!$D$11</f>
        <v>%</v>
      </c>
      <c r="AH56" s="2072"/>
      <c r="AI56" s="2055" t="str">
        <f>'PIM Model'!$D$11</f>
        <v>%</v>
      </c>
      <c r="AJ56" s="2055"/>
      <c r="AK56" s="134"/>
      <c r="AL56" s="134"/>
      <c r="AM56" s="134"/>
      <c r="AN56" s="134"/>
      <c r="AO56" s="1917"/>
      <c r="AP56" s="1917"/>
      <c r="AQ56" s="1917"/>
      <c r="AR56" s="134"/>
      <c r="AS56" s="134"/>
      <c r="AT56" s="1917"/>
      <c r="AU56" s="1917"/>
      <c r="AV56" s="1917"/>
      <c r="AW56" s="134"/>
      <c r="AX56" s="134"/>
      <c r="AY56" s="1917"/>
      <c r="AZ56" s="1917"/>
      <c r="BA56" s="1917"/>
      <c r="BB56" s="134"/>
      <c r="BC56" s="134"/>
      <c r="BD56" s="1917"/>
      <c r="BE56" s="1917"/>
      <c r="BF56" s="2079"/>
      <c r="BP56" s="262"/>
    </row>
    <row r="57" spans="2:92" x14ac:dyDescent="0.25">
      <c r="B57" s="137"/>
      <c r="C57" s="2071" t="s">
        <v>102</v>
      </c>
      <c r="D57" s="2071"/>
      <c r="E57" s="2071"/>
      <c r="F57" s="2071"/>
      <c r="G57" s="2071"/>
      <c r="H57" s="2071"/>
      <c r="I57" s="2071"/>
      <c r="J57" s="2071"/>
      <c r="K57" s="2071"/>
      <c r="L57" s="2071"/>
      <c r="M57" s="2071"/>
      <c r="N57" s="2071"/>
      <c r="O57" s="2071"/>
      <c r="P57" s="2071"/>
      <c r="Q57" s="2071"/>
      <c r="R57" s="2071"/>
      <c r="S57" s="2071"/>
      <c r="T57" s="2071"/>
      <c r="U57" s="2071"/>
      <c r="V57" s="2071"/>
      <c r="W57" s="2071"/>
      <c r="X57" s="2071"/>
      <c r="Y57" s="2071"/>
      <c r="Z57" s="2071"/>
      <c r="AC57" s="2058" t="str">
        <f>'PIM Model'!$AD$13</f>
        <v/>
      </c>
      <c r="AD57" s="2058"/>
      <c r="AE57" s="2058" t="str">
        <f>'PIM Model'!$D$13</f>
        <v>%</v>
      </c>
      <c r="AF57" s="2058"/>
      <c r="AG57" s="2058" t="str">
        <f>'PIM Model'!$D$13</f>
        <v>%</v>
      </c>
      <c r="AH57" s="2058"/>
      <c r="AI57" s="2055" t="str">
        <f>'PIM Model'!$D$13</f>
        <v>%</v>
      </c>
      <c r="AJ57" s="205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71" t="s">
        <v>101</v>
      </c>
      <c r="D58" s="2071"/>
      <c r="E58" s="2071"/>
      <c r="F58" s="2071"/>
      <c r="G58" s="2071"/>
      <c r="H58" s="2071"/>
      <c r="I58" s="2071"/>
      <c r="J58" s="2071"/>
      <c r="K58" s="2071"/>
      <c r="L58" s="2071"/>
      <c r="M58" s="2071"/>
      <c r="N58" s="2071"/>
      <c r="O58" s="2071"/>
      <c r="P58" s="2071"/>
      <c r="Q58" s="2071"/>
      <c r="R58" s="2071"/>
      <c r="S58" s="2071"/>
      <c r="T58" s="2071"/>
      <c r="U58" s="2071"/>
      <c r="V58" s="2071"/>
      <c r="W58" s="2071"/>
      <c r="X58" s="2071"/>
      <c r="Y58" s="2071"/>
      <c r="Z58" s="2071"/>
      <c r="AC58" s="2058" t="str">
        <f>'PIM Model'!$AD$19</f>
        <v/>
      </c>
      <c r="AD58" s="2058"/>
      <c r="AE58" s="2058" t="str">
        <f>'PIM Model'!$D$19</f>
        <v>%</v>
      </c>
      <c r="AF58" s="2058"/>
      <c r="AG58" s="2058" t="str">
        <f>'PIM Model'!$D$19</f>
        <v>%</v>
      </c>
      <c r="AH58" s="2058"/>
      <c r="AI58" s="2055" t="str">
        <f>'PIM Model'!$D$19</f>
        <v>%</v>
      </c>
      <c r="AJ58" s="205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71" t="s">
        <v>100</v>
      </c>
      <c r="D59" s="2071"/>
      <c r="E59" s="2071"/>
      <c r="F59" s="2071"/>
      <c r="G59" s="2071"/>
      <c r="H59" s="2071"/>
      <c r="I59" s="2071"/>
      <c r="J59" s="2071"/>
      <c r="K59" s="2071"/>
      <c r="L59" s="2071"/>
      <c r="M59" s="2071"/>
      <c r="N59" s="2071"/>
      <c r="O59" s="2071"/>
      <c r="P59" s="2071"/>
      <c r="Q59" s="2071"/>
      <c r="R59" s="2071"/>
      <c r="S59" s="2071"/>
      <c r="T59" s="2071"/>
      <c r="U59" s="2071"/>
      <c r="V59" s="2071"/>
      <c r="W59" s="2071"/>
      <c r="X59" s="2071"/>
      <c r="Y59" s="2071"/>
      <c r="Z59" s="2071"/>
      <c r="AC59" s="2058" t="str">
        <f>'PIM Model'!$AD$14</f>
        <v/>
      </c>
      <c r="AD59" s="2058"/>
      <c r="AE59" s="2058" t="str">
        <f>'PIM Model'!$D$14</f>
        <v>%</v>
      </c>
      <c r="AF59" s="2058"/>
      <c r="AG59" s="2058" t="str">
        <f>'PIM Model'!$D$14</f>
        <v>%</v>
      </c>
      <c r="AH59" s="2058"/>
      <c r="AI59" s="2055" t="str">
        <f>'PIM Model'!$D$14</f>
        <v>%</v>
      </c>
      <c r="AJ59" s="205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71" t="s">
        <v>104</v>
      </c>
      <c r="D60" s="2071"/>
      <c r="E60" s="2071"/>
      <c r="F60" s="2071"/>
      <c r="G60" s="2071"/>
      <c r="H60" s="2071"/>
      <c r="I60" s="2071"/>
      <c r="J60" s="2071"/>
      <c r="K60" s="2071"/>
      <c r="L60" s="2071"/>
      <c r="M60" s="2071"/>
      <c r="N60" s="2071"/>
      <c r="O60" s="2071"/>
      <c r="P60" s="2071"/>
      <c r="Q60" s="2071"/>
      <c r="R60" s="2071"/>
      <c r="S60" s="2071"/>
      <c r="T60" s="2071"/>
      <c r="U60" s="2071"/>
      <c r="V60" s="2071"/>
      <c r="W60" s="2071"/>
      <c r="X60" s="2071"/>
      <c r="Y60" s="2071"/>
      <c r="Z60" s="2071"/>
      <c r="AC60" s="2058" t="str">
        <f>'PIM Model'!$AD$15</f>
        <v/>
      </c>
      <c r="AD60" s="2058"/>
      <c r="AE60" s="2058" t="str">
        <f>'PIM Model'!$D$15</f>
        <v>%</v>
      </c>
      <c r="AF60" s="2058"/>
      <c r="AG60" s="2058" t="str">
        <f>'PIM Model'!$D$15</f>
        <v>%</v>
      </c>
      <c r="AH60" s="2058"/>
      <c r="AI60" s="2055" t="str">
        <f>'PIM Model'!$D$15</f>
        <v>%</v>
      </c>
      <c r="AJ60" s="205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71" t="s">
        <v>99</v>
      </c>
      <c r="D61" s="2071"/>
      <c r="E61" s="2071"/>
      <c r="F61" s="2071"/>
      <c r="G61" s="2071"/>
      <c r="H61" s="2071"/>
      <c r="I61" s="2071"/>
      <c r="J61" s="2071"/>
      <c r="K61" s="2071"/>
      <c r="L61" s="2071"/>
      <c r="M61" s="2071"/>
      <c r="N61" s="2071"/>
      <c r="O61" s="2071"/>
      <c r="P61" s="2071"/>
      <c r="Q61" s="2071"/>
      <c r="R61" s="2071"/>
      <c r="S61" s="2071"/>
      <c r="T61" s="2071"/>
      <c r="U61" s="2071"/>
      <c r="V61" s="2071"/>
      <c r="W61" s="2071"/>
      <c r="X61" s="2071"/>
      <c r="Y61" s="2071"/>
      <c r="Z61" s="2071"/>
      <c r="AC61" s="2058" t="str">
        <f>'PIM Model'!$AD$10</f>
        <v/>
      </c>
      <c r="AD61" s="2058"/>
      <c r="AE61" s="2058" t="str">
        <f>'PIM Model'!$D$10</f>
        <v>%</v>
      </c>
      <c r="AF61" s="2058"/>
      <c r="AG61" s="2058" t="str">
        <f>'PIM Model'!$D$10</f>
        <v>%</v>
      </c>
      <c r="AH61" s="2058"/>
      <c r="AI61" s="2055" t="str">
        <f>'PIM Model'!$D$10</f>
        <v>%</v>
      </c>
      <c r="AJ61" s="205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66" t="s">
        <v>98</v>
      </c>
      <c r="D62" s="1866"/>
      <c r="E62" s="1866"/>
      <c r="F62" s="1866"/>
      <c r="G62" s="1866"/>
      <c r="H62" s="1866"/>
      <c r="I62" s="1866"/>
      <c r="J62" s="1866"/>
      <c r="K62" s="1866"/>
      <c r="L62" s="1866"/>
      <c r="M62" s="1866"/>
      <c r="N62" s="1866"/>
      <c r="O62" s="1866"/>
      <c r="P62" s="1866"/>
      <c r="Q62" s="1866"/>
      <c r="R62" s="1866"/>
      <c r="S62" s="1866"/>
      <c r="T62" s="1866"/>
      <c r="U62" s="1866"/>
      <c r="V62" s="1866"/>
      <c r="W62" s="1866"/>
      <c r="X62" s="1866"/>
      <c r="Y62" s="1866"/>
      <c r="Z62" s="1866"/>
      <c r="AC62" s="2058" t="str">
        <f>'PIM Model'!$AD$16</f>
        <v/>
      </c>
      <c r="AD62" s="2058"/>
      <c r="AE62" s="2058" t="str">
        <f>'PIM Model'!$D$16</f>
        <v>%</v>
      </c>
      <c r="AF62" s="2058"/>
      <c r="AG62" s="2058" t="str">
        <f>'PIM Model'!$D$16</f>
        <v>%</v>
      </c>
      <c r="AH62" s="2058"/>
      <c r="AI62" s="2055" t="str">
        <f>'PIM Model'!$D$16</f>
        <v>%</v>
      </c>
      <c r="AJ62" s="205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66" t="s">
        <v>97</v>
      </c>
      <c r="D63" s="1866"/>
      <c r="E63" s="1866"/>
      <c r="F63" s="1866"/>
      <c r="G63" s="1866"/>
      <c r="H63" s="1866"/>
      <c r="I63" s="1866"/>
      <c r="J63" s="1866"/>
      <c r="K63" s="1866"/>
      <c r="L63" s="1866"/>
      <c r="M63" s="1866"/>
      <c r="N63" s="1866"/>
      <c r="O63" s="1866"/>
      <c r="P63" s="1866"/>
      <c r="Q63" s="1866"/>
      <c r="R63" s="1866"/>
      <c r="S63" s="1866"/>
      <c r="T63" s="1866"/>
      <c r="U63" s="1866"/>
      <c r="V63" s="1866"/>
      <c r="W63" s="1866"/>
      <c r="X63" s="1866"/>
      <c r="Y63" s="1866"/>
      <c r="Z63" s="1866"/>
      <c r="AC63" s="2058" t="str">
        <f>'PIM Model'!$AD$20</f>
        <v/>
      </c>
      <c r="AD63" s="2058"/>
      <c r="AE63" s="2058" t="str">
        <f>'PIM Model'!$D$20</f>
        <v>%</v>
      </c>
      <c r="AF63" s="2058"/>
      <c r="AG63" s="2058" t="str">
        <f>'PIM Model'!$D$20</f>
        <v>%</v>
      </c>
      <c r="AH63" s="2058"/>
      <c r="AI63" s="2055" t="str">
        <f>'PIM Model'!$D$20</f>
        <v>%</v>
      </c>
      <c r="AJ63" s="205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66" t="s">
        <v>96</v>
      </c>
      <c r="D64" s="1866"/>
      <c r="E64" s="1866"/>
      <c r="F64" s="1866"/>
      <c r="G64" s="1866"/>
      <c r="H64" s="1866"/>
      <c r="I64" s="1866"/>
      <c r="J64" s="1866"/>
      <c r="K64" s="1866"/>
      <c r="L64" s="1866"/>
      <c r="M64" s="1866"/>
      <c r="N64" s="1866"/>
      <c r="O64" s="1866"/>
      <c r="P64" s="1866"/>
      <c r="Q64" s="1866"/>
      <c r="R64" s="1866"/>
      <c r="S64" s="1866"/>
      <c r="T64" s="1866"/>
      <c r="U64" s="1866"/>
      <c r="V64" s="1866"/>
      <c r="W64" s="1866"/>
      <c r="X64" s="1866"/>
      <c r="Y64" s="1866"/>
      <c r="Z64" s="1866"/>
      <c r="AC64" s="2058" t="str">
        <f>'PIM Model'!$AD$18</f>
        <v/>
      </c>
      <c r="AD64" s="2058"/>
      <c r="AE64" s="2058" t="str">
        <f>'PIM Model'!$D$18</f>
        <v>%</v>
      </c>
      <c r="AF64" s="2058"/>
      <c r="AG64" s="2058" t="str">
        <f>'PIM Model'!$D$18</f>
        <v>%</v>
      </c>
      <c r="AH64" s="2058"/>
      <c r="AI64" s="2055" t="str">
        <f>'PIM Model'!$D$18</f>
        <v>%</v>
      </c>
      <c r="AJ64" s="205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66" t="s">
        <v>95</v>
      </c>
      <c r="D65" s="1866"/>
      <c r="E65" s="1866"/>
      <c r="F65" s="1866"/>
      <c r="G65" s="1866"/>
      <c r="H65" s="1866"/>
      <c r="I65" s="1866"/>
      <c r="J65" s="1866"/>
      <c r="K65" s="1866"/>
      <c r="L65" s="1866"/>
      <c r="M65" s="1866"/>
      <c r="N65" s="1866"/>
      <c r="O65" s="1866"/>
      <c r="P65" s="1866"/>
      <c r="Q65" s="1866"/>
      <c r="R65" s="1866"/>
      <c r="S65" s="1866"/>
      <c r="T65" s="1866"/>
      <c r="U65" s="1866"/>
      <c r="V65" s="1866"/>
      <c r="W65" s="1866"/>
      <c r="X65" s="1866"/>
      <c r="Y65" s="1866"/>
      <c r="Z65" s="1866"/>
      <c r="AC65" s="2058" t="str">
        <f>'PIM Model'!$AD$17</f>
        <v/>
      </c>
      <c r="AD65" s="2058"/>
      <c r="AE65" s="2058" t="str">
        <f>'PIM Model'!$D$17</f>
        <v>%</v>
      </c>
      <c r="AF65" s="2058"/>
      <c r="AG65" s="2058" t="str">
        <f>'PIM Model'!$D$17</f>
        <v>%</v>
      </c>
      <c r="AH65" s="2058"/>
      <c r="AI65" s="2055" t="str">
        <f>'PIM Model'!$D$17</f>
        <v>%</v>
      </c>
      <c r="AJ65" s="205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66" t="s">
        <v>94</v>
      </c>
      <c r="D66" s="1866"/>
      <c r="E66" s="1866"/>
      <c r="F66" s="1866"/>
      <c r="G66" s="1866"/>
      <c r="H66" s="1866"/>
      <c r="I66" s="1866"/>
      <c r="J66" s="1866"/>
      <c r="K66" s="1866"/>
      <c r="L66" s="1866"/>
      <c r="M66" s="1866"/>
      <c r="N66" s="1866"/>
      <c r="O66" s="1866"/>
      <c r="P66" s="1866"/>
      <c r="Q66" s="1866"/>
      <c r="R66" s="1866"/>
      <c r="S66" s="1866"/>
      <c r="T66" s="1866"/>
      <c r="U66" s="1866"/>
      <c r="V66" s="1866"/>
      <c r="W66" s="1866"/>
      <c r="X66" s="1866"/>
      <c r="Y66" s="1866"/>
      <c r="Z66" s="1866"/>
      <c r="AC66" s="2058" t="str">
        <f>'PIM Model'!$AD$27</f>
        <v/>
      </c>
      <c r="AD66" s="2058"/>
      <c r="AE66" s="2058" t="str">
        <f>'PIM Model'!$D$27</f>
        <v>%</v>
      </c>
      <c r="AF66" s="2058"/>
      <c r="AG66" s="2058" t="str">
        <f>'PIM Model'!$D$27</f>
        <v>%</v>
      </c>
      <c r="AH66" s="2058"/>
      <c r="AI66" s="2055" t="str">
        <f>'PIM Model'!$D$27</f>
        <v>%</v>
      </c>
      <c r="AJ66" s="205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55" t="s">
        <v>688</v>
      </c>
      <c r="F67" s="2055"/>
      <c r="G67" s="2055"/>
      <c r="H67" s="2055"/>
      <c r="I67" s="2055"/>
      <c r="J67" s="2055"/>
      <c r="K67" s="2055"/>
      <c r="M67" s="2059" t="str">
        <f>'Pricing Schedule'!$E$21</f>
        <v>T</v>
      </c>
      <c r="N67" s="2059"/>
      <c r="O67" s="2059"/>
      <c r="P67" t="s">
        <v>646</v>
      </c>
      <c r="S67" s="2057"/>
      <c r="T67" s="2057"/>
      <c r="U67" s="2057"/>
      <c r="V67" s="2055" t="s">
        <v>648</v>
      </c>
      <c r="W67" s="205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66" t="s">
        <v>93</v>
      </c>
      <c r="D68" s="1866"/>
      <c r="E68" s="1866"/>
      <c r="F68" s="1866"/>
      <c r="G68" s="1866"/>
      <c r="H68" s="1866"/>
      <c r="I68" s="1866"/>
      <c r="J68" s="1866"/>
      <c r="K68" s="1866"/>
      <c r="L68" s="1866"/>
      <c r="M68" s="1866"/>
      <c r="N68" s="1866"/>
      <c r="O68" s="1866"/>
      <c r="P68" s="1866"/>
      <c r="Q68" s="1866"/>
      <c r="R68" s="1866"/>
      <c r="S68" s="1866"/>
      <c r="T68" s="1866"/>
      <c r="U68" s="1866"/>
      <c r="V68" s="1866"/>
      <c r="W68" s="1866"/>
      <c r="X68" s="1866"/>
      <c r="Y68" s="1866"/>
      <c r="Z68" s="1866"/>
      <c r="AC68" s="2058" t="str">
        <f>'PIM Model'!$AD$21</f>
        <v/>
      </c>
      <c r="AD68" s="2058"/>
      <c r="AE68" s="2058" t="str">
        <f>'PIM Model'!$D$21</f>
        <v>%</v>
      </c>
      <c r="AF68" s="2058"/>
      <c r="AG68" s="2058" t="str">
        <f>'PIM Model'!$D$21</f>
        <v>%</v>
      </c>
      <c r="AH68" s="2058"/>
      <c r="AI68" s="2055" t="str">
        <f>'PIM Model'!$D$21</f>
        <v>%</v>
      </c>
      <c r="AJ68" s="205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66" t="s">
        <v>92</v>
      </c>
      <c r="D69" s="1866"/>
      <c r="E69" s="1866"/>
      <c r="F69" s="1866"/>
      <c r="G69" s="1866"/>
      <c r="H69" s="1866"/>
      <c r="I69" s="1866"/>
      <c r="J69" s="1866"/>
      <c r="K69" s="1866"/>
      <c r="L69" s="1866"/>
      <c r="M69" s="1866"/>
      <c r="N69" s="1866"/>
      <c r="O69" s="1866"/>
      <c r="P69" s="1866"/>
      <c r="Q69" s="1866"/>
      <c r="R69" s="1866"/>
      <c r="S69" s="1866"/>
      <c r="T69" s="1866"/>
      <c r="U69" s="1866"/>
      <c r="V69" s="1866"/>
      <c r="W69" s="1866"/>
      <c r="X69" s="1866"/>
      <c r="Y69" s="1866"/>
      <c r="Z69" s="1866"/>
      <c r="AC69" s="2058" t="str">
        <f>'PIM Model'!$AD$23</f>
        <v/>
      </c>
      <c r="AD69" s="2058"/>
      <c r="AE69" s="2058" t="str">
        <f>'PIM Model'!$D$23</f>
        <v>%</v>
      </c>
      <c r="AF69" s="2058"/>
      <c r="AG69" s="2058" t="str">
        <f>'PIM Model'!$D$23</f>
        <v>%</v>
      </c>
      <c r="AH69" s="2058"/>
      <c r="AI69" s="2055" t="str">
        <f>'PIM Model'!$D$23</f>
        <v>%</v>
      </c>
      <c r="AJ69" s="205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66" t="s">
        <v>91</v>
      </c>
      <c r="D70" s="1866"/>
      <c r="E70" s="1866"/>
      <c r="F70" s="1866"/>
      <c r="G70" s="1866"/>
      <c r="H70" s="1866"/>
      <c r="I70" s="1866"/>
      <c r="J70" s="1866"/>
      <c r="K70" s="1866"/>
      <c r="L70" s="1866"/>
      <c r="M70" s="1866"/>
      <c r="N70" s="1866"/>
      <c r="O70" s="1866"/>
      <c r="P70" s="1866"/>
      <c r="Q70" s="1866"/>
      <c r="R70" s="1866"/>
      <c r="S70" s="1866"/>
      <c r="T70" s="1866"/>
      <c r="U70" s="1866"/>
      <c r="V70" s="1866"/>
      <c r="W70" s="1866"/>
      <c r="X70" s="1866"/>
      <c r="Y70" s="1866"/>
      <c r="Z70" s="1866"/>
      <c r="AC70" s="2058" t="str">
        <f>'PIM Model'!$AD$24</f>
        <v/>
      </c>
      <c r="AD70" s="2058"/>
      <c r="AE70" s="2058" t="str">
        <f>'PIM Model'!$D$24</f>
        <v>%</v>
      </c>
      <c r="AF70" s="2058"/>
      <c r="AG70" s="2058" t="str">
        <f>'PIM Model'!$D$24</f>
        <v>%</v>
      </c>
      <c r="AH70" s="2058"/>
      <c r="AI70" s="2055" t="str">
        <f>'PIM Model'!$D$24</f>
        <v>%</v>
      </c>
      <c r="AJ70" s="2055"/>
      <c r="AK70" s="134"/>
      <c r="AL70" s="134"/>
      <c r="AM70" s="134"/>
      <c r="AN70" s="134"/>
      <c r="AO70" s="1917"/>
      <c r="AP70" s="1917"/>
      <c r="AQ70" s="1917"/>
      <c r="AR70" s="134"/>
      <c r="AS70" s="134"/>
      <c r="AT70" s="1917"/>
      <c r="AU70" s="1917"/>
      <c r="AV70" s="1917"/>
      <c r="AW70" s="134"/>
      <c r="AX70" s="134"/>
      <c r="AY70" s="1917"/>
      <c r="AZ70" s="1917"/>
      <c r="BA70" s="1917"/>
      <c r="BB70" s="134"/>
      <c r="BC70" s="134"/>
      <c r="BD70" s="1917"/>
      <c r="BE70" s="1917"/>
      <c r="BF70" s="2079"/>
    </row>
    <row r="71" spans="2:70" x14ac:dyDescent="0.25">
      <c r="B71" s="137"/>
      <c r="C71" s="1866" t="s">
        <v>90</v>
      </c>
      <c r="D71" s="1866"/>
      <c r="E71" s="1866"/>
      <c r="F71" s="1866"/>
      <c r="G71" s="1866"/>
      <c r="H71" s="1866"/>
      <c r="I71" s="1866"/>
      <c r="J71" s="1866"/>
      <c r="K71" s="1866"/>
      <c r="L71" s="1866"/>
      <c r="M71" s="1866"/>
      <c r="N71" s="1866"/>
      <c r="O71" s="1866"/>
      <c r="P71" s="1866"/>
      <c r="Q71" s="1866"/>
      <c r="R71" s="1866"/>
      <c r="S71" s="1866"/>
      <c r="T71" s="1866"/>
      <c r="U71" s="1866"/>
      <c r="V71" s="1866"/>
      <c r="W71" s="1866"/>
      <c r="X71" s="1866"/>
      <c r="Y71" s="1866"/>
      <c r="Z71" s="1866"/>
      <c r="AC71" s="2058" t="str">
        <f>'PIM Model'!$AD$25</f>
        <v/>
      </c>
      <c r="AD71" s="2058"/>
      <c r="AE71" s="2058" t="str">
        <f>'PIM Model'!$D$25</f>
        <v>%</v>
      </c>
      <c r="AF71" s="2058"/>
      <c r="AG71" s="2058" t="str">
        <f>'PIM Model'!$D$25</f>
        <v>%</v>
      </c>
      <c r="AH71" s="2058"/>
      <c r="AI71" s="2055" t="str">
        <f>'PIM Model'!$D$25</f>
        <v>%</v>
      </c>
      <c r="AJ71" s="2055"/>
      <c r="AK71" s="134"/>
      <c r="AL71" s="134"/>
      <c r="AM71" s="134"/>
      <c r="AN71" s="134"/>
      <c r="AO71" s="1917"/>
      <c r="AP71" s="1917"/>
      <c r="AQ71" s="1917"/>
      <c r="AR71" s="134"/>
      <c r="AS71" s="134"/>
      <c r="AT71" s="1917"/>
      <c r="AU71" s="1917"/>
      <c r="AV71" s="1917"/>
      <c r="AW71" s="134"/>
      <c r="AX71" s="134"/>
      <c r="AY71" s="1917"/>
      <c r="AZ71" s="1917"/>
      <c r="BA71" s="1917"/>
      <c r="BB71" s="134"/>
      <c r="BC71" s="134"/>
      <c r="BD71" s="1917"/>
      <c r="BE71" s="1917"/>
      <c r="BF71" s="2079"/>
    </row>
    <row r="72" spans="2:70" x14ac:dyDescent="0.25">
      <c r="B72" s="137"/>
      <c r="C72" s="1866" t="s">
        <v>89</v>
      </c>
      <c r="D72" s="1866"/>
      <c r="E72" s="1866"/>
      <c r="F72" s="1866"/>
      <c r="G72" s="1866"/>
      <c r="H72" s="1866"/>
      <c r="I72" s="1866"/>
      <c r="J72" s="1866"/>
      <c r="K72" s="1866"/>
      <c r="L72" s="1866"/>
      <c r="M72" s="1866"/>
      <c r="N72" s="1866"/>
      <c r="O72" s="1866"/>
      <c r="P72" s="1866"/>
      <c r="Q72" s="1866"/>
      <c r="R72" s="1866"/>
      <c r="S72" s="1866"/>
      <c r="T72" s="1866"/>
      <c r="U72" s="1866"/>
      <c r="V72" s="1866"/>
      <c r="W72" s="1866"/>
      <c r="X72" s="1866"/>
      <c r="Y72" s="1866"/>
      <c r="Z72" s="1866"/>
      <c r="AC72" s="2058" t="str">
        <f>'PIM Model'!$AD$26</f>
        <v/>
      </c>
      <c r="AD72" s="2058"/>
      <c r="AE72" s="2058" t="str">
        <f>'PIM Model'!$D$26</f>
        <v>%</v>
      </c>
      <c r="AF72" s="2058"/>
      <c r="AG72" s="2058" t="str">
        <f>'PIM Model'!$D$26</f>
        <v>%</v>
      </c>
      <c r="AH72" s="2058"/>
      <c r="AI72" s="2055" t="str">
        <f>'PIM Model'!$D$26</f>
        <v>%</v>
      </c>
      <c r="AJ72" s="2055"/>
      <c r="AK72" s="134"/>
      <c r="AL72" s="134"/>
      <c r="AM72" s="134"/>
      <c r="AN72" s="134"/>
      <c r="AO72" s="1917"/>
      <c r="AP72" s="1917"/>
      <c r="AQ72" s="1917"/>
      <c r="AR72" s="134"/>
      <c r="AS72" s="134"/>
      <c r="AT72" s="1917"/>
      <c r="AU72" s="1917"/>
      <c r="AV72" s="1917"/>
      <c r="AW72" s="134"/>
      <c r="AX72" s="134"/>
      <c r="AY72" s="1917"/>
      <c r="AZ72" s="1917"/>
      <c r="BA72" s="1917"/>
      <c r="BB72" s="134"/>
      <c r="BC72" s="134"/>
      <c r="BD72" s="1917"/>
      <c r="BE72" s="1917"/>
      <c r="BF72" s="2079"/>
    </row>
    <row r="73" spans="2:70" x14ac:dyDescent="0.25">
      <c r="B73" s="137"/>
      <c r="C73" s="1866" t="s">
        <v>88</v>
      </c>
      <c r="D73" s="1866"/>
      <c r="E73" s="1866"/>
      <c r="F73" s="1866"/>
      <c r="G73" s="1866"/>
      <c r="H73" s="1866"/>
      <c r="I73" s="1866"/>
      <c r="J73" s="1866"/>
      <c r="K73" s="1866"/>
      <c r="L73" s="1866"/>
      <c r="M73" s="1866"/>
      <c r="N73" s="1866"/>
      <c r="O73" s="1866"/>
      <c r="P73" s="1866"/>
      <c r="Q73" s="1866"/>
      <c r="R73" s="1866"/>
      <c r="S73" s="1866"/>
      <c r="T73" s="1866"/>
      <c r="U73" s="1866"/>
      <c r="V73" s="1866"/>
      <c r="W73" s="1866"/>
      <c r="X73" s="1866"/>
      <c r="Y73" s="1866"/>
      <c r="Z73" s="1866"/>
      <c r="AC73" s="2058" t="str">
        <f>'PIM Model'!$AD$29</f>
        <v/>
      </c>
      <c r="AD73" s="2058"/>
      <c r="AE73" s="2058" t="str">
        <f>'PIM Model'!$D$29</f>
        <v>%</v>
      </c>
      <c r="AF73" s="2058"/>
      <c r="AG73" s="2058" t="str">
        <f>'PIM Model'!$D$29</f>
        <v>%</v>
      </c>
      <c r="AH73" s="2058"/>
      <c r="AI73" s="2055" t="str">
        <f>'PIM Model'!$D$29</f>
        <v>%</v>
      </c>
      <c r="AJ73" s="2055"/>
      <c r="AK73" s="134"/>
      <c r="AL73" s="134"/>
      <c r="AM73" s="134"/>
      <c r="AN73" s="134"/>
      <c r="AO73" s="1917"/>
      <c r="AP73" s="1917"/>
      <c r="AQ73" s="1917"/>
      <c r="AR73" s="134"/>
      <c r="AS73" s="134"/>
      <c r="AT73" s="1917"/>
      <c r="AU73" s="1917"/>
      <c r="AV73" s="1917"/>
      <c r="AW73" s="134"/>
      <c r="AX73" s="134"/>
      <c r="AY73" s="1917"/>
      <c r="AZ73" s="1917"/>
      <c r="BA73" s="1917"/>
      <c r="BB73" s="134"/>
      <c r="BC73" s="134"/>
      <c r="BD73" s="1917"/>
      <c r="BE73" s="1917"/>
      <c r="BF73" s="2079"/>
    </row>
    <row r="74" spans="2:70" x14ac:dyDescent="0.25">
      <c r="B74" s="137"/>
      <c r="C74" s="1866" t="s">
        <v>87</v>
      </c>
      <c r="D74" s="1866"/>
      <c r="E74" s="1866"/>
      <c r="F74" s="1866"/>
      <c r="G74" s="1866"/>
      <c r="H74" s="1866"/>
      <c r="I74" s="1866"/>
      <c r="J74" s="1866"/>
      <c r="K74" s="1866"/>
      <c r="L74" s="1866"/>
      <c r="M74" s="1866"/>
      <c r="N74" s="1866"/>
      <c r="O74" s="1866"/>
      <c r="P74" s="1866"/>
      <c r="Q74" s="1866"/>
      <c r="R74" s="1866"/>
      <c r="S74" s="1866"/>
      <c r="T74" s="1866"/>
      <c r="U74" s="1866"/>
      <c r="V74" s="1866"/>
      <c r="W74" s="1866"/>
      <c r="X74" s="1866"/>
      <c r="Y74" s="1866"/>
      <c r="Z74" s="1866"/>
      <c r="AC74" s="2058" t="str">
        <f>'PIM Model'!$AD$30</f>
        <v/>
      </c>
      <c r="AD74" s="2058"/>
      <c r="AE74" s="2058" t="str">
        <f>'PIM Model'!$D$30</f>
        <v>%</v>
      </c>
      <c r="AF74" s="2058"/>
      <c r="AG74" s="2058" t="str">
        <f>'PIM Model'!$D$30</f>
        <v>%</v>
      </c>
      <c r="AH74" s="2058"/>
      <c r="AI74" s="2055" t="str">
        <f>'PIM Model'!$D$30</f>
        <v>%</v>
      </c>
      <c r="AJ74" s="2055"/>
      <c r="AK74" s="134"/>
      <c r="AL74" s="134"/>
      <c r="AM74" s="134"/>
      <c r="AN74" s="134"/>
      <c r="AO74" s="1917"/>
      <c r="AP74" s="1917"/>
      <c r="AQ74" s="1917"/>
      <c r="AR74" s="134"/>
      <c r="AS74" s="134"/>
      <c r="AT74" s="1917"/>
      <c r="AU74" s="1917"/>
      <c r="AV74" s="1917"/>
      <c r="AW74" s="134"/>
      <c r="AX74" s="134"/>
      <c r="AY74" s="1917"/>
      <c r="AZ74" s="1917"/>
      <c r="BA74" s="1917"/>
      <c r="BB74" s="134"/>
      <c r="BC74" s="134"/>
      <c r="BD74" s="1917"/>
      <c r="BE74" s="1917"/>
      <c r="BF74" s="2079"/>
    </row>
    <row r="75" spans="2:70" x14ac:dyDescent="0.25">
      <c r="B75" s="137"/>
      <c r="C75" s="1866" t="s">
        <v>86</v>
      </c>
      <c r="D75" s="1866"/>
      <c r="E75" s="1866"/>
      <c r="F75" s="1866"/>
      <c r="G75" s="1866"/>
      <c r="H75" s="1866"/>
      <c r="I75" s="1866"/>
      <c r="J75" s="1866"/>
      <c r="K75" s="1866"/>
      <c r="L75" s="1866"/>
      <c r="M75" s="1866"/>
      <c r="N75" s="1866"/>
      <c r="O75" s="1866"/>
      <c r="P75" s="1866"/>
      <c r="Q75" s="1866"/>
      <c r="R75" s="1866"/>
      <c r="S75" s="1866"/>
      <c r="T75" s="1866"/>
      <c r="U75" s="1866"/>
      <c r="V75" s="1866"/>
      <c r="W75" s="1866"/>
      <c r="X75" s="1866"/>
      <c r="Y75" s="1866"/>
      <c r="Z75" s="1866"/>
      <c r="AC75" s="2058" t="str">
        <f>'PIM Model'!$AD$28</f>
        <v/>
      </c>
      <c r="AD75" s="2058"/>
      <c r="AE75" s="2058" t="str">
        <f>'PIM Model'!$D$28</f>
        <v>%</v>
      </c>
      <c r="AF75" s="2058"/>
      <c r="AG75" s="2058" t="str">
        <f>'PIM Model'!$D$28</f>
        <v>%</v>
      </c>
      <c r="AH75" s="2058"/>
      <c r="AI75" s="2055" t="str">
        <f>'PIM Model'!$D$28</f>
        <v>%</v>
      </c>
      <c r="AJ75" s="2055"/>
      <c r="BF75" s="138"/>
    </row>
    <row r="76" spans="2:70" x14ac:dyDescent="0.25">
      <c r="B76" s="137"/>
      <c r="C76" s="1866" t="s">
        <v>105</v>
      </c>
      <c r="D76" s="1866"/>
      <c r="E76" s="1866"/>
      <c r="F76" s="1866"/>
      <c r="G76" s="1866"/>
      <c r="H76" s="1866"/>
      <c r="I76" s="1866"/>
      <c r="J76" s="1866"/>
      <c r="K76" s="1866"/>
      <c r="L76" s="1866"/>
      <c r="M76" s="1866"/>
      <c r="N76" s="1866"/>
      <c r="O76" s="1866"/>
      <c r="P76" s="1866"/>
      <c r="Q76" s="1866"/>
      <c r="R76" s="1866"/>
      <c r="S76" s="1866"/>
      <c r="T76" s="1866"/>
      <c r="U76" s="1866"/>
      <c r="V76" s="1866"/>
      <c r="W76" s="1866"/>
      <c r="X76" s="1866"/>
      <c r="Y76" s="1866"/>
      <c r="Z76" s="1866"/>
      <c r="AC76" s="2058" t="str">
        <f>'PIM Model'!$AD$22</f>
        <v/>
      </c>
      <c r="AD76" s="2058"/>
      <c r="AE76" s="2058" t="str">
        <f>'PIM Model'!$D$22</f>
        <v>%</v>
      </c>
      <c r="AF76" s="2058"/>
      <c r="AG76" s="2058" t="str">
        <f>'PIM Model'!$D$22</f>
        <v>%</v>
      </c>
      <c r="AH76" s="2058"/>
      <c r="AI76" s="2055" t="str">
        <f>'PIM Model'!$D$22</f>
        <v>%</v>
      </c>
      <c r="AJ76" s="2055"/>
      <c r="BF76" s="138"/>
    </row>
    <row r="77" spans="2:70" x14ac:dyDescent="0.25">
      <c r="B77" s="577"/>
      <c r="C77" s="2086" t="s">
        <v>719</v>
      </c>
      <c r="D77" s="2086"/>
      <c r="E77" s="2086"/>
      <c r="F77" s="2086"/>
      <c r="G77" s="2086"/>
      <c r="H77" s="2086"/>
      <c r="I77" s="2086"/>
      <c r="J77" s="2086"/>
      <c r="K77" s="2086"/>
      <c r="L77" s="2086"/>
      <c r="M77" s="2086"/>
      <c r="N77" s="2086"/>
      <c r="O77" s="2086"/>
      <c r="P77" s="2086"/>
      <c r="Q77" s="2086"/>
      <c r="R77" s="2086"/>
      <c r="S77" s="2086"/>
      <c r="T77" s="2086"/>
      <c r="U77" s="2086"/>
      <c r="V77" s="2086"/>
      <c r="W77" s="2086"/>
      <c r="X77" s="2086"/>
      <c r="Y77" s="2086"/>
      <c r="Z77" s="2086"/>
      <c r="AC77" s="2058" t="str">
        <f>'PIM Model'!$AD$12</f>
        <v/>
      </c>
      <c r="AD77" s="2058"/>
      <c r="AE77" s="2058" t="str">
        <f>'PIM Model'!$D$12</f>
        <v>%</v>
      </c>
      <c r="AF77" s="2058"/>
      <c r="AG77" s="2058" t="str">
        <f>'PIM Model'!$D$12</f>
        <v>%</v>
      </c>
      <c r="AH77" s="2058"/>
      <c r="AI77" s="2055" t="str">
        <f>'PIM Model'!$D$12</f>
        <v>%</v>
      </c>
      <c r="AJ77" s="2055"/>
      <c r="BF77" s="138"/>
    </row>
    <row r="78" spans="2:70" x14ac:dyDescent="0.25">
      <c r="B78" s="137"/>
      <c r="C78" s="2086" t="s">
        <v>720</v>
      </c>
      <c r="D78" s="2086"/>
      <c r="E78" s="2086"/>
      <c r="F78" s="2086"/>
      <c r="G78" s="2086"/>
      <c r="H78" s="2086"/>
      <c r="I78" s="2086"/>
      <c r="J78" s="2086"/>
      <c r="K78" s="2086"/>
      <c r="L78" s="2086"/>
      <c r="M78" s="2086"/>
      <c r="N78" s="2086"/>
      <c r="O78" s="2086"/>
      <c r="P78" s="2086"/>
      <c r="Q78" s="2086"/>
      <c r="R78" s="2086"/>
      <c r="S78" s="2086"/>
      <c r="T78" s="2086"/>
      <c r="U78" s="2086"/>
      <c r="V78" s="2086"/>
      <c r="W78" s="2086"/>
      <c r="X78" s="2086"/>
      <c r="Y78" s="2086"/>
      <c r="Z78" s="2086"/>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55" t="s">
        <v>687</v>
      </c>
      <c r="E81" s="2055"/>
      <c r="F81" s="2055"/>
      <c r="G81" s="2055"/>
      <c r="H81" s="2055"/>
      <c r="I81" s="2055"/>
      <c r="J81" s="2055"/>
      <c r="K81" s="2055"/>
      <c r="L81" s="2055"/>
      <c r="M81" s="2055"/>
      <c r="N81" s="2055"/>
      <c r="O81" s="2055"/>
      <c r="P81" s="2055"/>
      <c r="Q81" s="2055"/>
      <c r="R81" s="2055"/>
      <c r="S81" s="2055"/>
      <c r="T81" s="2055"/>
      <c r="U81" s="2055"/>
      <c r="V81" s="2055"/>
      <c r="W81" s="2055"/>
      <c r="X81" s="2055"/>
      <c r="Y81" s="2055"/>
      <c r="Z81" s="2055"/>
      <c r="AA81" s="2055"/>
      <c r="AB81" s="2055"/>
      <c r="AC81" s="2055"/>
      <c r="AD81" s="2055"/>
      <c r="AE81" s="2055"/>
      <c r="AF81" s="2055"/>
      <c r="AG81" s="2055"/>
      <c r="AH81" s="2055"/>
      <c r="AI81" s="2055"/>
      <c r="AJ81" s="2055"/>
      <c r="AK81" s="2055"/>
      <c r="AL81" s="2055"/>
      <c r="AM81" s="2055"/>
      <c r="AN81" s="2055"/>
      <c r="AO81" s="2055"/>
      <c r="AP81" s="2055"/>
      <c r="AQ81" s="2055"/>
      <c r="AR81" s="2055"/>
      <c r="AS81" s="2055"/>
      <c r="AT81" s="2055"/>
      <c r="AU81" s="2055"/>
      <c r="AV81" s="2055"/>
      <c r="AW81" s="2055"/>
      <c r="AX81" s="2055"/>
      <c r="AY81" s="2055"/>
      <c r="AZ81" s="2055"/>
      <c r="BA81" s="2055"/>
      <c r="BB81" s="2055"/>
      <c r="BC81" s="2055"/>
      <c r="BD81" s="2055"/>
      <c r="BF81" s="138"/>
    </row>
    <row r="82" spans="1:70" x14ac:dyDescent="0.25">
      <c r="B82" s="137"/>
      <c r="D82" s="2059" t="s">
        <v>239</v>
      </c>
      <c r="E82" s="2059"/>
      <c r="F82" s="2055" t="s">
        <v>686</v>
      </c>
      <c r="G82" s="2055"/>
      <c r="H82" s="2055"/>
      <c r="I82" s="2055"/>
      <c r="J82" s="2055"/>
      <c r="K82" s="2055"/>
      <c r="L82" s="2055"/>
      <c r="M82" s="2055"/>
      <c r="N82" s="2055"/>
      <c r="O82" s="2055"/>
      <c r="P82" s="2055"/>
      <c r="Q82" s="2055"/>
      <c r="R82" s="2055"/>
      <c r="S82" s="2055"/>
      <c r="T82" s="2055"/>
      <c r="U82" s="2055"/>
      <c r="V82" s="2055"/>
      <c r="W82" s="2055"/>
      <c r="X82" s="2055"/>
      <c r="Y82" s="2055"/>
      <c r="Z82" s="2055"/>
      <c r="AA82" s="2055"/>
      <c r="AB82" s="2055"/>
      <c r="AC82" s="2055"/>
      <c r="AD82" s="2055"/>
      <c r="AE82" s="2055"/>
      <c r="AF82" s="2055"/>
      <c r="AG82" s="2055"/>
      <c r="AH82" s="2055"/>
      <c r="AI82" s="2055"/>
      <c r="AJ82" s="2055"/>
      <c r="AK82" s="2055"/>
      <c r="AL82" s="2055"/>
      <c r="AM82" s="2055"/>
      <c r="AN82" s="2055"/>
      <c r="AO82" s="2055"/>
      <c r="AP82" s="2055"/>
      <c r="AQ82" s="2055"/>
      <c r="AR82" s="2055"/>
      <c r="AS82" s="2055"/>
      <c r="AT82" s="2055"/>
      <c r="AU82" s="2055"/>
      <c r="AV82" s="2055"/>
      <c r="AW82" s="2055"/>
      <c r="AX82" s="2055"/>
      <c r="AY82" s="2055"/>
      <c r="AZ82" s="2055"/>
      <c r="BA82" s="2055"/>
      <c r="BB82" s="2055"/>
      <c r="BC82" s="2055"/>
      <c r="BD82" s="2055"/>
      <c r="BF82" s="138"/>
    </row>
    <row r="83" spans="1:70" x14ac:dyDescent="0.25">
      <c r="B83" s="137"/>
      <c r="D83" s="2057"/>
      <c r="E83" s="2057"/>
      <c r="F83" s="2055" t="s">
        <v>685</v>
      </c>
      <c r="G83" s="2055"/>
      <c r="H83" s="2055"/>
      <c r="I83" s="2055"/>
      <c r="J83" s="2055"/>
      <c r="K83" s="2055"/>
      <c r="L83" s="2055"/>
      <c r="M83" s="2055"/>
      <c r="N83" s="2055"/>
      <c r="O83" s="2055"/>
      <c r="P83" s="2055"/>
      <c r="Q83" s="2055"/>
      <c r="R83" s="2055"/>
      <c r="S83" s="2055"/>
      <c r="T83" s="2055"/>
      <c r="U83" s="2055"/>
      <c r="V83" s="2055"/>
      <c r="W83" s="2055"/>
      <c r="X83" s="2055"/>
      <c r="Y83" s="2055"/>
      <c r="Z83" s="2055"/>
      <c r="AA83" s="2055"/>
      <c r="AB83" s="2055"/>
      <c r="AC83" s="2055"/>
      <c r="AD83" s="2055"/>
      <c r="AE83" s="2055"/>
      <c r="AF83" s="2055"/>
      <c r="AG83" s="2055"/>
      <c r="AH83" s="2055"/>
      <c r="AI83" s="2055"/>
      <c r="AJ83" s="2055"/>
      <c r="AK83" s="2055"/>
      <c r="AL83" s="2055"/>
      <c r="AM83" s="2055"/>
      <c r="AN83" s="2055"/>
      <c r="AO83" s="2055"/>
      <c r="AP83" s="2055"/>
      <c r="AQ83" s="2055"/>
      <c r="AR83" s="2055"/>
      <c r="AS83" s="2055"/>
      <c r="AT83" s="2055"/>
      <c r="AU83" s="2055"/>
      <c r="AV83" s="2055"/>
      <c r="AW83" s="2055"/>
      <c r="AX83" s="2055"/>
      <c r="AY83" s="2055"/>
      <c r="AZ83" s="2055"/>
      <c r="BA83" s="2055"/>
      <c r="BB83" s="2055"/>
      <c r="BC83" s="2055"/>
      <c r="BD83" s="2055"/>
      <c r="BF83" s="138"/>
    </row>
    <row r="84" spans="1:70" x14ac:dyDescent="0.25">
      <c r="A84" s="269"/>
      <c r="B84" s="137"/>
      <c r="D84" s="2057"/>
      <c r="E84" s="2057"/>
      <c r="F84" s="2055" t="s">
        <v>684</v>
      </c>
      <c r="G84" s="2055"/>
      <c r="H84" s="2055"/>
      <c r="I84" s="2055"/>
      <c r="J84" s="2055"/>
      <c r="K84" s="2055"/>
      <c r="L84" s="2055"/>
      <c r="M84" s="2055"/>
      <c r="N84" s="2055"/>
      <c r="O84" s="2055"/>
      <c r="P84" s="2055"/>
      <c r="Q84" s="2055"/>
      <c r="R84" s="2055"/>
      <c r="S84" s="2055"/>
      <c r="T84" s="2055"/>
      <c r="U84" s="2055"/>
      <c r="V84" s="2055"/>
      <c r="W84" s="2055"/>
      <c r="X84" s="2055"/>
      <c r="Y84" s="2055"/>
      <c r="Z84" s="2055"/>
      <c r="AA84" s="2055"/>
      <c r="AB84" s="2055"/>
      <c r="AC84" s="2055"/>
      <c r="AD84" s="2055"/>
      <c r="AE84" s="2055"/>
      <c r="AF84" s="2055"/>
      <c r="AG84" s="2055"/>
      <c r="AH84" s="2055"/>
      <c r="AI84" s="2055"/>
      <c r="AJ84" s="2055"/>
      <c r="AK84" s="2055"/>
      <c r="AL84" s="2055"/>
      <c r="AM84" s="2055"/>
      <c r="AN84" s="2055"/>
      <c r="AO84" s="2055"/>
      <c r="AP84" s="2055"/>
      <c r="AQ84" s="2055"/>
      <c r="AR84" s="2055"/>
      <c r="AS84" s="2055"/>
      <c r="AT84" s="2055"/>
      <c r="AU84" s="2055"/>
      <c r="AV84" s="2055"/>
      <c r="AW84" s="2055"/>
      <c r="AX84" s="2055"/>
      <c r="AY84" s="2055"/>
      <c r="AZ84" s="2055"/>
      <c r="BA84" s="2055"/>
      <c r="BB84" s="2055"/>
      <c r="BC84" s="2055"/>
      <c r="BD84" s="2055"/>
      <c r="BF84" s="138"/>
    </row>
    <row r="85" spans="1:70" x14ac:dyDescent="0.25">
      <c r="B85" s="137"/>
      <c r="BF85" s="138"/>
    </row>
    <row r="86" spans="1:70" x14ac:dyDescent="0.25">
      <c r="B86" s="137"/>
      <c r="D86" s="2055" t="s">
        <v>683</v>
      </c>
      <c r="E86" s="2055"/>
      <c r="F86" s="2055"/>
      <c r="G86" s="2055"/>
      <c r="H86" s="2055"/>
      <c r="I86" s="2055"/>
      <c r="J86" s="2055"/>
      <c r="K86" s="2055"/>
      <c r="L86" s="2055"/>
      <c r="M86" s="2055"/>
      <c r="N86" s="2055"/>
      <c r="O86" s="2055"/>
      <c r="P86" s="2055"/>
      <c r="Q86" s="2055"/>
      <c r="R86" s="2055"/>
      <c r="S86" s="2055"/>
      <c r="T86" s="2055"/>
      <c r="U86" s="2055"/>
      <c r="V86" s="2055"/>
      <c r="W86" s="2055"/>
      <c r="X86" s="2055"/>
      <c r="Y86" s="2055"/>
      <c r="Z86" s="2055"/>
      <c r="AA86" s="2055"/>
      <c r="AB86" s="2055"/>
      <c r="AC86" s="2055"/>
      <c r="AD86" s="2055"/>
      <c r="AE86" s="2055"/>
      <c r="AF86" s="2055"/>
      <c r="AG86" s="2055"/>
      <c r="AH86" s="2055"/>
      <c r="AI86" s="2055"/>
      <c r="AJ86" s="2055"/>
      <c r="AK86" s="2055"/>
      <c r="AL86" s="2055"/>
      <c r="AM86" s="2055"/>
      <c r="AN86" s="2055"/>
      <c r="AO86" s="2055"/>
      <c r="AP86" s="2055"/>
      <c r="AQ86" s="2055"/>
      <c r="AR86" s="2055"/>
      <c r="AS86" s="2055"/>
      <c r="AT86" s="2055"/>
      <c r="AU86" s="2055"/>
      <c r="AV86" s="2055"/>
      <c r="AW86" s="2055"/>
      <c r="AX86" s="2055"/>
      <c r="AY86" s="2055"/>
      <c r="AZ86" s="2055"/>
      <c r="BA86" s="2055"/>
      <c r="BB86" s="2055"/>
      <c r="BC86" s="2055"/>
      <c r="BD86" s="2055"/>
      <c r="BF86" s="138"/>
    </row>
    <row r="87" spans="1:70" x14ac:dyDescent="0.25">
      <c r="B87" s="137"/>
      <c r="D87" s="2059" t="s">
        <v>239</v>
      </c>
      <c r="E87" s="2059"/>
      <c r="F87" s="2055" t="s">
        <v>682</v>
      </c>
      <c r="G87" s="2055"/>
      <c r="H87" s="2055"/>
      <c r="I87" s="2055"/>
      <c r="J87" s="2055"/>
      <c r="K87" s="2055"/>
      <c r="L87" s="2055"/>
      <c r="M87" s="2055"/>
      <c r="N87" s="2055"/>
      <c r="O87" s="2055"/>
      <c r="P87" s="2055"/>
      <c r="Q87" s="2055"/>
      <c r="R87" s="2055"/>
      <c r="S87" s="2055"/>
      <c r="T87" s="2055"/>
      <c r="U87" s="2055"/>
      <c r="V87" s="2055"/>
      <c r="W87" s="2055"/>
      <c r="X87" s="2055"/>
      <c r="Y87" s="2055"/>
      <c r="Z87" s="2055"/>
      <c r="AA87" s="2055"/>
      <c r="AB87" s="2055"/>
      <c r="AC87" s="2055"/>
      <c r="AD87" s="2055"/>
      <c r="AE87" s="2055"/>
      <c r="AF87" s="2055"/>
      <c r="AG87" s="2055"/>
      <c r="AH87" s="2055"/>
      <c r="AI87" s="2055"/>
      <c r="AJ87" s="2055"/>
      <c r="AK87" s="2055"/>
      <c r="AL87" s="2055"/>
      <c r="AM87" s="2055"/>
      <c r="AN87" s="2055"/>
      <c r="AO87" s="2055"/>
      <c r="AP87" s="2055"/>
      <c r="AQ87" s="2055"/>
      <c r="AR87" s="2055"/>
      <c r="AS87" s="2055"/>
      <c r="AT87" s="2055"/>
      <c r="AU87" s="2055"/>
      <c r="AV87" s="2055"/>
      <c r="AW87" s="2055"/>
      <c r="AX87" s="2055"/>
      <c r="AY87" s="2055"/>
      <c r="AZ87" s="2055"/>
      <c r="BA87" s="2055"/>
      <c r="BB87" s="2055"/>
      <c r="BC87" s="2055"/>
      <c r="BD87" s="2055"/>
      <c r="BF87" s="138"/>
    </row>
    <row r="88" spans="1:70" x14ac:dyDescent="0.25">
      <c r="B88" s="137"/>
      <c r="D88" s="2057"/>
      <c r="E88" s="2057"/>
      <c r="F88" s="2055" t="s">
        <v>681</v>
      </c>
      <c r="G88" s="2055"/>
      <c r="H88" s="2055"/>
      <c r="I88" s="2055"/>
      <c r="J88" s="2055"/>
      <c r="K88" s="2055"/>
      <c r="L88" s="2055"/>
      <c r="M88" s="2055"/>
      <c r="N88" s="2055"/>
      <c r="O88" s="2055"/>
      <c r="P88" s="2055"/>
      <c r="Q88" s="2055"/>
      <c r="R88" s="2055"/>
      <c r="S88" s="2055"/>
      <c r="T88" s="2055"/>
      <c r="U88" s="2055"/>
      <c r="V88" s="2055"/>
      <c r="W88" s="2055"/>
      <c r="X88" s="2055"/>
      <c r="Y88" s="2055"/>
      <c r="Z88" s="2055"/>
      <c r="AA88" s="2055"/>
      <c r="AB88" s="2055"/>
      <c r="AC88" s="2055"/>
      <c r="AD88" s="2055"/>
      <c r="AE88" s="2055"/>
      <c r="AF88" s="2055"/>
      <c r="AG88" s="2055"/>
      <c r="AH88" s="2055"/>
      <c r="AI88" s="2055"/>
      <c r="AJ88" s="2055"/>
      <c r="AK88" s="2055"/>
      <c r="AL88" s="2055"/>
      <c r="AM88" s="2055"/>
      <c r="AN88" s="2055"/>
      <c r="AO88" s="2055"/>
      <c r="AP88" s="2055"/>
      <c r="AQ88" s="2055"/>
      <c r="AR88" s="2055"/>
      <c r="AS88" s="2055"/>
      <c r="AT88" s="2055"/>
      <c r="AU88" s="2055"/>
      <c r="AV88" s="2055"/>
      <c r="AW88" s="2055"/>
      <c r="AX88" s="2055"/>
      <c r="AY88" s="2055"/>
      <c r="AZ88" s="2055"/>
      <c r="BA88" s="2055"/>
      <c r="BB88" s="2055"/>
      <c r="BC88" s="2055"/>
      <c r="BD88" s="205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13" t="s">
        <v>957</v>
      </c>
      <c r="C92" s="2014"/>
      <c r="D92" s="2014"/>
      <c r="E92" s="2014"/>
      <c r="F92" s="2014"/>
      <c r="G92" s="2014"/>
      <c r="H92" s="2014"/>
      <c r="I92" s="2014"/>
      <c r="J92" s="2014"/>
      <c r="K92" s="2014"/>
      <c r="L92" s="2014"/>
      <c r="M92" s="2014"/>
      <c r="N92" s="2014"/>
      <c r="O92" s="2014"/>
      <c r="P92" s="2014"/>
      <c r="Q92" s="2014"/>
      <c r="R92" s="2014"/>
      <c r="S92" s="2014"/>
      <c r="T92" s="2014"/>
      <c r="U92" s="2014"/>
      <c r="V92" s="2014"/>
      <c r="W92" s="2014"/>
      <c r="X92" s="2014"/>
      <c r="Y92" s="2014"/>
      <c r="Z92" s="2014"/>
      <c r="AA92" s="2014"/>
      <c r="AB92" s="2014"/>
      <c r="AC92" s="2014"/>
      <c r="AD92" s="2014"/>
      <c r="AE92" s="2014"/>
      <c r="AF92" s="2014"/>
      <c r="AG92" s="2014"/>
      <c r="AH92" s="2014"/>
      <c r="AI92" s="2014"/>
      <c r="AJ92" s="2014"/>
      <c r="AK92" s="2014"/>
      <c r="AL92" s="2014"/>
      <c r="AM92" s="2014"/>
      <c r="AN92" s="2014"/>
      <c r="AO92" s="2014"/>
      <c r="AP92" s="2014"/>
      <c r="AQ92" s="2014"/>
      <c r="AR92" s="2014"/>
      <c r="AS92" s="2014"/>
      <c r="AT92" s="2014"/>
      <c r="AU92" s="2014"/>
      <c r="AV92" s="2014"/>
      <c r="AW92" s="2014"/>
      <c r="AX92" s="2014"/>
      <c r="AY92" s="2014"/>
      <c r="AZ92" s="2014"/>
      <c r="BA92" s="2014"/>
      <c r="BB92" s="2014"/>
      <c r="BC92" s="2014"/>
      <c r="BD92" s="2014"/>
      <c r="BE92" s="2014"/>
      <c r="BF92" s="2015"/>
    </row>
    <row r="93" spans="1:70" ht="15.75" thickBot="1" x14ac:dyDescent="0.3">
      <c r="B93" s="137"/>
      <c r="BF93" s="138"/>
      <c r="BR93" s="262"/>
    </row>
    <row r="94" spans="1:70" ht="15.75" thickBot="1" x14ac:dyDescent="0.3">
      <c r="B94" s="137"/>
      <c r="D94" s="2050" t="s">
        <v>723</v>
      </c>
      <c r="E94" s="2020"/>
      <c r="F94" s="2020"/>
      <c r="G94" s="2020"/>
      <c r="H94" s="2020"/>
      <c r="I94" s="2020"/>
      <c r="J94" s="2020"/>
      <c r="K94" s="2019" t="s">
        <v>724</v>
      </c>
      <c r="L94" s="2020"/>
      <c r="M94" s="2020"/>
      <c r="N94" s="2020"/>
      <c r="O94" s="2020"/>
      <c r="P94" s="2020"/>
      <c r="Q94" s="2020"/>
      <c r="R94" s="2020"/>
      <c r="S94" s="2020"/>
      <c r="T94" s="2020"/>
      <c r="U94" s="2019" t="s">
        <v>767</v>
      </c>
      <c r="V94" s="2020"/>
      <c r="W94" s="2020"/>
      <c r="X94" s="2020"/>
      <c r="Y94" s="2020"/>
      <c r="Z94" s="2020"/>
      <c r="AA94" s="2020"/>
      <c r="AB94" s="2020"/>
      <c r="AC94" s="2020"/>
      <c r="AD94" s="2020"/>
      <c r="AE94" s="2020"/>
      <c r="AF94" s="2020"/>
      <c r="AG94" s="2020"/>
      <c r="AH94" s="2020"/>
      <c r="AI94" s="2020"/>
      <c r="AJ94" s="2019" t="s">
        <v>768</v>
      </c>
      <c r="AK94" s="2020"/>
      <c r="AL94" s="2020"/>
      <c r="AM94" s="2020"/>
      <c r="AN94" s="2020"/>
      <c r="AO94" s="2020"/>
      <c r="AP94" s="2020"/>
      <c r="AQ94" s="2020"/>
      <c r="AR94" s="2020"/>
      <c r="AS94" s="2020"/>
      <c r="AT94" s="2021"/>
      <c r="AU94" s="2019" t="s">
        <v>769</v>
      </c>
      <c r="AV94" s="2020"/>
      <c r="AW94" s="2020"/>
      <c r="AX94" s="2021"/>
      <c r="AY94" s="2019" t="s">
        <v>810</v>
      </c>
      <c r="AZ94" s="2020"/>
      <c r="BA94" s="2020"/>
      <c r="BB94" s="2020"/>
      <c r="BC94" s="2031"/>
      <c r="BF94" s="138"/>
    </row>
    <row r="95" spans="1:70" x14ac:dyDescent="0.25">
      <c r="B95" s="137"/>
      <c r="C95" s="536">
        <v>1</v>
      </c>
      <c r="D95" s="2049">
        <f>'Customer Inputs'!$B$6</f>
        <v>0</v>
      </c>
      <c r="E95" s="2049"/>
      <c r="F95" s="2049"/>
      <c r="G95" s="2049"/>
      <c r="H95" s="2049"/>
      <c r="I95" s="2049"/>
      <c r="J95" s="2049"/>
      <c r="K95" s="2036" t="str">
        <f>IFERROR(IFERROR('Multi-Customer'!$BK$39,VLOOKUP($D95,'Required Info to Submit'!$E$23:$J$32,2,FALSE)),"")</f>
        <v/>
      </c>
      <c r="L95" s="2036"/>
      <c r="M95" s="2036"/>
      <c r="N95" s="2036"/>
      <c r="O95" s="2036"/>
      <c r="P95" s="2036"/>
      <c r="Q95" s="2036"/>
      <c r="R95" s="2036"/>
      <c r="S95" s="2036"/>
      <c r="T95" s="2036"/>
      <c r="U95" s="2036" t="str">
        <f>IFERROR(IFERROR('Multi-Customer'!$BK$41&amp;" "&amp;'Multi-Customer'!$BK$42,VLOOKUP($D95,'Required Info to Submit'!$E$23:$J$32,3,FALSE)),"")</f>
        <v/>
      </c>
      <c r="V95" s="2036"/>
      <c r="W95" s="2036"/>
      <c r="X95" s="2036"/>
      <c r="Y95" s="2036"/>
      <c r="Z95" s="2036"/>
      <c r="AA95" s="2036"/>
      <c r="AB95" s="2036"/>
      <c r="AC95" s="2036"/>
      <c r="AD95" s="2036"/>
      <c r="AE95" s="2036"/>
      <c r="AF95" s="2036"/>
      <c r="AG95" s="2036"/>
      <c r="AH95" s="2036"/>
      <c r="AI95" s="2036"/>
      <c r="AJ95" s="2043" t="str">
        <f>IFERROR(IFERROR('Multi-Customer'!$BK$43,VLOOKUP($D95,'Required Info to Submit'!$E$23:$J$32,4,FALSE)),"")</f>
        <v/>
      </c>
      <c r="AK95" s="2044"/>
      <c r="AL95" s="2044"/>
      <c r="AM95" s="2044"/>
      <c r="AN95" s="2044"/>
      <c r="AO95" s="2044"/>
      <c r="AP95" s="2044"/>
      <c r="AQ95" s="2044"/>
      <c r="AR95" s="2044"/>
      <c r="AS95" s="2044"/>
      <c r="AT95" s="2045"/>
      <c r="AU95" s="2016" t="str">
        <f>IFERROR(IFERROR('Multi-Customer'!$BK$44,VLOOKUP($D95,'Required Info to Submit'!$E$23:$J$32,5,FALSE)),"")</f>
        <v/>
      </c>
      <c r="AV95" s="2017"/>
      <c r="AW95" s="2017"/>
      <c r="AX95" s="2018"/>
      <c r="AY95" s="2028" t="str">
        <f>IFERROR(IFERROR('Multi-Customer'!$BK$45,VLOOKUP($D95,'Required Info to Submit'!$E$23:$J$32,6,FALSE)),"")</f>
        <v/>
      </c>
      <c r="AZ95" s="2029"/>
      <c r="BA95" s="2029"/>
      <c r="BB95" s="2029"/>
      <c r="BC95" s="2030"/>
      <c r="BF95" s="138"/>
    </row>
    <row r="96" spans="1:70" x14ac:dyDescent="0.25">
      <c r="B96" s="137"/>
      <c r="C96" s="537">
        <v>2</v>
      </c>
      <c r="D96" s="2048">
        <f>'Customer Inputs'!$B$7</f>
        <v>0</v>
      </c>
      <c r="E96" s="2048"/>
      <c r="F96" s="2048"/>
      <c r="G96" s="2048"/>
      <c r="H96" s="2048"/>
      <c r="I96" s="2048"/>
      <c r="J96" s="2048"/>
      <c r="K96" s="2035" t="str">
        <f>IFERROR(IFERROR('Multi-Customer'!$CH$39,VLOOKUP($D96,'Required Info to Submit'!$E$23:$J$32,2,FALSE)),"")</f>
        <v/>
      </c>
      <c r="L96" s="2035"/>
      <c r="M96" s="2035"/>
      <c r="N96" s="2035"/>
      <c r="O96" s="2035"/>
      <c r="P96" s="2035"/>
      <c r="Q96" s="2035"/>
      <c r="R96" s="2035"/>
      <c r="S96" s="2035"/>
      <c r="T96" s="2035"/>
      <c r="U96" s="2035" t="str">
        <f>IFERROR(IFERROR('Multi-Customer'!$CH$41&amp;" "&amp;'Multi-Customer'!$CH$42,VLOOKUP($D96,'Required Info to Submit'!$E$23:$J$32,3,FALSE)),"")</f>
        <v/>
      </c>
      <c r="V96" s="2035"/>
      <c r="W96" s="2035"/>
      <c r="X96" s="2035"/>
      <c r="Y96" s="2035"/>
      <c r="Z96" s="2035"/>
      <c r="AA96" s="2035"/>
      <c r="AB96" s="2035"/>
      <c r="AC96" s="2035"/>
      <c r="AD96" s="2035"/>
      <c r="AE96" s="2035"/>
      <c r="AF96" s="2035"/>
      <c r="AG96" s="2035"/>
      <c r="AH96" s="2035"/>
      <c r="AI96" s="2035"/>
      <c r="AJ96" s="2040" t="str">
        <f>IFERROR(IFERROR('Multi-Customer'!$CH$43,VLOOKUP($D96,'Required Info to Submit'!$E$23:$J$32,4,FALSE)),"")</f>
        <v/>
      </c>
      <c r="AK96" s="2041"/>
      <c r="AL96" s="2041"/>
      <c r="AM96" s="2041"/>
      <c r="AN96" s="2041"/>
      <c r="AO96" s="2041"/>
      <c r="AP96" s="2041"/>
      <c r="AQ96" s="2041"/>
      <c r="AR96" s="2041"/>
      <c r="AS96" s="2041"/>
      <c r="AT96" s="2042"/>
      <c r="AU96" s="1983" t="str">
        <f>IFERROR(IFERROR('Multi-Customer'!$CH$44,VLOOKUP($D96,'Required Info to Submit'!$E$23:$J$32,5,FALSE)),"")</f>
        <v/>
      </c>
      <c r="AV96" s="1984"/>
      <c r="AW96" s="1984"/>
      <c r="AX96" s="1985"/>
      <c r="AY96" s="2025" t="str">
        <f>IFERROR(IFERROR('Multi-Customer'!$CH$45,VLOOKUP($D96,'Required Info to Submit'!$E$23:$J$32,6,FALSE)),"")</f>
        <v/>
      </c>
      <c r="AZ96" s="2026"/>
      <c r="BA96" s="2026"/>
      <c r="BB96" s="2026"/>
      <c r="BC96" s="2027"/>
      <c r="BF96" s="138"/>
    </row>
    <row r="97" spans="2:58" x14ac:dyDescent="0.25">
      <c r="B97" s="137"/>
      <c r="C97" s="537">
        <v>3</v>
      </c>
      <c r="D97" s="2048">
        <f>'Customer Inputs'!$B$8</f>
        <v>0</v>
      </c>
      <c r="E97" s="2048"/>
      <c r="F97" s="2048"/>
      <c r="G97" s="2048"/>
      <c r="H97" s="2048"/>
      <c r="I97" s="2048"/>
      <c r="J97" s="2048"/>
      <c r="K97" s="2035" t="str">
        <f>IFERROR(IFERROR('Multi-Customer'!$DE$39,VLOOKUP($D97,'Required Info to Submit'!$E$23:$J$32,2,FALSE)),"")</f>
        <v/>
      </c>
      <c r="L97" s="2035"/>
      <c r="M97" s="2035"/>
      <c r="N97" s="2035"/>
      <c r="O97" s="2035"/>
      <c r="P97" s="2035"/>
      <c r="Q97" s="2035"/>
      <c r="R97" s="2035"/>
      <c r="S97" s="2035"/>
      <c r="T97" s="2035"/>
      <c r="U97" s="2035" t="str">
        <f>IFERROR(IFERROR('Multi-Customer'!$DE$41&amp;" "&amp;'Multi-Customer'!$DE$42,VLOOKUP($D97,'Required Info to Submit'!$E$23:$J$32,3,FALSE)),"")</f>
        <v/>
      </c>
      <c r="V97" s="2035"/>
      <c r="W97" s="2035"/>
      <c r="X97" s="2035"/>
      <c r="Y97" s="2035"/>
      <c r="Z97" s="2035"/>
      <c r="AA97" s="2035"/>
      <c r="AB97" s="2035"/>
      <c r="AC97" s="2035"/>
      <c r="AD97" s="2035"/>
      <c r="AE97" s="2035"/>
      <c r="AF97" s="2035"/>
      <c r="AG97" s="2035"/>
      <c r="AH97" s="2035"/>
      <c r="AI97" s="2035"/>
      <c r="AJ97" s="2040" t="str">
        <f>IFERROR(IFERROR('Multi-Customer'!$DE$43,VLOOKUP($D97,'Required Info to Submit'!$E$23:$J$32,4,FALSE)),"")</f>
        <v/>
      </c>
      <c r="AK97" s="2041"/>
      <c r="AL97" s="2041"/>
      <c r="AM97" s="2041"/>
      <c r="AN97" s="2041"/>
      <c r="AO97" s="2041"/>
      <c r="AP97" s="2041"/>
      <c r="AQ97" s="2041"/>
      <c r="AR97" s="2041"/>
      <c r="AS97" s="2041"/>
      <c r="AT97" s="2042"/>
      <c r="AU97" s="1983" t="str">
        <f>IFERROR(IFERROR('Multi-Customer'!$DE$44,VLOOKUP($D97,'Required Info to Submit'!$E$23:$J$32,5,FALSE)),"")</f>
        <v/>
      </c>
      <c r="AV97" s="1984"/>
      <c r="AW97" s="1984"/>
      <c r="AX97" s="1985"/>
      <c r="AY97" s="2025" t="str">
        <f>IFERROR(IFERROR('Multi-Customer'!$DE$45,VLOOKUP($D97,'Required Info to Submit'!$E$23:$J$32,6,FALSE)),"")</f>
        <v/>
      </c>
      <c r="AZ97" s="2026"/>
      <c r="BA97" s="2026"/>
      <c r="BB97" s="2026"/>
      <c r="BC97" s="2027"/>
      <c r="BF97" s="138"/>
    </row>
    <row r="98" spans="2:58" x14ac:dyDescent="0.25">
      <c r="B98" s="137"/>
      <c r="C98" s="537">
        <v>4</v>
      </c>
      <c r="D98" s="2048">
        <f>'Customer Inputs'!$B$9</f>
        <v>0</v>
      </c>
      <c r="E98" s="2048"/>
      <c r="F98" s="2048"/>
      <c r="G98" s="2048"/>
      <c r="H98" s="2048"/>
      <c r="I98" s="2048"/>
      <c r="J98" s="2048"/>
      <c r="K98" s="2035" t="str">
        <f>IFERROR(IFERROR('Multi-Customer'!$EB$39,VLOOKUP($D98,'Required Info to Submit'!$E$23:$J$32,2,FALSE)),"")</f>
        <v/>
      </c>
      <c r="L98" s="2035"/>
      <c r="M98" s="2035"/>
      <c r="N98" s="2035"/>
      <c r="O98" s="2035"/>
      <c r="P98" s="2035"/>
      <c r="Q98" s="2035"/>
      <c r="R98" s="2035"/>
      <c r="S98" s="2035"/>
      <c r="T98" s="2035"/>
      <c r="U98" s="2035" t="str">
        <f>IFERROR(IFERROR('Multi-Customer'!$EB$41&amp;" "&amp;'Multi-Customer'!$EB$42,VLOOKUP($D98,'Required Info to Submit'!$E$23:$J$32,3,FALSE)),"")</f>
        <v/>
      </c>
      <c r="V98" s="2035"/>
      <c r="W98" s="2035"/>
      <c r="X98" s="2035"/>
      <c r="Y98" s="2035"/>
      <c r="Z98" s="2035"/>
      <c r="AA98" s="2035"/>
      <c r="AB98" s="2035"/>
      <c r="AC98" s="2035"/>
      <c r="AD98" s="2035"/>
      <c r="AE98" s="2035"/>
      <c r="AF98" s="2035"/>
      <c r="AG98" s="2035"/>
      <c r="AH98" s="2035"/>
      <c r="AI98" s="2035"/>
      <c r="AJ98" s="2040" t="str">
        <f>IFERROR(IFERROR('Multi-Customer'!$EB$43,VLOOKUP($D98,'Required Info to Submit'!$E$23:$J$32,4,FALSE)),"")</f>
        <v/>
      </c>
      <c r="AK98" s="2041"/>
      <c r="AL98" s="2041"/>
      <c r="AM98" s="2041"/>
      <c r="AN98" s="2041"/>
      <c r="AO98" s="2041"/>
      <c r="AP98" s="2041"/>
      <c r="AQ98" s="2041"/>
      <c r="AR98" s="2041"/>
      <c r="AS98" s="2041"/>
      <c r="AT98" s="2042"/>
      <c r="AU98" s="1983" t="str">
        <f>IFERROR(IFERROR('Multi-Customer'!$EB$44,VLOOKUP($D98,'Required Info to Submit'!$E$23:$J$32,5,FALSE)),"")</f>
        <v/>
      </c>
      <c r="AV98" s="1984"/>
      <c r="AW98" s="1984"/>
      <c r="AX98" s="1985"/>
      <c r="AY98" s="2025" t="str">
        <f>IFERROR(IFERROR('Multi-Customer'!$EB$45,VLOOKUP($D98,'Required Info to Submit'!$E$23:$J$32,6,FALSE)),"")</f>
        <v/>
      </c>
      <c r="AZ98" s="2026"/>
      <c r="BA98" s="2026"/>
      <c r="BB98" s="2026"/>
      <c r="BC98" s="2027"/>
      <c r="BF98" s="138"/>
    </row>
    <row r="99" spans="2:58" x14ac:dyDescent="0.25">
      <c r="B99" s="137"/>
      <c r="C99" s="537">
        <v>5</v>
      </c>
      <c r="D99" s="2048">
        <f>'Customer Inputs'!$B$10</f>
        <v>0</v>
      </c>
      <c r="E99" s="2048"/>
      <c r="F99" s="2048"/>
      <c r="G99" s="2048"/>
      <c r="H99" s="2048"/>
      <c r="I99" s="2048"/>
      <c r="J99" s="2048"/>
      <c r="K99" s="2035" t="str">
        <f>IFERROR(IFERROR('Multi-Customer'!$EY$39,VLOOKUP($D99,'Required Info to Submit'!$E$23:$J$32,2,FALSE)),"")</f>
        <v/>
      </c>
      <c r="L99" s="2035"/>
      <c r="M99" s="2035"/>
      <c r="N99" s="2035"/>
      <c r="O99" s="2035"/>
      <c r="P99" s="2035"/>
      <c r="Q99" s="2035"/>
      <c r="R99" s="2035"/>
      <c r="S99" s="2035"/>
      <c r="T99" s="2035"/>
      <c r="U99" s="2035" t="str">
        <f>IFERROR(IFERROR('Multi-Customer'!$EY$41&amp;" "&amp;'Multi-Customer'!$EY$42,VLOOKUP($D99,'Required Info to Submit'!$E$23:$J$32,3,FALSE)),"")</f>
        <v/>
      </c>
      <c r="V99" s="2035"/>
      <c r="W99" s="2035"/>
      <c r="X99" s="2035"/>
      <c r="Y99" s="2035"/>
      <c r="Z99" s="2035"/>
      <c r="AA99" s="2035"/>
      <c r="AB99" s="2035"/>
      <c r="AC99" s="2035"/>
      <c r="AD99" s="2035"/>
      <c r="AE99" s="2035"/>
      <c r="AF99" s="2035"/>
      <c r="AG99" s="2035"/>
      <c r="AH99" s="2035"/>
      <c r="AI99" s="2035"/>
      <c r="AJ99" s="2040" t="str">
        <f>IFERROR(IFERROR('Multi-Customer'!$EY$43,VLOOKUP($D99,'Required Info to Submit'!$E$23:$J$32,4,FALSE)),"")</f>
        <v/>
      </c>
      <c r="AK99" s="2041"/>
      <c r="AL99" s="2041"/>
      <c r="AM99" s="2041"/>
      <c r="AN99" s="2041"/>
      <c r="AO99" s="2041"/>
      <c r="AP99" s="2041"/>
      <c r="AQ99" s="2041"/>
      <c r="AR99" s="2041"/>
      <c r="AS99" s="2041"/>
      <c r="AT99" s="2042"/>
      <c r="AU99" s="1983" t="str">
        <f>IFERROR(IFERROR('Multi-Customer'!$EY$44,VLOOKUP($D99,'Required Info to Submit'!$E$23:$J$32,5,FALSE)),"")</f>
        <v/>
      </c>
      <c r="AV99" s="1984"/>
      <c r="AW99" s="1984"/>
      <c r="AX99" s="1985"/>
      <c r="AY99" s="2025" t="str">
        <f>IFERROR(IFERROR('Multi-Customer'!$EY$45,VLOOKUP($D99,'Required Info to Submit'!$E$23:$J$32,6,FALSE)),"")</f>
        <v/>
      </c>
      <c r="AZ99" s="2026"/>
      <c r="BA99" s="2026"/>
      <c r="BB99" s="2026"/>
      <c r="BC99" s="2027"/>
      <c r="BF99" s="138"/>
    </row>
    <row r="100" spans="2:58" x14ac:dyDescent="0.25">
      <c r="B100" s="137"/>
      <c r="C100" s="537">
        <v>6</v>
      </c>
      <c r="D100" s="2048">
        <f>'Customer Inputs'!$B$11</f>
        <v>0</v>
      </c>
      <c r="E100" s="2048"/>
      <c r="F100" s="2048"/>
      <c r="G100" s="2048"/>
      <c r="H100" s="2048"/>
      <c r="I100" s="2048"/>
      <c r="J100" s="2048"/>
      <c r="K100" s="2035" t="str">
        <f>IFERROR(IFERROR('Multi-Customer'!$FV$39,VLOOKUP($D100,'Required Info to Submit'!$E$23:$J$32,2,FALSE)),"")</f>
        <v/>
      </c>
      <c r="L100" s="2035"/>
      <c r="M100" s="2035"/>
      <c r="N100" s="2035"/>
      <c r="O100" s="2035"/>
      <c r="P100" s="2035"/>
      <c r="Q100" s="2035"/>
      <c r="R100" s="2035"/>
      <c r="S100" s="2035"/>
      <c r="T100" s="2035"/>
      <c r="U100" s="2035" t="str">
        <f>IFERROR(IFERROR('Multi-Customer'!$FV$41&amp;" "&amp;'Multi-Customer'!$FV$42,VLOOKUP($D100,'Required Info to Submit'!$E$23:$J$32,3,FALSE)),"")</f>
        <v/>
      </c>
      <c r="V100" s="2035"/>
      <c r="W100" s="2035"/>
      <c r="X100" s="2035"/>
      <c r="Y100" s="2035"/>
      <c r="Z100" s="2035"/>
      <c r="AA100" s="2035"/>
      <c r="AB100" s="2035"/>
      <c r="AC100" s="2035"/>
      <c r="AD100" s="2035"/>
      <c r="AE100" s="2035"/>
      <c r="AF100" s="2035"/>
      <c r="AG100" s="2035"/>
      <c r="AH100" s="2035"/>
      <c r="AI100" s="2035"/>
      <c r="AJ100" s="2040" t="str">
        <f>IFERROR(IFERROR('Multi-Customer'!$FV$43,VLOOKUP($D100,'Required Info to Submit'!$E$23:$J$32,4,FALSE)),"")</f>
        <v/>
      </c>
      <c r="AK100" s="2041"/>
      <c r="AL100" s="2041"/>
      <c r="AM100" s="2041"/>
      <c r="AN100" s="2041"/>
      <c r="AO100" s="2041"/>
      <c r="AP100" s="2041"/>
      <c r="AQ100" s="2041"/>
      <c r="AR100" s="2041"/>
      <c r="AS100" s="2041"/>
      <c r="AT100" s="2042"/>
      <c r="AU100" s="1983" t="str">
        <f>IFERROR(IFERROR('Multi-Customer'!$FV$44,VLOOKUP($D100,'Required Info to Submit'!$E$23:$J$32,5,FALSE)),"")</f>
        <v/>
      </c>
      <c r="AV100" s="1984"/>
      <c r="AW100" s="1984"/>
      <c r="AX100" s="1985"/>
      <c r="AY100" s="2025" t="str">
        <f>IFERROR(IFERROR('Multi-Customer'!$FV$45,VLOOKUP($D100,'Required Info to Submit'!$E$23:$J$32,6,FALSE)),"")</f>
        <v/>
      </c>
      <c r="AZ100" s="2026"/>
      <c r="BA100" s="2026"/>
      <c r="BB100" s="2026"/>
      <c r="BC100" s="2027"/>
      <c r="BF100" s="138"/>
    </row>
    <row r="101" spans="2:58" x14ac:dyDescent="0.25">
      <c r="B101" s="137"/>
      <c r="C101" s="537">
        <v>7</v>
      </c>
      <c r="D101" s="2048">
        <f>'Customer Inputs'!$B$12</f>
        <v>0</v>
      </c>
      <c r="E101" s="2048"/>
      <c r="F101" s="2048"/>
      <c r="G101" s="2048"/>
      <c r="H101" s="2048"/>
      <c r="I101" s="2048"/>
      <c r="J101" s="2048"/>
      <c r="K101" s="2035" t="str">
        <f>IFERROR(IFERROR('Multi-Customer'!$GS$39,VLOOKUP($D101,'Required Info to Submit'!$E$23:$J$32,2,FALSE)),"")</f>
        <v/>
      </c>
      <c r="L101" s="2035"/>
      <c r="M101" s="2035"/>
      <c r="N101" s="2035"/>
      <c r="O101" s="2035"/>
      <c r="P101" s="2035"/>
      <c r="Q101" s="2035"/>
      <c r="R101" s="2035"/>
      <c r="S101" s="2035"/>
      <c r="T101" s="2035"/>
      <c r="U101" s="2035" t="str">
        <f>IFERROR(IFERROR('Multi-Customer'!$GS$41&amp;" "&amp;'Multi-Customer'!$GS$42,VLOOKUP($D101,'Required Info to Submit'!$E$23:$J$32,3,FALSE)),"")</f>
        <v/>
      </c>
      <c r="V101" s="2035"/>
      <c r="W101" s="2035"/>
      <c r="X101" s="2035"/>
      <c r="Y101" s="2035"/>
      <c r="Z101" s="2035"/>
      <c r="AA101" s="2035"/>
      <c r="AB101" s="2035"/>
      <c r="AC101" s="2035"/>
      <c r="AD101" s="2035"/>
      <c r="AE101" s="2035"/>
      <c r="AF101" s="2035"/>
      <c r="AG101" s="2035"/>
      <c r="AH101" s="2035"/>
      <c r="AI101" s="2035"/>
      <c r="AJ101" s="2040" t="str">
        <f>IFERROR(IFERROR('Multi-Customer'!$GS$43,VLOOKUP($D101,'Required Info to Submit'!$E$23:$J$32,4,FALSE)),"")</f>
        <v/>
      </c>
      <c r="AK101" s="2041"/>
      <c r="AL101" s="2041"/>
      <c r="AM101" s="2041"/>
      <c r="AN101" s="2041"/>
      <c r="AO101" s="2041"/>
      <c r="AP101" s="2041"/>
      <c r="AQ101" s="2041"/>
      <c r="AR101" s="2041"/>
      <c r="AS101" s="2041"/>
      <c r="AT101" s="2042"/>
      <c r="AU101" s="1983" t="str">
        <f>IFERROR(IFERROR('Multi-Customer'!$GS$44,VLOOKUP($D101,'Required Info to Submit'!$E$23:$J$32,5,FALSE)),"")</f>
        <v/>
      </c>
      <c r="AV101" s="1984"/>
      <c r="AW101" s="1984"/>
      <c r="AX101" s="1985"/>
      <c r="AY101" s="2025" t="str">
        <f>IFERROR(IFERROR('Multi-Customer'!$GS$45,VLOOKUP($D101,'Required Info to Submit'!$E$23:$J$32,6,FALSE)),"")</f>
        <v/>
      </c>
      <c r="AZ101" s="2026"/>
      <c r="BA101" s="2026"/>
      <c r="BB101" s="2026"/>
      <c r="BC101" s="2027"/>
      <c r="BF101" s="138"/>
    </row>
    <row r="102" spans="2:58" x14ac:dyDescent="0.25">
      <c r="B102" s="137"/>
      <c r="C102" s="537">
        <v>8</v>
      </c>
      <c r="D102" s="2048">
        <f>'Customer Inputs'!$B$13</f>
        <v>0</v>
      </c>
      <c r="E102" s="2048"/>
      <c r="F102" s="2048"/>
      <c r="G102" s="2048"/>
      <c r="H102" s="2048"/>
      <c r="I102" s="2048"/>
      <c r="J102" s="2048"/>
      <c r="K102" s="2035" t="str">
        <f>IFERROR(IFERROR('Multi-Customer'!$HP$39,VLOOKUP($D102,'Required Info to Submit'!$E$23:$J$32,2,FALSE)),"")</f>
        <v/>
      </c>
      <c r="L102" s="2035"/>
      <c r="M102" s="2035"/>
      <c r="N102" s="2035"/>
      <c r="O102" s="2035"/>
      <c r="P102" s="2035"/>
      <c r="Q102" s="2035"/>
      <c r="R102" s="2035"/>
      <c r="S102" s="2035"/>
      <c r="T102" s="2035"/>
      <c r="U102" s="2035" t="str">
        <f>IFERROR(IFERROR('Multi-Customer'!$HP$41&amp;" "&amp;'Multi-Customer'!$HP$42,VLOOKUP($D102,'Required Info to Submit'!$E$23:$J$32,3,FALSE)),"")</f>
        <v/>
      </c>
      <c r="V102" s="2035"/>
      <c r="W102" s="2035"/>
      <c r="X102" s="2035"/>
      <c r="Y102" s="2035"/>
      <c r="Z102" s="2035"/>
      <c r="AA102" s="2035"/>
      <c r="AB102" s="2035"/>
      <c r="AC102" s="2035"/>
      <c r="AD102" s="2035"/>
      <c r="AE102" s="2035"/>
      <c r="AF102" s="2035"/>
      <c r="AG102" s="2035"/>
      <c r="AH102" s="2035"/>
      <c r="AI102" s="2035"/>
      <c r="AJ102" s="2040" t="str">
        <f>IFERROR(IFERROR('Multi-Customer'!$HP$43,VLOOKUP($D102,'Required Info to Submit'!$E$23:$J$32,4,FALSE)),"")</f>
        <v/>
      </c>
      <c r="AK102" s="2041"/>
      <c r="AL102" s="2041"/>
      <c r="AM102" s="2041"/>
      <c r="AN102" s="2041"/>
      <c r="AO102" s="2041"/>
      <c r="AP102" s="2041"/>
      <c r="AQ102" s="2041"/>
      <c r="AR102" s="2041"/>
      <c r="AS102" s="2041"/>
      <c r="AT102" s="2042"/>
      <c r="AU102" s="1983" t="str">
        <f>IFERROR(IFERROR('Multi-Customer'!$HP$44,VLOOKUP($D102,'Required Info to Submit'!$E$23:$J$32,5,FALSE)),"")</f>
        <v/>
      </c>
      <c r="AV102" s="1984"/>
      <c r="AW102" s="1984"/>
      <c r="AX102" s="1985"/>
      <c r="AY102" s="2025" t="str">
        <f>IFERROR(IFERROR('Multi-Customer'!$HP$45,VLOOKUP($D102,'Required Info to Submit'!$E$23:$J$32,6,FALSE)),"")</f>
        <v/>
      </c>
      <c r="AZ102" s="2026"/>
      <c r="BA102" s="2026"/>
      <c r="BB102" s="2026"/>
      <c r="BC102" s="2027"/>
      <c r="BF102" s="138"/>
    </row>
    <row r="103" spans="2:58" x14ac:dyDescent="0.25">
      <c r="B103" s="137"/>
      <c r="C103" s="537">
        <v>9</v>
      </c>
      <c r="D103" s="2048">
        <f>'Customer Inputs'!$B$14</f>
        <v>0</v>
      </c>
      <c r="E103" s="2048"/>
      <c r="F103" s="2048"/>
      <c r="G103" s="2048"/>
      <c r="H103" s="2048"/>
      <c r="I103" s="2048"/>
      <c r="J103" s="2048"/>
      <c r="K103" s="2035" t="str">
        <f>IFERROR(IFERROR('Multi-Customer'!$IM$39,VLOOKUP($D103,'Required Info to Submit'!$E$23:$J$32,2,FALSE)),"")</f>
        <v/>
      </c>
      <c r="L103" s="2035"/>
      <c r="M103" s="2035"/>
      <c r="N103" s="2035"/>
      <c r="O103" s="2035"/>
      <c r="P103" s="2035"/>
      <c r="Q103" s="2035"/>
      <c r="R103" s="2035"/>
      <c r="S103" s="2035"/>
      <c r="T103" s="2035"/>
      <c r="U103" s="2035" t="str">
        <f>IFERROR(IFERROR('Multi-Customer'!$IM$41&amp;" "&amp;'Multi-Customer'!$IM$42,VLOOKUP($D103,'Required Info to Submit'!$E$23:$J$32,3,FALSE)),"")</f>
        <v/>
      </c>
      <c r="V103" s="2035"/>
      <c r="W103" s="2035"/>
      <c r="X103" s="2035"/>
      <c r="Y103" s="2035"/>
      <c r="Z103" s="2035"/>
      <c r="AA103" s="2035"/>
      <c r="AB103" s="2035"/>
      <c r="AC103" s="2035"/>
      <c r="AD103" s="2035"/>
      <c r="AE103" s="2035"/>
      <c r="AF103" s="2035"/>
      <c r="AG103" s="2035"/>
      <c r="AH103" s="2035"/>
      <c r="AI103" s="2035"/>
      <c r="AJ103" s="2040" t="str">
        <f>IFERROR(IFERROR('Multi-Customer'!$IM$43,VLOOKUP($D103,'Required Info to Submit'!$E$23:$J$32,4,FALSE)),"")</f>
        <v/>
      </c>
      <c r="AK103" s="2041"/>
      <c r="AL103" s="2041"/>
      <c r="AM103" s="2041"/>
      <c r="AN103" s="2041"/>
      <c r="AO103" s="2041"/>
      <c r="AP103" s="2041"/>
      <c r="AQ103" s="2041"/>
      <c r="AR103" s="2041"/>
      <c r="AS103" s="2041"/>
      <c r="AT103" s="2042"/>
      <c r="AU103" s="1983" t="str">
        <f>IFERROR(IFERROR('Multi-Customer'!$IM$44,VLOOKUP($D103,'Required Info to Submit'!$E$23:$J$32,5,FALSE)),"")</f>
        <v/>
      </c>
      <c r="AV103" s="1984"/>
      <c r="AW103" s="1984"/>
      <c r="AX103" s="1985"/>
      <c r="AY103" s="2025" t="str">
        <f>IFERROR(IFERROR('Multi-Customer'!$IM$45,VLOOKUP($D103,'Required Info to Submit'!$E$23:$J$32,6,FALSE)),"")</f>
        <v/>
      </c>
      <c r="AZ103" s="2026"/>
      <c r="BA103" s="2026"/>
      <c r="BB103" s="2026"/>
      <c r="BC103" s="2027"/>
      <c r="BF103" s="138"/>
    </row>
    <row r="104" spans="2:58" ht="15.75" thickBot="1" x14ac:dyDescent="0.3">
      <c r="B104" s="137"/>
      <c r="C104" s="538">
        <v>10</v>
      </c>
      <c r="D104" s="2047">
        <f>'Customer Inputs'!$B$15</f>
        <v>0</v>
      </c>
      <c r="E104" s="2047"/>
      <c r="F104" s="2047"/>
      <c r="G104" s="2047"/>
      <c r="H104" s="2047"/>
      <c r="I104" s="2047"/>
      <c r="J104" s="2047"/>
      <c r="K104" s="2046" t="str">
        <f>IFERROR(IFERROR('Multi-Customer'!$JJ$39,VLOOKUP($D104,'Required Info to Submit'!$E$23:$J$32,2,FALSE)),"")</f>
        <v/>
      </c>
      <c r="L104" s="2046"/>
      <c r="M104" s="2046"/>
      <c r="N104" s="2046"/>
      <c r="O104" s="2046"/>
      <c r="P104" s="2046"/>
      <c r="Q104" s="2046"/>
      <c r="R104" s="2046"/>
      <c r="S104" s="2046"/>
      <c r="T104" s="2046"/>
      <c r="U104" s="2046" t="str">
        <f>IFERROR(IFERROR('Multi-Customer'!$JJ$41&amp;" "&amp;'Multi-Customer'!$JJ$42,VLOOKUP($D104,'Required Info to Submit'!$E$23:$J$32,3,FALSE)),"")</f>
        <v/>
      </c>
      <c r="V104" s="2046"/>
      <c r="W104" s="2046"/>
      <c r="X104" s="2046"/>
      <c r="Y104" s="2046"/>
      <c r="Z104" s="2046"/>
      <c r="AA104" s="2046"/>
      <c r="AB104" s="2046"/>
      <c r="AC104" s="2046"/>
      <c r="AD104" s="2046"/>
      <c r="AE104" s="2046"/>
      <c r="AF104" s="2046"/>
      <c r="AG104" s="2046"/>
      <c r="AH104" s="2046"/>
      <c r="AI104" s="2046"/>
      <c r="AJ104" s="2037" t="str">
        <f>IFERROR(IFERROR('Multi-Customer'!$JJ$43,VLOOKUP($D104,'Required Info to Submit'!$E$23:$J$32,4,FALSE)),"")</f>
        <v/>
      </c>
      <c r="AK104" s="2038"/>
      <c r="AL104" s="2038"/>
      <c r="AM104" s="2038"/>
      <c r="AN104" s="2038"/>
      <c r="AO104" s="2038"/>
      <c r="AP104" s="2038"/>
      <c r="AQ104" s="2038"/>
      <c r="AR104" s="2038"/>
      <c r="AS104" s="2038"/>
      <c r="AT104" s="2039"/>
      <c r="AU104" s="2032" t="str">
        <f>IFERROR(IFERROR('Multi-Customer'!$JJ$44,VLOOKUP($D104,'Required Info to Submit'!$E$23:$J$32,5,FALSE)),"")</f>
        <v/>
      </c>
      <c r="AV104" s="2033"/>
      <c r="AW104" s="2033"/>
      <c r="AX104" s="2034"/>
      <c r="AY104" s="2022" t="str">
        <f>IFERROR(IFERROR('Multi-Customer'!$JJ$45,VLOOKUP($D104,'Required Info to Submit'!$E$23:$J$32,6,FALSE)),"")</f>
        <v/>
      </c>
      <c r="AZ104" s="2023"/>
      <c r="BA104" s="2023"/>
      <c r="BB104" s="2023"/>
      <c r="BC104" s="2024"/>
      <c r="BF104" s="138"/>
    </row>
    <row r="105" spans="2:58" x14ac:dyDescent="0.25">
      <c r="B105" s="137"/>
      <c r="BF105" s="138"/>
    </row>
    <row r="106" spans="2:58" x14ac:dyDescent="0.25">
      <c r="B106" s="137"/>
      <c r="BF106" s="138"/>
    </row>
    <row r="107" spans="2:58" ht="18.75" x14ac:dyDescent="0.3">
      <c r="B107" s="2013" t="s">
        <v>965</v>
      </c>
      <c r="C107" s="2014"/>
      <c r="D107" s="2014"/>
      <c r="E107" s="2014"/>
      <c r="F107" s="2014"/>
      <c r="G107" s="2014"/>
      <c r="H107" s="2014"/>
      <c r="I107" s="2014"/>
      <c r="J107" s="2014"/>
      <c r="K107" s="2014"/>
      <c r="L107" s="2014"/>
      <c r="M107" s="2014"/>
      <c r="N107" s="2014"/>
      <c r="O107" s="2014"/>
      <c r="P107" s="2014"/>
      <c r="Q107" s="2014"/>
      <c r="R107" s="2014"/>
      <c r="S107" s="2014"/>
      <c r="T107" s="2014"/>
      <c r="U107" s="2014"/>
      <c r="V107" s="2014"/>
      <c r="W107" s="2014"/>
      <c r="X107" s="2014"/>
      <c r="Y107" s="2014"/>
      <c r="Z107" s="2014"/>
      <c r="AA107" s="2014"/>
      <c r="AB107" s="2014"/>
      <c r="AC107" s="2014"/>
      <c r="AD107" s="2014"/>
      <c r="AE107" s="2014"/>
      <c r="AF107" s="2014"/>
      <c r="AG107" s="2014"/>
      <c r="AH107" s="2014"/>
      <c r="AI107" s="2014"/>
      <c r="AJ107" s="2014"/>
      <c r="AK107" s="2014"/>
      <c r="AL107" s="2014"/>
      <c r="AM107" s="2014"/>
      <c r="AN107" s="2014"/>
      <c r="AO107" s="2014"/>
      <c r="AP107" s="2014"/>
      <c r="AQ107" s="2014"/>
      <c r="AR107" s="2014"/>
      <c r="AS107" s="2014"/>
      <c r="AT107" s="2014"/>
      <c r="AU107" s="2014"/>
      <c r="AV107" s="2014"/>
      <c r="AW107" s="2014"/>
      <c r="AX107" s="2014"/>
      <c r="AY107" s="2014"/>
      <c r="AZ107" s="2014"/>
      <c r="BA107" s="2014"/>
      <c r="BB107" s="2014"/>
      <c r="BC107" s="2014"/>
      <c r="BD107" s="2014"/>
      <c r="BE107" s="2014"/>
      <c r="BF107" s="201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103" t="s">
        <v>966</v>
      </c>
      <c r="V109" s="2104"/>
      <c r="W109" s="2104"/>
      <c r="X109" s="2104"/>
      <c r="Y109" s="2104"/>
      <c r="Z109" s="2104" t="s">
        <v>959</v>
      </c>
      <c r="AA109" s="2104"/>
      <c r="AB109" s="2104"/>
      <c r="AC109" s="2104"/>
      <c r="AD109" s="2104"/>
      <c r="AE109" s="2104"/>
      <c r="AF109" s="2104" t="s">
        <v>960</v>
      </c>
      <c r="AG109" s="2104"/>
      <c r="AH109" s="2104"/>
      <c r="AI109" s="2104"/>
      <c r="AJ109" s="2104"/>
      <c r="AK109" s="2104"/>
      <c r="AL109" s="2104"/>
      <c r="AM109" s="2104" t="s">
        <v>963</v>
      </c>
      <c r="AN109" s="2104"/>
      <c r="AO109" s="2104"/>
      <c r="AP109" s="2104"/>
      <c r="AQ109" s="2104"/>
      <c r="AR109" s="2104"/>
      <c r="AS109" s="2130"/>
      <c r="AT109" s="241"/>
      <c r="AU109" s="241"/>
      <c r="AV109" s="241"/>
      <c r="AW109" s="241"/>
      <c r="AX109" s="241"/>
      <c r="AY109" s="241"/>
      <c r="AZ109" s="241"/>
      <c r="BA109" s="241"/>
      <c r="BB109" s="241"/>
      <c r="BC109" s="241"/>
      <c r="BD109" s="241"/>
      <c r="BE109" s="241"/>
      <c r="BF109" s="540"/>
    </row>
    <row r="110" spans="2:58" x14ac:dyDescent="0.25">
      <c r="B110" s="137"/>
      <c r="D110" s="2099" t="s">
        <v>99</v>
      </c>
      <c r="E110" s="2036"/>
      <c r="F110" s="2036"/>
      <c r="G110" s="2036"/>
      <c r="H110" s="2036"/>
      <c r="I110" s="2036"/>
      <c r="J110" s="2036"/>
      <c r="K110" s="2036"/>
      <c r="L110" s="2036"/>
      <c r="M110" s="2036"/>
      <c r="N110" s="2036"/>
      <c r="O110" s="2036"/>
      <c r="P110" s="2036"/>
      <c r="Q110" s="2036"/>
      <c r="R110" s="2036"/>
      <c r="S110" s="2036"/>
      <c r="T110" s="2100"/>
      <c r="U110" s="2108" t="str">
        <f>IF('PIM Model'!$B$10=0,"",'PIM Model'!$B$10)</f>
        <v/>
      </c>
      <c r="V110" s="2105"/>
      <c r="W110" s="2105"/>
      <c r="X110" s="2105"/>
      <c r="Y110" s="2105"/>
      <c r="Z110" s="2105" t="str">
        <f>'PIM Model'!$AF$10</f>
        <v/>
      </c>
      <c r="AA110" s="2105"/>
      <c r="AB110" s="2105"/>
      <c r="AC110" s="2105"/>
      <c r="AD110" s="2105"/>
      <c r="AE110" s="2105"/>
      <c r="AF110" s="2117" t="str">
        <f>'PIM Model'!$AG$10</f>
        <v/>
      </c>
      <c r="AG110" s="2118"/>
      <c r="AH110" s="2118"/>
      <c r="AI110" s="2118"/>
      <c r="AJ110" s="2118"/>
      <c r="AK110" s="2118"/>
      <c r="AL110" s="2119"/>
      <c r="AM110" s="2117" t="str">
        <f>'PIM Model'!$AH$10</f>
        <v/>
      </c>
      <c r="AN110" s="2118"/>
      <c r="AO110" s="2118"/>
      <c r="AP110" s="2118"/>
      <c r="AQ110" s="2118"/>
      <c r="AR110" s="2118"/>
      <c r="AS110" s="2131"/>
      <c r="BF110" s="138"/>
    </row>
    <row r="111" spans="2:58" x14ac:dyDescent="0.25">
      <c r="B111" s="137"/>
      <c r="D111" s="2101" t="s">
        <v>103</v>
      </c>
      <c r="E111" s="2035"/>
      <c r="F111" s="2035"/>
      <c r="G111" s="2035"/>
      <c r="H111" s="2035"/>
      <c r="I111" s="2035"/>
      <c r="J111" s="2035"/>
      <c r="K111" s="2035"/>
      <c r="L111" s="2035"/>
      <c r="M111" s="2035"/>
      <c r="N111" s="2035"/>
      <c r="O111" s="2035"/>
      <c r="P111" s="2035"/>
      <c r="Q111" s="2035"/>
      <c r="R111" s="2035"/>
      <c r="S111" s="2035"/>
      <c r="T111" s="2102"/>
      <c r="U111" s="2109" t="str">
        <f>IF('PIM Model'!$B$11=0,"",'PIM Model'!$B$11)</f>
        <v/>
      </c>
      <c r="V111" s="1982"/>
      <c r="W111" s="1982"/>
      <c r="X111" s="1982"/>
      <c r="Y111" s="1982"/>
      <c r="Z111" s="1982" t="str">
        <f>'PIM Model'!$AF$11</f>
        <v/>
      </c>
      <c r="AA111" s="1982"/>
      <c r="AB111" s="1982"/>
      <c r="AC111" s="1982"/>
      <c r="AD111" s="1982"/>
      <c r="AE111" s="1982"/>
      <c r="AF111" s="2025" t="str">
        <f>'PIM Model'!$AG$11</f>
        <v/>
      </c>
      <c r="AG111" s="2026"/>
      <c r="AH111" s="2026"/>
      <c r="AI111" s="2026"/>
      <c r="AJ111" s="2026"/>
      <c r="AK111" s="2026"/>
      <c r="AL111" s="2113"/>
      <c r="AM111" s="2025" t="str">
        <f>'PIM Model'!$AH$11</f>
        <v/>
      </c>
      <c r="AN111" s="2026"/>
      <c r="AO111" s="2026"/>
      <c r="AP111" s="2026"/>
      <c r="AQ111" s="2026"/>
      <c r="AR111" s="2026"/>
      <c r="AS111" s="2027"/>
      <c r="BF111" s="138"/>
    </row>
    <row r="112" spans="2:58" x14ac:dyDescent="0.25">
      <c r="B112" s="137"/>
      <c r="D112" s="2101" t="s">
        <v>1296</v>
      </c>
      <c r="E112" s="2035"/>
      <c r="F112" s="2035"/>
      <c r="G112" s="2035"/>
      <c r="H112" s="2035"/>
      <c r="I112" s="2035"/>
      <c r="J112" s="2035"/>
      <c r="K112" s="2035"/>
      <c r="L112" s="2035"/>
      <c r="M112" s="2035"/>
      <c r="N112" s="2035"/>
      <c r="O112" s="2035"/>
      <c r="P112" s="2035"/>
      <c r="Q112" s="2035"/>
      <c r="R112" s="2035"/>
      <c r="S112" s="2035"/>
      <c r="T112" s="2102"/>
      <c r="U112" s="2109" t="str">
        <f>IF('PIM Model'!$B$12=0,"",'PIM Model'!$B$12)</f>
        <v/>
      </c>
      <c r="V112" s="1982"/>
      <c r="W112" s="1982"/>
      <c r="X112" s="1982"/>
      <c r="Y112" s="1982"/>
      <c r="Z112" s="1982" t="str">
        <f>'PIM Model'!$AF$12</f>
        <v/>
      </c>
      <c r="AA112" s="1982"/>
      <c r="AB112" s="1982"/>
      <c r="AC112" s="1982"/>
      <c r="AD112" s="1982"/>
      <c r="AE112" s="1982"/>
      <c r="AF112" s="2025" t="str">
        <f>'PIM Model'!$AG$12</f>
        <v/>
      </c>
      <c r="AG112" s="2026"/>
      <c r="AH112" s="2026"/>
      <c r="AI112" s="2026"/>
      <c r="AJ112" s="2026"/>
      <c r="AK112" s="2026"/>
      <c r="AL112" s="2113"/>
      <c r="AM112" s="2025" t="str">
        <f>'PIM Model'!$AH$12</f>
        <v/>
      </c>
      <c r="AN112" s="2026"/>
      <c r="AO112" s="2026"/>
      <c r="AP112" s="2026"/>
      <c r="AQ112" s="2026"/>
      <c r="AR112" s="2026"/>
      <c r="AS112" s="2027"/>
      <c r="BF112" s="138"/>
    </row>
    <row r="113" spans="2:58" x14ac:dyDescent="0.25">
      <c r="B113" s="137"/>
      <c r="D113" s="2101" t="s">
        <v>102</v>
      </c>
      <c r="E113" s="2035"/>
      <c r="F113" s="2035"/>
      <c r="G113" s="2035"/>
      <c r="H113" s="2035"/>
      <c r="I113" s="2035"/>
      <c r="J113" s="2035"/>
      <c r="K113" s="2035"/>
      <c r="L113" s="2035"/>
      <c r="M113" s="2035"/>
      <c r="N113" s="2035"/>
      <c r="O113" s="2035"/>
      <c r="P113" s="2035"/>
      <c r="Q113" s="2035"/>
      <c r="R113" s="2035"/>
      <c r="S113" s="2035"/>
      <c r="T113" s="2102"/>
      <c r="U113" s="2109" t="str">
        <f>IF('PIM Model'!$B$13=0,"",'PIM Model'!$B$13)</f>
        <v/>
      </c>
      <c r="V113" s="1982"/>
      <c r="W113" s="1982"/>
      <c r="X113" s="1982"/>
      <c r="Y113" s="1982"/>
      <c r="Z113" s="1982" t="str">
        <f>'PIM Model'!$AF$13</f>
        <v/>
      </c>
      <c r="AA113" s="1982"/>
      <c r="AB113" s="1982"/>
      <c r="AC113" s="1982"/>
      <c r="AD113" s="1982"/>
      <c r="AE113" s="1982"/>
      <c r="AF113" s="2025" t="str">
        <f>'PIM Model'!$AG$13</f>
        <v/>
      </c>
      <c r="AG113" s="2026"/>
      <c r="AH113" s="2026"/>
      <c r="AI113" s="2026"/>
      <c r="AJ113" s="2026"/>
      <c r="AK113" s="2026"/>
      <c r="AL113" s="2113"/>
      <c r="AM113" s="2025" t="str">
        <f>'PIM Model'!$AH$13</f>
        <v/>
      </c>
      <c r="AN113" s="2026"/>
      <c r="AO113" s="2026"/>
      <c r="AP113" s="2026"/>
      <c r="AQ113" s="2026"/>
      <c r="AR113" s="2026"/>
      <c r="AS113" s="2027"/>
      <c r="BF113" s="138"/>
    </row>
    <row r="114" spans="2:58" x14ac:dyDescent="0.25">
      <c r="B114" s="137"/>
      <c r="D114" s="2101" t="s">
        <v>100</v>
      </c>
      <c r="E114" s="2035"/>
      <c r="F114" s="2035"/>
      <c r="G114" s="2035"/>
      <c r="H114" s="2035"/>
      <c r="I114" s="2035"/>
      <c r="J114" s="2035"/>
      <c r="K114" s="2035"/>
      <c r="L114" s="2035"/>
      <c r="M114" s="2035"/>
      <c r="N114" s="2035"/>
      <c r="O114" s="2035"/>
      <c r="P114" s="2035"/>
      <c r="Q114" s="2035"/>
      <c r="R114" s="2035"/>
      <c r="S114" s="2035"/>
      <c r="T114" s="2102"/>
      <c r="U114" s="2109" t="str">
        <f>IF('PIM Model'!$B$14=0,"",'PIM Model'!$B$14)</f>
        <v/>
      </c>
      <c r="V114" s="1982"/>
      <c r="W114" s="1982"/>
      <c r="X114" s="1982"/>
      <c r="Y114" s="1982"/>
      <c r="Z114" s="1982" t="str">
        <f>'PIM Model'!$AF$14</f>
        <v/>
      </c>
      <c r="AA114" s="1982"/>
      <c r="AB114" s="1982"/>
      <c r="AC114" s="1982"/>
      <c r="AD114" s="1982"/>
      <c r="AE114" s="1982"/>
      <c r="AF114" s="2025" t="str">
        <f>'PIM Model'!$AG$14</f>
        <v/>
      </c>
      <c r="AG114" s="2026"/>
      <c r="AH114" s="2026"/>
      <c r="AI114" s="2026"/>
      <c r="AJ114" s="2026"/>
      <c r="AK114" s="2026"/>
      <c r="AL114" s="2113"/>
      <c r="AM114" s="2025" t="str">
        <f>'PIM Model'!$AH$14</f>
        <v/>
      </c>
      <c r="AN114" s="2026"/>
      <c r="AO114" s="2026"/>
      <c r="AP114" s="2026"/>
      <c r="AQ114" s="2026"/>
      <c r="AR114" s="2026"/>
      <c r="AS114" s="2027"/>
      <c r="BF114" s="138"/>
    </row>
    <row r="115" spans="2:58" x14ac:dyDescent="0.25">
      <c r="B115" s="137"/>
      <c r="D115" s="2101" t="s">
        <v>104</v>
      </c>
      <c r="E115" s="2035"/>
      <c r="F115" s="2035"/>
      <c r="G115" s="2035"/>
      <c r="H115" s="2035"/>
      <c r="I115" s="2035"/>
      <c r="J115" s="2035"/>
      <c r="K115" s="2035"/>
      <c r="L115" s="2035"/>
      <c r="M115" s="2035"/>
      <c r="N115" s="2035"/>
      <c r="O115" s="2035"/>
      <c r="P115" s="2035"/>
      <c r="Q115" s="2035"/>
      <c r="R115" s="2035"/>
      <c r="S115" s="2035"/>
      <c r="T115" s="2102"/>
      <c r="U115" s="2109" t="str">
        <f>IF('PIM Model'!$B$15=0,"",'PIM Model'!$B$15)</f>
        <v/>
      </c>
      <c r="V115" s="1982"/>
      <c r="W115" s="1982"/>
      <c r="X115" s="1982"/>
      <c r="Y115" s="1982"/>
      <c r="Z115" s="1982" t="str">
        <f>'PIM Model'!$AF$15</f>
        <v/>
      </c>
      <c r="AA115" s="1982"/>
      <c r="AB115" s="1982"/>
      <c r="AC115" s="1982"/>
      <c r="AD115" s="1982"/>
      <c r="AE115" s="1982"/>
      <c r="AF115" s="2025" t="str">
        <f>'PIM Model'!$AG$15</f>
        <v/>
      </c>
      <c r="AG115" s="2026"/>
      <c r="AH115" s="2026"/>
      <c r="AI115" s="2026"/>
      <c r="AJ115" s="2026"/>
      <c r="AK115" s="2026"/>
      <c r="AL115" s="2113"/>
      <c r="AM115" s="2025" t="str">
        <f>'PIM Model'!$AH$15</f>
        <v/>
      </c>
      <c r="AN115" s="2026"/>
      <c r="AO115" s="2026"/>
      <c r="AP115" s="2026"/>
      <c r="AQ115" s="2026"/>
      <c r="AR115" s="2026"/>
      <c r="AS115" s="2027"/>
      <c r="BF115" s="138"/>
    </row>
    <row r="116" spans="2:58" x14ac:dyDescent="0.25">
      <c r="B116" s="137"/>
      <c r="D116" s="2101" t="s">
        <v>98</v>
      </c>
      <c r="E116" s="2035"/>
      <c r="F116" s="2035"/>
      <c r="G116" s="2035"/>
      <c r="H116" s="2035"/>
      <c r="I116" s="2035"/>
      <c r="J116" s="2035"/>
      <c r="K116" s="2035"/>
      <c r="L116" s="2035"/>
      <c r="M116" s="2035"/>
      <c r="N116" s="2035"/>
      <c r="O116" s="2035"/>
      <c r="P116" s="2035"/>
      <c r="Q116" s="2035"/>
      <c r="R116" s="2035"/>
      <c r="S116" s="2035"/>
      <c r="T116" s="2102"/>
      <c r="U116" s="2109" t="str">
        <f>IF('PIM Model'!$B$16=0,"",'PIM Model'!$B$16)</f>
        <v/>
      </c>
      <c r="V116" s="1982"/>
      <c r="W116" s="1982"/>
      <c r="X116" s="1982"/>
      <c r="Y116" s="1982"/>
      <c r="Z116" s="1982" t="str">
        <f>'PIM Model'!$AF$16</f>
        <v/>
      </c>
      <c r="AA116" s="1982"/>
      <c r="AB116" s="1982"/>
      <c r="AC116" s="1982"/>
      <c r="AD116" s="1982"/>
      <c r="AE116" s="1982"/>
      <c r="AF116" s="2025" t="str">
        <f>'PIM Model'!$AG$16</f>
        <v/>
      </c>
      <c r="AG116" s="2026"/>
      <c r="AH116" s="2026"/>
      <c r="AI116" s="2026"/>
      <c r="AJ116" s="2026"/>
      <c r="AK116" s="2026"/>
      <c r="AL116" s="2113"/>
      <c r="AM116" s="2025" t="str">
        <f>'PIM Model'!$AH$16</f>
        <v/>
      </c>
      <c r="AN116" s="2026"/>
      <c r="AO116" s="2026"/>
      <c r="AP116" s="2026"/>
      <c r="AQ116" s="2026"/>
      <c r="AR116" s="2026"/>
      <c r="AS116" s="2027"/>
      <c r="BF116" s="138"/>
    </row>
    <row r="117" spans="2:58" x14ac:dyDescent="0.25">
      <c r="B117" s="137"/>
      <c r="D117" s="2101" t="s">
        <v>95</v>
      </c>
      <c r="E117" s="2035"/>
      <c r="F117" s="2035"/>
      <c r="G117" s="2035"/>
      <c r="H117" s="2035"/>
      <c r="I117" s="2035"/>
      <c r="J117" s="2035"/>
      <c r="K117" s="2035"/>
      <c r="L117" s="2035"/>
      <c r="M117" s="2035"/>
      <c r="N117" s="2035"/>
      <c r="O117" s="2035"/>
      <c r="P117" s="2035"/>
      <c r="Q117" s="2035"/>
      <c r="R117" s="2035"/>
      <c r="S117" s="2035"/>
      <c r="T117" s="2102"/>
      <c r="U117" s="2109" t="str">
        <f>IF('PIM Model'!$B$17=0,"",'PIM Model'!$B$17)</f>
        <v/>
      </c>
      <c r="V117" s="1982"/>
      <c r="W117" s="1982"/>
      <c r="X117" s="1982"/>
      <c r="Y117" s="1982"/>
      <c r="Z117" s="1982" t="str">
        <f>'PIM Model'!$AF$17</f>
        <v/>
      </c>
      <c r="AA117" s="1982"/>
      <c r="AB117" s="1982"/>
      <c r="AC117" s="1982"/>
      <c r="AD117" s="1982"/>
      <c r="AE117" s="1982"/>
      <c r="AF117" s="2025" t="str">
        <f>'PIM Model'!$AG$17</f>
        <v/>
      </c>
      <c r="AG117" s="2026"/>
      <c r="AH117" s="2026"/>
      <c r="AI117" s="2026"/>
      <c r="AJ117" s="2026"/>
      <c r="AK117" s="2026"/>
      <c r="AL117" s="2113"/>
      <c r="AM117" s="2025" t="str">
        <f>'PIM Model'!$AH$17</f>
        <v/>
      </c>
      <c r="AN117" s="2026"/>
      <c r="AO117" s="2026"/>
      <c r="AP117" s="2026"/>
      <c r="AQ117" s="2026"/>
      <c r="AR117" s="2026"/>
      <c r="AS117" s="2027"/>
      <c r="BF117" s="138"/>
    </row>
    <row r="118" spans="2:58" x14ac:dyDescent="0.25">
      <c r="B118" s="137"/>
      <c r="D118" s="2101" t="s">
        <v>96</v>
      </c>
      <c r="E118" s="2035"/>
      <c r="F118" s="2035"/>
      <c r="G118" s="2035"/>
      <c r="H118" s="2035"/>
      <c r="I118" s="2035"/>
      <c r="J118" s="2035"/>
      <c r="K118" s="2035"/>
      <c r="L118" s="2035"/>
      <c r="M118" s="2035"/>
      <c r="N118" s="2035"/>
      <c r="O118" s="2035"/>
      <c r="P118" s="2035"/>
      <c r="Q118" s="2035"/>
      <c r="R118" s="2035"/>
      <c r="S118" s="2035"/>
      <c r="T118" s="2102"/>
      <c r="U118" s="2109" t="str">
        <f>IF('PIM Model'!$B$18=0,"",'PIM Model'!$B$18)</f>
        <v/>
      </c>
      <c r="V118" s="1982"/>
      <c r="W118" s="1982"/>
      <c r="X118" s="1982"/>
      <c r="Y118" s="1982"/>
      <c r="Z118" s="1982" t="str">
        <f>'PIM Model'!$AF$18</f>
        <v/>
      </c>
      <c r="AA118" s="1982"/>
      <c r="AB118" s="1982"/>
      <c r="AC118" s="1982"/>
      <c r="AD118" s="1982"/>
      <c r="AE118" s="1982"/>
      <c r="AF118" s="2025" t="str">
        <f>'PIM Model'!$AG$18</f>
        <v/>
      </c>
      <c r="AG118" s="2026"/>
      <c r="AH118" s="2026"/>
      <c r="AI118" s="2026"/>
      <c r="AJ118" s="2026"/>
      <c r="AK118" s="2026"/>
      <c r="AL118" s="2113"/>
      <c r="AM118" s="2025" t="str">
        <f>'PIM Model'!$AH$18</f>
        <v/>
      </c>
      <c r="AN118" s="2026"/>
      <c r="AO118" s="2026"/>
      <c r="AP118" s="2026"/>
      <c r="AQ118" s="2026"/>
      <c r="AR118" s="2026"/>
      <c r="AS118" s="2027"/>
      <c r="BF118" s="138"/>
    </row>
    <row r="119" spans="2:58" x14ac:dyDescent="0.25">
      <c r="B119" s="137"/>
      <c r="D119" s="2101" t="s">
        <v>101</v>
      </c>
      <c r="E119" s="2035"/>
      <c r="F119" s="2035"/>
      <c r="G119" s="2035"/>
      <c r="H119" s="2035"/>
      <c r="I119" s="2035"/>
      <c r="J119" s="2035"/>
      <c r="K119" s="2035"/>
      <c r="L119" s="2035"/>
      <c r="M119" s="2035"/>
      <c r="N119" s="2035"/>
      <c r="O119" s="2035"/>
      <c r="P119" s="2035"/>
      <c r="Q119" s="2035"/>
      <c r="R119" s="2035"/>
      <c r="S119" s="2035"/>
      <c r="T119" s="2102"/>
      <c r="U119" s="2109" t="str">
        <f>IF('PIM Model'!$B$19=0,"",'PIM Model'!$B$19)</f>
        <v/>
      </c>
      <c r="V119" s="1982"/>
      <c r="W119" s="1982"/>
      <c r="X119" s="1982"/>
      <c r="Y119" s="1982"/>
      <c r="Z119" s="1982" t="str">
        <f>'PIM Model'!$AF$19</f>
        <v/>
      </c>
      <c r="AA119" s="1982"/>
      <c r="AB119" s="1982"/>
      <c r="AC119" s="1982"/>
      <c r="AD119" s="1982"/>
      <c r="AE119" s="1982"/>
      <c r="AF119" s="2025" t="str">
        <f>'PIM Model'!$AG$19</f>
        <v/>
      </c>
      <c r="AG119" s="2026"/>
      <c r="AH119" s="2026"/>
      <c r="AI119" s="2026"/>
      <c r="AJ119" s="2026"/>
      <c r="AK119" s="2026"/>
      <c r="AL119" s="2113"/>
      <c r="AM119" s="2025" t="str">
        <f>'PIM Model'!$AH$19</f>
        <v/>
      </c>
      <c r="AN119" s="2026"/>
      <c r="AO119" s="2026"/>
      <c r="AP119" s="2026"/>
      <c r="AQ119" s="2026"/>
      <c r="AR119" s="2026"/>
      <c r="AS119" s="2027"/>
      <c r="BF119" s="138"/>
    </row>
    <row r="120" spans="2:58" x14ac:dyDescent="0.25">
      <c r="B120" s="137"/>
      <c r="D120" s="2101" t="s">
        <v>97</v>
      </c>
      <c r="E120" s="2035"/>
      <c r="F120" s="2035"/>
      <c r="G120" s="2035"/>
      <c r="H120" s="2035"/>
      <c r="I120" s="2035"/>
      <c r="J120" s="2035"/>
      <c r="K120" s="2035"/>
      <c r="L120" s="2035"/>
      <c r="M120" s="2035"/>
      <c r="N120" s="2035"/>
      <c r="O120" s="2035"/>
      <c r="P120" s="2035"/>
      <c r="Q120" s="2035"/>
      <c r="R120" s="2035"/>
      <c r="S120" s="2035"/>
      <c r="T120" s="2102"/>
      <c r="U120" s="2109" t="str">
        <f>IF('PIM Model'!$B$20=0,"",'PIM Model'!$B$20)</f>
        <v/>
      </c>
      <c r="V120" s="1982"/>
      <c r="W120" s="1982"/>
      <c r="X120" s="1982"/>
      <c r="Y120" s="1982"/>
      <c r="Z120" s="1982" t="str">
        <f>'PIM Model'!$AF$20</f>
        <v/>
      </c>
      <c r="AA120" s="1982"/>
      <c r="AB120" s="1982"/>
      <c r="AC120" s="1982"/>
      <c r="AD120" s="1982"/>
      <c r="AE120" s="1982"/>
      <c r="AF120" s="2025" t="str">
        <f>'PIM Model'!$AG$20</f>
        <v/>
      </c>
      <c r="AG120" s="2026"/>
      <c r="AH120" s="2026"/>
      <c r="AI120" s="2026"/>
      <c r="AJ120" s="2026"/>
      <c r="AK120" s="2026"/>
      <c r="AL120" s="2113"/>
      <c r="AM120" s="2025" t="str">
        <f>'PIM Model'!$AH$20</f>
        <v/>
      </c>
      <c r="AN120" s="2026"/>
      <c r="AO120" s="2026"/>
      <c r="AP120" s="2026"/>
      <c r="AQ120" s="2026"/>
      <c r="AR120" s="2026"/>
      <c r="AS120" s="2027"/>
      <c r="BF120" s="138"/>
    </row>
    <row r="121" spans="2:58" x14ac:dyDescent="0.25">
      <c r="B121" s="137"/>
      <c r="D121" s="2101" t="s">
        <v>93</v>
      </c>
      <c r="E121" s="2035"/>
      <c r="F121" s="2035"/>
      <c r="G121" s="2035"/>
      <c r="H121" s="2035"/>
      <c r="I121" s="2035"/>
      <c r="J121" s="2035"/>
      <c r="K121" s="2035"/>
      <c r="L121" s="2035"/>
      <c r="M121" s="2035"/>
      <c r="N121" s="2035"/>
      <c r="O121" s="2035"/>
      <c r="P121" s="2035"/>
      <c r="Q121" s="2035"/>
      <c r="R121" s="2035"/>
      <c r="S121" s="2035"/>
      <c r="T121" s="2102"/>
      <c r="U121" s="2109" t="str">
        <f>IF('PIM Model'!$B$21=0,"",'PIM Model'!$B$21)</f>
        <v/>
      </c>
      <c r="V121" s="1982"/>
      <c r="W121" s="1982"/>
      <c r="X121" s="1982"/>
      <c r="Y121" s="1982"/>
      <c r="Z121" s="1982" t="str">
        <f>'PIM Model'!$AF$21</f>
        <v/>
      </c>
      <c r="AA121" s="1982"/>
      <c r="AB121" s="1982"/>
      <c r="AC121" s="1982"/>
      <c r="AD121" s="1982"/>
      <c r="AE121" s="1982"/>
      <c r="AF121" s="2025" t="str">
        <f>'PIM Model'!$AG$21</f>
        <v/>
      </c>
      <c r="AG121" s="2026"/>
      <c r="AH121" s="2026"/>
      <c r="AI121" s="2026"/>
      <c r="AJ121" s="2026"/>
      <c r="AK121" s="2026"/>
      <c r="AL121" s="2113"/>
      <c r="AM121" s="2025" t="str">
        <f>'PIM Model'!$AH$21</f>
        <v/>
      </c>
      <c r="AN121" s="2026"/>
      <c r="AO121" s="2026"/>
      <c r="AP121" s="2026"/>
      <c r="AQ121" s="2026"/>
      <c r="AR121" s="2026"/>
      <c r="AS121" s="2027"/>
      <c r="BF121" s="138"/>
    </row>
    <row r="122" spans="2:58" x14ac:dyDescent="0.25">
      <c r="B122" s="137"/>
      <c r="D122" s="2101" t="s">
        <v>105</v>
      </c>
      <c r="E122" s="2035"/>
      <c r="F122" s="2035"/>
      <c r="G122" s="2035"/>
      <c r="H122" s="2035"/>
      <c r="I122" s="2035"/>
      <c r="J122" s="2035"/>
      <c r="K122" s="2035"/>
      <c r="L122" s="2035"/>
      <c r="M122" s="2035"/>
      <c r="N122" s="2035"/>
      <c r="O122" s="2035"/>
      <c r="P122" s="2035"/>
      <c r="Q122" s="2035"/>
      <c r="R122" s="2035"/>
      <c r="S122" s="2035"/>
      <c r="T122" s="2102"/>
      <c r="U122" s="2109" t="str">
        <f>IF('PIM Model'!$B$22=0,"",'PIM Model'!$B$22)</f>
        <v/>
      </c>
      <c r="V122" s="1982"/>
      <c r="W122" s="1982"/>
      <c r="X122" s="1982"/>
      <c r="Y122" s="1982"/>
      <c r="Z122" s="1982" t="str">
        <f>'PIM Model'!$AF$22</f>
        <v/>
      </c>
      <c r="AA122" s="1982"/>
      <c r="AB122" s="1982"/>
      <c r="AC122" s="1982"/>
      <c r="AD122" s="1982"/>
      <c r="AE122" s="1982"/>
      <c r="AF122" s="2025" t="str">
        <f>'PIM Model'!$AG$22</f>
        <v/>
      </c>
      <c r="AG122" s="2026"/>
      <c r="AH122" s="2026"/>
      <c r="AI122" s="2026"/>
      <c r="AJ122" s="2026"/>
      <c r="AK122" s="2026"/>
      <c r="AL122" s="2113"/>
      <c r="AM122" s="2025" t="str">
        <f>'PIM Model'!$AH$22</f>
        <v/>
      </c>
      <c r="AN122" s="2026"/>
      <c r="AO122" s="2026"/>
      <c r="AP122" s="2026"/>
      <c r="AQ122" s="2026"/>
      <c r="AR122" s="2026"/>
      <c r="AS122" s="2027"/>
      <c r="BF122" s="138"/>
    </row>
    <row r="123" spans="2:58" x14ac:dyDescent="0.25">
      <c r="B123" s="137"/>
      <c r="D123" s="2101" t="s">
        <v>92</v>
      </c>
      <c r="E123" s="2035"/>
      <c r="F123" s="2035"/>
      <c r="G123" s="2035"/>
      <c r="H123" s="2035"/>
      <c r="I123" s="2035"/>
      <c r="J123" s="2035"/>
      <c r="K123" s="2035"/>
      <c r="L123" s="2035"/>
      <c r="M123" s="2035"/>
      <c r="N123" s="2035"/>
      <c r="O123" s="2035"/>
      <c r="P123" s="2035"/>
      <c r="Q123" s="2035"/>
      <c r="R123" s="2035"/>
      <c r="S123" s="2035"/>
      <c r="T123" s="2102"/>
      <c r="U123" s="2109" t="str">
        <f>IF('PIM Model'!$B$23=0,"",'PIM Model'!$B$23)</f>
        <v/>
      </c>
      <c r="V123" s="1982"/>
      <c r="W123" s="1982"/>
      <c r="X123" s="1982"/>
      <c r="Y123" s="1982"/>
      <c r="Z123" s="1982" t="str">
        <f>'PIM Model'!$AF$23</f>
        <v/>
      </c>
      <c r="AA123" s="1982"/>
      <c r="AB123" s="1982"/>
      <c r="AC123" s="1982"/>
      <c r="AD123" s="1982"/>
      <c r="AE123" s="1982"/>
      <c r="AF123" s="2025" t="str">
        <f>'PIM Model'!$AG$23</f>
        <v/>
      </c>
      <c r="AG123" s="2026"/>
      <c r="AH123" s="2026"/>
      <c r="AI123" s="2026"/>
      <c r="AJ123" s="2026"/>
      <c r="AK123" s="2026"/>
      <c r="AL123" s="2113"/>
      <c r="AM123" s="2025" t="str">
        <f>'PIM Model'!$AH$23</f>
        <v/>
      </c>
      <c r="AN123" s="2026"/>
      <c r="AO123" s="2026"/>
      <c r="AP123" s="2026"/>
      <c r="AQ123" s="2026"/>
      <c r="AR123" s="2026"/>
      <c r="AS123" s="2027"/>
      <c r="BF123" s="138"/>
    </row>
    <row r="124" spans="2:58" x14ac:dyDescent="0.25">
      <c r="B124" s="137"/>
      <c r="D124" s="2101" t="s">
        <v>91</v>
      </c>
      <c r="E124" s="2035"/>
      <c r="F124" s="2035"/>
      <c r="G124" s="2035"/>
      <c r="H124" s="2035"/>
      <c r="I124" s="2035"/>
      <c r="J124" s="2035"/>
      <c r="K124" s="2035"/>
      <c r="L124" s="2035"/>
      <c r="M124" s="2035"/>
      <c r="N124" s="2035"/>
      <c r="O124" s="2035"/>
      <c r="P124" s="2035"/>
      <c r="Q124" s="2035"/>
      <c r="R124" s="2035"/>
      <c r="S124" s="2035"/>
      <c r="T124" s="2102"/>
      <c r="U124" s="2109" t="str">
        <f>IF('PIM Model'!$B$24=0,"",'PIM Model'!$B$24)</f>
        <v/>
      </c>
      <c r="V124" s="1982"/>
      <c r="W124" s="1982"/>
      <c r="X124" s="1982"/>
      <c r="Y124" s="1982"/>
      <c r="Z124" s="1982" t="str">
        <f>'PIM Model'!$AF$24</f>
        <v/>
      </c>
      <c r="AA124" s="1982"/>
      <c r="AB124" s="1982"/>
      <c r="AC124" s="1982"/>
      <c r="AD124" s="1982"/>
      <c r="AE124" s="1982"/>
      <c r="AF124" s="2025" t="str">
        <f>'PIM Model'!$AG$24</f>
        <v/>
      </c>
      <c r="AG124" s="2026"/>
      <c r="AH124" s="2026"/>
      <c r="AI124" s="2026"/>
      <c r="AJ124" s="2026"/>
      <c r="AK124" s="2026"/>
      <c r="AL124" s="2113"/>
      <c r="AM124" s="2025" t="str">
        <f>'PIM Model'!$AH$24</f>
        <v/>
      </c>
      <c r="AN124" s="2026"/>
      <c r="AO124" s="2026"/>
      <c r="AP124" s="2026"/>
      <c r="AQ124" s="2026"/>
      <c r="AR124" s="2026"/>
      <c r="AS124" s="2027"/>
      <c r="BF124" s="138"/>
    </row>
    <row r="125" spans="2:58" x14ac:dyDescent="0.25">
      <c r="B125" s="137"/>
      <c r="D125" s="2101" t="s">
        <v>90</v>
      </c>
      <c r="E125" s="2035"/>
      <c r="F125" s="2035"/>
      <c r="G125" s="2035"/>
      <c r="H125" s="2035"/>
      <c r="I125" s="2035"/>
      <c r="J125" s="2035"/>
      <c r="K125" s="2035"/>
      <c r="L125" s="2035"/>
      <c r="M125" s="2035"/>
      <c r="N125" s="2035"/>
      <c r="O125" s="2035"/>
      <c r="P125" s="2035"/>
      <c r="Q125" s="2035"/>
      <c r="R125" s="2035"/>
      <c r="S125" s="2035"/>
      <c r="T125" s="2102"/>
      <c r="U125" s="2109" t="str">
        <f>IF('PIM Model'!$B$25=0,"",'PIM Model'!$B$25)</f>
        <v/>
      </c>
      <c r="V125" s="1982"/>
      <c r="W125" s="1982"/>
      <c r="X125" s="1982"/>
      <c r="Y125" s="1982"/>
      <c r="Z125" s="1982" t="str">
        <f>'PIM Model'!$AF$25</f>
        <v/>
      </c>
      <c r="AA125" s="1982"/>
      <c r="AB125" s="1982"/>
      <c r="AC125" s="1982"/>
      <c r="AD125" s="1982"/>
      <c r="AE125" s="1982"/>
      <c r="AF125" s="2025" t="str">
        <f>'PIM Model'!$AG$25</f>
        <v/>
      </c>
      <c r="AG125" s="2026"/>
      <c r="AH125" s="2026"/>
      <c r="AI125" s="2026"/>
      <c r="AJ125" s="2026"/>
      <c r="AK125" s="2026"/>
      <c r="AL125" s="2113"/>
      <c r="AM125" s="2025" t="str">
        <f>'PIM Model'!$AH$25</f>
        <v/>
      </c>
      <c r="AN125" s="2026"/>
      <c r="AO125" s="2026"/>
      <c r="AP125" s="2026"/>
      <c r="AQ125" s="2026"/>
      <c r="AR125" s="2026"/>
      <c r="AS125" s="2027"/>
      <c r="BF125" s="138"/>
    </row>
    <row r="126" spans="2:58" x14ac:dyDescent="0.25">
      <c r="B126" s="137"/>
      <c r="D126" s="2101" t="s">
        <v>89</v>
      </c>
      <c r="E126" s="2035"/>
      <c r="F126" s="2035"/>
      <c r="G126" s="2035"/>
      <c r="H126" s="2035"/>
      <c r="I126" s="2035"/>
      <c r="J126" s="2035"/>
      <c r="K126" s="2035"/>
      <c r="L126" s="2035"/>
      <c r="M126" s="2035"/>
      <c r="N126" s="2035"/>
      <c r="O126" s="2035"/>
      <c r="P126" s="2035"/>
      <c r="Q126" s="2035"/>
      <c r="R126" s="2035"/>
      <c r="S126" s="2035"/>
      <c r="T126" s="2102"/>
      <c r="U126" s="2109" t="str">
        <f>IF('PIM Model'!$B$26=0,"",'PIM Model'!$B$26)</f>
        <v/>
      </c>
      <c r="V126" s="1982"/>
      <c r="W126" s="1982"/>
      <c r="X126" s="1982"/>
      <c r="Y126" s="1982"/>
      <c r="Z126" s="1982" t="str">
        <f>'PIM Model'!$AF$26</f>
        <v/>
      </c>
      <c r="AA126" s="1982"/>
      <c r="AB126" s="1982"/>
      <c r="AC126" s="1982"/>
      <c r="AD126" s="1982"/>
      <c r="AE126" s="1982"/>
      <c r="AF126" s="2025" t="str">
        <f>'PIM Model'!$AG$26</f>
        <v/>
      </c>
      <c r="AG126" s="2026"/>
      <c r="AH126" s="2026"/>
      <c r="AI126" s="2026"/>
      <c r="AJ126" s="2026"/>
      <c r="AK126" s="2026"/>
      <c r="AL126" s="2113"/>
      <c r="AM126" s="2025" t="str">
        <f>'PIM Model'!$AH$26</f>
        <v/>
      </c>
      <c r="AN126" s="2026"/>
      <c r="AO126" s="2026"/>
      <c r="AP126" s="2026"/>
      <c r="AQ126" s="2026"/>
      <c r="AR126" s="2026"/>
      <c r="AS126" s="2027"/>
      <c r="BF126" s="138"/>
    </row>
    <row r="127" spans="2:58" x14ac:dyDescent="0.25">
      <c r="B127" s="137"/>
      <c r="D127" s="2101" t="s">
        <v>94</v>
      </c>
      <c r="E127" s="2035"/>
      <c r="F127" s="2035"/>
      <c r="G127" s="2035"/>
      <c r="H127" s="2035"/>
      <c r="I127" s="2035"/>
      <c r="J127" s="2035"/>
      <c r="K127" s="2035"/>
      <c r="L127" s="2035"/>
      <c r="M127" s="2035"/>
      <c r="N127" s="2035"/>
      <c r="O127" s="2035"/>
      <c r="P127" s="2035"/>
      <c r="Q127" s="2035"/>
      <c r="R127" s="2035"/>
      <c r="S127" s="2035"/>
      <c r="T127" s="2102"/>
      <c r="U127" s="2109" t="str">
        <f>IF('PIM Model'!$B$27=0,"",'PIM Model'!$B$27)</f>
        <v/>
      </c>
      <c r="V127" s="1982"/>
      <c r="W127" s="1982"/>
      <c r="X127" s="1982"/>
      <c r="Y127" s="1982"/>
      <c r="Z127" s="1982" t="str">
        <f>'PIM Model'!$AF$27</f>
        <v/>
      </c>
      <c r="AA127" s="1982"/>
      <c r="AB127" s="1982"/>
      <c r="AC127" s="1982"/>
      <c r="AD127" s="1982"/>
      <c r="AE127" s="1982"/>
      <c r="AF127" s="2025" t="str">
        <f>'PIM Model'!$AG$27</f>
        <v/>
      </c>
      <c r="AG127" s="2026"/>
      <c r="AH127" s="2026"/>
      <c r="AI127" s="2026"/>
      <c r="AJ127" s="2026"/>
      <c r="AK127" s="2026"/>
      <c r="AL127" s="2113"/>
      <c r="AM127" s="2025" t="str">
        <f>'PIM Model'!$AH$27</f>
        <v/>
      </c>
      <c r="AN127" s="2026"/>
      <c r="AO127" s="2026"/>
      <c r="AP127" s="2026"/>
      <c r="AQ127" s="2026"/>
      <c r="AR127" s="2026"/>
      <c r="AS127" s="2027"/>
      <c r="BF127" s="138"/>
    </row>
    <row r="128" spans="2:58" x14ac:dyDescent="0.25">
      <c r="B128" s="137"/>
      <c r="D128" s="2101" t="s">
        <v>86</v>
      </c>
      <c r="E128" s="2035"/>
      <c r="F128" s="2035"/>
      <c r="G128" s="2035"/>
      <c r="H128" s="2035"/>
      <c r="I128" s="2035"/>
      <c r="J128" s="2035"/>
      <c r="K128" s="2035"/>
      <c r="L128" s="2035"/>
      <c r="M128" s="2035"/>
      <c r="N128" s="2035"/>
      <c r="O128" s="2035"/>
      <c r="P128" s="2035"/>
      <c r="Q128" s="2035"/>
      <c r="R128" s="2035"/>
      <c r="S128" s="2035"/>
      <c r="T128" s="2102"/>
      <c r="U128" s="2109" t="str">
        <f>IF('PIM Model'!$B$28=0,"",'PIM Model'!$B$28)</f>
        <v/>
      </c>
      <c r="V128" s="1982"/>
      <c r="W128" s="1982"/>
      <c r="X128" s="1982"/>
      <c r="Y128" s="1982"/>
      <c r="Z128" s="1982" t="str">
        <f>'PIM Model'!$AF$28</f>
        <v/>
      </c>
      <c r="AA128" s="1982"/>
      <c r="AB128" s="1982"/>
      <c r="AC128" s="1982"/>
      <c r="AD128" s="1982"/>
      <c r="AE128" s="1982"/>
      <c r="AF128" s="2025" t="str">
        <f>'PIM Model'!$AG$28</f>
        <v/>
      </c>
      <c r="AG128" s="2026"/>
      <c r="AH128" s="2026"/>
      <c r="AI128" s="2026"/>
      <c r="AJ128" s="2026"/>
      <c r="AK128" s="2026"/>
      <c r="AL128" s="2113"/>
      <c r="AM128" s="2025" t="str">
        <f>'PIM Model'!$AH$28</f>
        <v/>
      </c>
      <c r="AN128" s="2026"/>
      <c r="AO128" s="2026"/>
      <c r="AP128" s="2026"/>
      <c r="AQ128" s="2026"/>
      <c r="AR128" s="2026"/>
      <c r="AS128" s="2027"/>
      <c r="BF128" s="138"/>
    </row>
    <row r="129" spans="2:58" x14ac:dyDescent="0.25">
      <c r="B129" s="137"/>
      <c r="D129" s="2101" t="s">
        <v>88</v>
      </c>
      <c r="E129" s="2035"/>
      <c r="F129" s="2035"/>
      <c r="G129" s="2035"/>
      <c r="H129" s="2035"/>
      <c r="I129" s="2035"/>
      <c r="J129" s="2035"/>
      <c r="K129" s="2035"/>
      <c r="L129" s="2035"/>
      <c r="M129" s="2035"/>
      <c r="N129" s="2035"/>
      <c r="O129" s="2035"/>
      <c r="P129" s="2035"/>
      <c r="Q129" s="2035"/>
      <c r="R129" s="2035"/>
      <c r="S129" s="2035"/>
      <c r="T129" s="2102"/>
      <c r="U129" s="2109" t="str">
        <f>IF('PIM Model'!$B$29=0,"",'PIM Model'!$B$29)</f>
        <v/>
      </c>
      <c r="V129" s="1982"/>
      <c r="W129" s="1982"/>
      <c r="X129" s="1982"/>
      <c r="Y129" s="1982"/>
      <c r="Z129" s="1982" t="str">
        <f>'PIM Model'!$AF$29</f>
        <v/>
      </c>
      <c r="AA129" s="1982"/>
      <c r="AB129" s="1982"/>
      <c r="AC129" s="1982"/>
      <c r="AD129" s="1982"/>
      <c r="AE129" s="1982"/>
      <c r="AF129" s="2025" t="str">
        <f>'PIM Model'!$AG$29</f>
        <v/>
      </c>
      <c r="AG129" s="2026"/>
      <c r="AH129" s="2026"/>
      <c r="AI129" s="2026"/>
      <c r="AJ129" s="2026"/>
      <c r="AK129" s="2026"/>
      <c r="AL129" s="2113"/>
      <c r="AM129" s="2025" t="str">
        <f>'PIM Model'!$AH$29</f>
        <v/>
      </c>
      <c r="AN129" s="2026"/>
      <c r="AO129" s="2026"/>
      <c r="AP129" s="2026"/>
      <c r="AQ129" s="2026"/>
      <c r="AR129" s="2026"/>
      <c r="AS129" s="2027"/>
      <c r="BF129" s="138"/>
    </row>
    <row r="130" spans="2:58" ht="15.75" thickBot="1" x14ac:dyDescent="0.3">
      <c r="B130" s="137"/>
      <c r="D130" s="2110" t="s">
        <v>87</v>
      </c>
      <c r="E130" s="2111"/>
      <c r="F130" s="2111"/>
      <c r="G130" s="2111"/>
      <c r="H130" s="2111"/>
      <c r="I130" s="2111"/>
      <c r="J130" s="2111"/>
      <c r="K130" s="2111"/>
      <c r="L130" s="2111"/>
      <c r="M130" s="2111"/>
      <c r="N130" s="2111"/>
      <c r="O130" s="2111"/>
      <c r="P130" s="2111"/>
      <c r="Q130" s="2111"/>
      <c r="R130" s="2111"/>
      <c r="S130" s="2111"/>
      <c r="T130" s="2112"/>
      <c r="U130" s="2106" t="str">
        <f>IF('PIM Model'!$B$30=0,"",'PIM Model'!$B$30)</f>
        <v/>
      </c>
      <c r="V130" s="2107"/>
      <c r="W130" s="2107"/>
      <c r="X130" s="2107"/>
      <c r="Y130" s="2107"/>
      <c r="Z130" s="2107" t="str">
        <f>'PIM Model'!$AF$30</f>
        <v/>
      </c>
      <c r="AA130" s="2107"/>
      <c r="AB130" s="2107"/>
      <c r="AC130" s="2107"/>
      <c r="AD130" s="2107"/>
      <c r="AE130" s="2107"/>
      <c r="AF130" s="2114" t="str">
        <f>'PIM Model'!$AG$30</f>
        <v/>
      </c>
      <c r="AG130" s="2115"/>
      <c r="AH130" s="2115"/>
      <c r="AI130" s="2115"/>
      <c r="AJ130" s="2115"/>
      <c r="AK130" s="2115"/>
      <c r="AL130" s="2129"/>
      <c r="AM130" s="2114" t="str">
        <f>'PIM Model'!$AH$30</f>
        <v/>
      </c>
      <c r="AN130" s="2115"/>
      <c r="AO130" s="2115"/>
      <c r="AP130" s="2115"/>
      <c r="AQ130" s="2115"/>
      <c r="AR130" s="2115"/>
      <c r="AS130" s="2116"/>
      <c r="BF130" s="138"/>
    </row>
    <row r="131" spans="2:58" ht="16.5" thickTop="1" thickBot="1" x14ac:dyDescent="0.3">
      <c r="B131" s="137"/>
      <c r="D131" s="2120" t="s">
        <v>964</v>
      </c>
      <c r="E131" s="2121"/>
      <c r="F131" s="2121"/>
      <c r="G131" s="2121"/>
      <c r="H131" s="2121"/>
      <c r="I131" s="2121"/>
      <c r="J131" s="2121"/>
      <c r="K131" s="2121"/>
      <c r="L131" s="2121"/>
      <c r="M131" s="2121"/>
      <c r="N131" s="2121"/>
      <c r="O131" s="2121"/>
      <c r="P131" s="2121"/>
      <c r="Q131" s="2121"/>
      <c r="R131" s="2121"/>
      <c r="S131" s="2121"/>
      <c r="T131" s="2122"/>
      <c r="U131" s="2123">
        <f>COUNT($U$110:$Y$130)</f>
        <v>0</v>
      </c>
      <c r="V131" s="2124"/>
      <c r="W131" s="2124"/>
      <c r="X131" s="2124"/>
      <c r="Y131" s="2124"/>
      <c r="Z131" s="2121">
        <f>COUNTIF($Z$110:$AE$130,"ABOVE")+COUNTIF($Z$110:$AE$130,"BELOW")</f>
        <v>0</v>
      </c>
      <c r="AA131" s="2121"/>
      <c r="AB131" s="2121"/>
      <c r="AC131" s="2121"/>
      <c r="AD131" s="2121"/>
      <c r="AE131" s="2121"/>
      <c r="AF131" s="2125"/>
      <c r="AG131" s="2126"/>
      <c r="AH131" s="2126"/>
      <c r="AI131" s="2126"/>
      <c r="AJ131" s="2126"/>
      <c r="AK131" s="2126"/>
      <c r="AL131" s="2127"/>
      <c r="AM131" s="2125"/>
      <c r="AN131" s="2126"/>
      <c r="AO131" s="2126"/>
      <c r="AP131" s="2126"/>
      <c r="AQ131" s="2126"/>
      <c r="AR131" s="2126"/>
      <c r="AS131" s="212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34" t="s">
        <v>988</v>
      </c>
      <c r="C2" s="2135"/>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32" t="s">
        <v>819</v>
      </c>
      <c r="C6" s="2133"/>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32" t="s">
        <v>820</v>
      </c>
      <c r="C13" s="2133"/>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2145</v>
      </c>
      <c r="E1" s="1057" t="s">
        <v>1408</v>
      </c>
    </row>
    <row r="2" spans="1:5" x14ac:dyDescent="0.25">
      <c r="A2" s="974">
        <v>1</v>
      </c>
      <c r="B2" s="974" t="s">
        <v>1409</v>
      </c>
      <c r="C2" s="1046" t="s">
        <v>1409</v>
      </c>
      <c r="D2" s="1046" t="s">
        <v>1410</v>
      </c>
      <c r="E2" s="1043" t="s">
        <v>1411</v>
      </c>
    </row>
    <row r="3" spans="1:5" x14ac:dyDescent="0.25">
      <c r="A3" s="974">
        <v>2</v>
      </c>
      <c r="B3" s="974" t="s">
        <v>1409</v>
      </c>
      <c r="C3" s="1046" t="s">
        <v>1409</v>
      </c>
      <c r="D3" s="1046" t="s">
        <v>1410</v>
      </c>
      <c r="E3" s="1043" t="s">
        <v>1412</v>
      </c>
    </row>
    <row r="4" spans="1:5" x14ac:dyDescent="0.25">
      <c r="A4" s="974">
        <v>3</v>
      </c>
      <c r="B4" s="974" t="s">
        <v>1413</v>
      </c>
      <c r="C4" s="1046" t="s">
        <v>1409</v>
      </c>
      <c r="D4" s="1046" t="s">
        <v>1410</v>
      </c>
      <c r="E4" s="1043" t="s">
        <v>1414</v>
      </c>
    </row>
    <row r="5" spans="1:5" x14ac:dyDescent="0.25">
      <c r="A5" s="974">
        <v>4</v>
      </c>
      <c r="B5" s="974" t="s">
        <v>1374</v>
      </c>
      <c r="C5" s="1046" t="s">
        <v>1415</v>
      </c>
      <c r="D5" s="1046" t="s">
        <v>1416</v>
      </c>
      <c r="E5" s="1043" t="s">
        <v>1402</v>
      </c>
    </row>
    <row r="6" spans="1:5" x14ac:dyDescent="0.25">
      <c r="A6" s="974">
        <v>5</v>
      </c>
      <c r="B6" s="974" t="s">
        <v>1374</v>
      </c>
      <c r="C6" s="1046" t="s">
        <v>1415</v>
      </c>
      <c r="D6" s="1046" t="s">
        <v>1417</v>
      </c>
      <c r="E6" s="1043" t="s">
        <v>1403</v>
      </c>
    </row>
    <row r="7" spans="1:5" x14ac:dyDescent="0.25">
      <c r="A7" s="974">
        <v>6</v>
      </c>
      <c r="B7" s="974" t="s">
        <v>1401</v>
      </c>
      <c r="C7" s="1046" t="s">
        <v>1415</v>
      </c>
      <c r="D7" s="1046" t="s">
        <v>1418</v>
      </c>
      <c r="E7" s="1043" t="s">
        <v>1419</v>
      </c>
    </row>
    <row r="8" spans="1:5" x14ac:dyDescent="0.25">
      <c r="A8" s="974">
        <v>7</v>
      </c>
      <c r="B8" s="974" t="s">
        <v>1401</v>
      </c>
      <c r="C8" s="1046" t="s">
        <v>1415</v>
      </c>
      <c r="D8" s="1046" t="s">
        <v>1418</v>
      </c>
      <c r="E8" s="1043" t="s">
        <v>1420</v>
      </c>
    </row>
    <row r="9" spans="1:5" ht="30" x14ac:dyDescent="0.25">
      <c r="A9" s="974">
        <v>8</v>
      </c>
      <c r="B9" s="974" t="s">
        <v>1351</v>
      </c>
      <c r="C9" s="1046" t="s">
        <v>1415</v>
      </c>
      <c r="D9" s="1046" t="s">
        <v>1368</v>
      </c>
      <c r="E9" s="1043" t="s">
        <v>1214</v>
      </c>
    </row>
    <row r="10" spans="1:5" ht="30" x14ac:dyDescent="0.25">
      <c r="A10" s="974">
        <v>9</v>
      </c>
      <c r="B10" s="974" t="s">
        <v>1351</v>
      </c>
      <c r="C10" s="1046" t="s">
        <v>1415</v>
      </c>
      <c r="D10" s="1046" t="s">
        <v>1368</v>
      </c>
      <c r="E10" s="1043" t="s">
        <v>1215</v>
      </c>
    </row>
    <row r="11" spans="1:5" x14ac:dyDescent="0.25">
      <c r="A11" s="974">
        <v>10</v>
      </c>
      <c r="B11" s="974" t="s">
        <v>1351</v>
      </c>
      <c r="C11" s="1046" t="s">
        <v>1415</v>
      </c>
      <c r="D11" s="1046" t="s">
        <v>1368</v>
      </c>
      <c r="E11" s="1043" t="s">
        <v>1219</v>
      </c>
    </row>
    <row r="12" spans="1:5" x14ac:dyDescent="0.25">
      <c r="A12" s="974">
        <v>11</v>
      </c>
      <c r="B12" s="974" t="s">
        <v>1351</v>
      </c>
      <c r="C12" s="1046" t="s">
        <v>1421</v>
      </c>
      <c r="D12" s="1046" t="s">
        <v>1368</v>
      </c>
      <c r="E12" s="1043" t="s">
        <v>1216</v>
      </c>
    </row>
    <row r="13" spans="1:5" x14ac:dyDescent="0.25">
      <c r="A13" s="974">
        <v>12</v>
      </c>
      <c r="B13" s="974" t="s">
        <v>1351</v>
      </c>
      <c r="C13" s="1046" t="s">
        <v>1421</v>
      </c>
      <c r="D13" s="1046" t="s">
        <v>1368</v>
      </c>
      <c r="E13" s="1043" t="s">
        <v>1227</v>
      </c>
    </row>
    <row r="14" spans="1:5" x14ac:dyDescent="0.25">
      <c r="A14" s="974">
        <v>13</v>
      </c>
      <c r="B14" s="974" t="s">
        <v>1351</v>
      </c>
      <c r="C14" s="1046" t="s">
        <v>1421</v>
      </c>
      <c r="D14" s="1046" t="s">
        <v>1368</v>
      </c>
      <c r="E14" s="1043" t="s">
        <v>1228</v>
      </c>
    </row>
    <row r="15" spans="1:5" x14ac:dyDescent="0.25">
      <c r="A15" s="974">
        <v>14</v>
      </c>
      <c r="B15" s="974" t="s">
        <v>1351</v>
      </c>
      <c r="C15" s="1046" t="s">
        <v>1421</v>
      </c>
      <c r="D15" s="1046" t="s">
        <v>1368</v>
      </c>
      <c r="E15" s="1043" t="s">
        <v>1230</v>
      </c>
    </row>
    <row r="16" spans="1:5" x14ac:dyDescent="0.25">
      <c r="A16" s="974">
        <v>15</v>
      </c>
      <c r="B16" s="974" t="s">
        <v>1351</v>
      </c>
      <c r="C16" s="1046" t="s">
        <v>1421</v>
      </c>
      <c r="D16" s="1046" t="s">
        <v>1368</v>
      </c>
      <c r="E16" s="1043" t="s">
        <v>1231</v>
      </c>
    </row>
    <row r="17" spans="1:5" ht="30" x14ac:dyDescent="0.25">
      <c r="A17" s="974">
        <v>16</v>
      </c>
      <c r="B17" s="974" t="s">
        <v>1351</v>
      </c>
      <c r="C17" s="1046" t="s">
        <v>1421</v>
      </c>
      <c r="D17" s="1046" t="s">
        <v>1368</v>
      </c>
      <c r="E17" s="1043" t="s">
        <v>1232</v>
      </c>
    </row>
    <row r="18" spans="1:5" x14ac:dyDescent="0.25">
      <c r="A18" s="974">
        <v>17</v>
      </c>
      <c r="B18" s="974" t="s">
        <v>1351</v>
      </c>
      <c r="C18" s="1046" t="s">
        <v>1421</v>
      </c>
      <c r="D18" s="1046" t="s">
        <v>1422</v>
      </c>
      <c r="E18" s="1043" t="s">
        <v>1220</v>
      </c>
    </row>
    <row r="19" spans="1:5" x14ac:dyDescent="0.25">
      <c r="A19" s="974">
        <v>18</v>
      </c>
      <c r="B19" s="974" t="s">
        <v>1351</v>
      </c>
      <c r="C19" s="1046" t="s">
        <v>1421</v>
      </c>
      <c r="D19" s="1046" t="s">
        <v>1422</v>
      </c>
      <c r="E19" s="1043" t="s">
        <v>1221</v>
      </c>
    </row>
    <row r="20" spans="1:5" x14ac:dyDescent="0.25">
      <c r="A20" s="974">
        <v>19</v>
      </c>
      <c r="B20" s="974" t="s">
        <v>1351</v>
      </c>
      <c r="C20" s="1046" t="s">
        <v>1238</v>
      </c>
      <c r="D20" s="1046" t="s">
        <v>1410</v>
      </c>
      <c r="E20" s="1042" t="s">
        <v>1262</v>
      </c>
    </row>
    <row r="21" spans="1:5" ht="30" x14ac:dyDescent="0.25">
      <c r="A21" s="974">
        <v>20</v>
      </c>
      <c r="B21" s="974" t="s">
        <v>1351</v>
      </c>
      <c r="C21" s="1046" t="s">
        <v>2136</v>
      </c>
      <c r="D21" s="1046" t="s">
        <v>1410</v>
      </c>
      <c r="E21" s="1042" t="s">
        <v>1202</v>
      </c>
    </row>
    <row r="22" spans="1:5" ht="30" x14ac:dyDescent="0.25">
      <c r="A22" s="974">
        <v>21</v>
      </c>
      <c r="B22" s="974" t="s">
        <v>1351</v>
      </c>
      <c r="C22" s="1046" t="s">
        <v>2136</v>
      </c>
      <c r="D22" s="1046" t="s">
        <v>1410</v>
      </c>
      <c r="E22" s="1042" t="s">
        <v>1722</v>
      </c>
    </row>
    <row r="23" spans="1:5" ht="30" x14ac:dyDescent="0.25">
      <c r="A23" s="974">
        <v>22</v>
      </c>
      <c r="B23" s="974" t="s">
        <v>1351</v>
      </c>
      <c r="C23" s="1046" t="s">
        <v>2136</v>
      </c>
      <c r="D23" s="1046" t="s">
        <v>1410</v>
      </c>
      <c r="E23" s="1042" t="s">
        <v>1201</v>
      </c>
    </row>
    <row r="24" spans="1:5" x14ac:dyDescent="0.25">
      <c r="A24" s="974">
        <v>23</v>
      </c>
      <c r="B24" s="974" t="s">
        <v>1351</v>
      </c>
      <c r="C24" s="1046" t="s">
        <v>1238</v>
      </c>
      <c r="D24" s="1046" t="s">
        <v>1410</v>
      </c>
      <c r="E24" s="1042" t="s">
        <v>1725</v>
      </c>
    </row>
    <row r="25" spans="1:5" x14ac:dyDescent="0.25">
      <c r="A25" s="974">
        <v>24</v>
      </c>
      <c r="B25" s="974" t="s">
        <v>1351</v>
      </c>
      <c r="C25" s="1046" t="s">
        <v>1197</v>
      </c>
      <c r="D25" s="1046" t="s">
        <v>1410</v>
      </c>
      <c r="E25" s="1042" t="s">
        <v>1723</v>
      </c>
    </row>
    <row r="26" spans="1:5" x14ac:dyDescent="0.25">
      <c r="A26" s="974">
        <v>25</v>
      </c>
      <c r="B26" s="974" t="s">
        <v>1374</v>
      </c>
      <c r="C26" s="1046" t="s">
        <v>1421</v>
      </c>
      <c r="D26" s="1046" t="s">
        <v>1368</v>
      </c>
      <c r="E26" s="1043" t="s">
        <v>1404</v>
      </c>
    </row>
    <row r="27" spans="1:5" x14ac:dyDescent="0.25">
      <c r="A27" s="974">
        <v>26</v>
      </c>
      <c r="B27" s="974" t="s">
        <v>1374</v>
      </c>
      <c r="C27" s="1046" t="s">
        <v>1423</v>
      </c>
      <c r="D27" s="1046" t="s">
        <v>1424</v>
      </c>
      <c r="E27" s="1043" t="s">
        <v>1405</v>
      </c>
    </row>
    <row r="28" spans="1:5" x14ac:dyDescent="0.25">
      <c r="A28" s="974">
        <v>27</v>
      </c>
      <c r="B28" s="974" t="s">
        <v>1374</v>
      </c>
      <c r="C28" s="1046" t="s">
        <v>1423</v>
      </c>
      <c r="D28" s="1046" t="s">
        <v>1424</v>
      </c>
      <c r="E28" s="1043" t="s">
        <v>1425</v>
      </c>
    </row>
    <row r="29" spans="1:5" x14ac:dyDescent="0.25">
      <c r="A29" s="974">
        <v>28</v>
      </c>
      <c r="B29" s="974" t="s">
        <v>1374</v>
      </c>
      <c r="C29" s="1046" t="s">
        <v>1423</v>
      </c>
      <c r="D29" s="1046" t="s">
        <v>1424</v>
      </c>
      <c r="E29" s="1043" t="s">
        <v>651</v>
      </c>
    </row>
    <row r="30" spans="1:5" x14ac:dyDescent="0.25">
      <c r="A30" s="974">
        <v>29</v>
      </c>
      <c r="B30" s="974" t="s">
        <v>1374</v>
      </c>
      <c r="C30" s="1046" t="s">
        <v>1423</v>
      </c>
      <c r="D30" s="1046" t="s">
        <v>1424</v>
      </c>
      <c r="E30" s="1043" t="s">
        <v>1158</v>
      </c>
    </row>
    <row r="31" spans="1:5" x14ac:dyDescent="0.25">
      <c r="A31" s="974">
        <v>30</v>
      </c>
      <c r="B31" s="974" t="s">
        <v>1374</v>
      </c>
      <c r="C31" s="1046" t="s">
        <v>1423</v>
      </c>
      <c r="D31" s="1046" t="s">
        <v>1424</v>
      </c>
      <c r="E31" s="1043" t="s">
        <v>1159</v>
      </c>
    </row>
    <row r="32" spans="1:5" x14ac:dyDescent="0.25">
      <c r="A32" s="974">
        <v>31</v>
      </c>
      <c r="B32" s="974" t="s">
        <v>1374</v>
      </c>
      <c r="C32" s="1046" t="s">
        <v>1423</v>
      </c>
      <c r="D32" s="1046" t="s">
        <v>1424</v>
      </c>
      <c r="E32" s="1043" t="s">
        <v>1160</v>
      </c>
    </row>
    <row r="33" spans="1:5" x14ac:dyDescent="0.25">
      <c r="A33" s="974">
        <v>32</v>
      </c>
      <c r="B33" s="974" t="s">
        <v>1374</v>
      </c>
      <c r="C33" s="1046" t="s">
        <v>1426</v>
      </c>
      <c r="D33" s="1046" t="s">
        <v>2137</v>
      </c>
      <c r="E33" s="1043" t="s">
        <v>1471</v>
      </c>
    </row>
    <row r="34" spans="1:5" x14ac:dyDescent="0.25">
      <c r="A34" s="974">
        <v>33</v>
      </c>
      <c r="B34" s="974" t="s">
        <v>1401</v>
      </c>
      <c r="C34" s="1046" t="s">
        <v>1427</v>
      </c>
      <c r="D34" s="1046" t="s">
        <v>1410</v>
      </c>
      <c r="E34" s="1043" t="s">
        <v>1178</v>
      </c>
    </row>
    <row r="35" spans="1:5" x14ac:dyDescent="0.25">
      <c r="A35" s="974">
        <v>34</v>
      </c>
      <c r="B35" s="974" t="s">
        <v>870</v>
      </c>
      <c r="C35" s="1046" t="s">
        <v>1427</v>
      </c>
      <c r="D35" s="1046" t="s">
        <v>1410</v>
      </c>
      <c r="E35" s="1043" t="s">
        <v>1182</v>
      </c>
    </row>
    <row r="36" spans="1:5" x14ac:dyDescent="0.25">
      <c r="A36" s="974">
        <v>35</v>
      </c>
      <c r="B36" s="974" t="s">
        <v>1401</v>
      </c>
      <c r="C36" s="1046" t="s">
        <v>1427</v>
      </c>
      <c r="D36" s="1046" t="s">
        <v>1410</v>
      </c>
      <c r="E36" s="1043" t="s">
        <v>766</v>
      </c>
    </row>
    <row r="37" spans="1:5" x14ac:dyDescent="0.25">
      <c r="A37" s="974">
        <v>36</v>
      </c>
      <c r="B37" s="974" t="s">
        <v>870</v>
      </c>
      <c r="C37" s="1046" t="s">
        <v>1427</v>
      </c>
      <c r="D37" s="1046" t="s">
        <v>1410</v>
      </c>
      <c r="E37" s="1045" t="s">
        <v>1262</v>
      </c>
    </row>
    <row r="38" spans="1:5" ht="30" x14ac:dyDescent="0.25">
      <c r="A38" s="974">
        <v>37</v>
      </c>
      <c r="B38" s="974" t="s">
        <v>870</v>
      </c>
      <c r="C38" s="1046" t="s">
        <v>1427</v>
      </c>
      <c r="D38" s="1046" t="s">
        <v>1410</v>
      </c>
      <c r="E38" s="1045" t="s">
        <v>1263</v>
      </c>
    </row>
    <row r="39" spans="1:5" x14ac:dyDescent="0.25">
      <c r="A39" s="974">
        <v>38</v>
      </c>
      <c r="B39" s="974" t="s">
        <v>870</v>
      </c>
      <c r="C39" s="1046" t="s">
        <v>1427</v>
      </c>
      <c r="D39" s="1046" t="s">
        <v>1410</v>
      </c>
      <c r="E39" s="1045" t="s">
        <v>1185</v>
      </c>
    </row>
    <row r="40" spans="1:5" x14ac:dyDescent="0.25">
      <c r="A40" s="974">
        <v>39</v>
      </c>
      <c r="B40" s="974" t="s">
        <v>870</v>
      </c>
      <c r="C40" s="1046" t="s">
        <v>1427</v>
      </c>
      <c r="D40" s="1046" t="s">
        <v>1410</v>
      </c>
      <c r="E40" s="1045" t="s">
        <v>1186</v>
      </c>
    </row>
    <row r="41" spans="1:5" x14ac:dyDescent="0.25">
      <c r="A41" s="974">
        <v>40</v>
      </c>
      <c r="B41" s="974" t="s">
        <v>870</v>
      </c>
      <c r="C41" s="1046" t="s">
        <v>1427</v>
      </c>
      <c r="D41" s="1046" t="s">
        <v>1410</v>
      </c>
      <c r="E41" s="1045" t="s">
        <v>1187</v>
      </c>
    </row>
    <row r="42" spans="1:5" x14ac:dyDescent="0.25">
      <c r="A42" s="974">
        <v>41</v>
      </c>
      <c r="B42" s="974" t="s">
        <v>870</v>
      </c>
      <c r="C42" s="1046" t="s">
        <v>1427</v>
      </c>
      <c r="D42" s="1046" t="s">
        <v>1410</v>
      </c>
      <c r="E42" s="1045" t="s">
        <v>1188</v>
      </c>
    </row>
    <row r="43" spans="1:5" x14ac:dyDescent="0.25">
      <c r="A43" s="974">
        <v>42</v>
      </c>
      <c r="B43" s="974" t="s">
        <v>870</v>
      </c>
      <c r="C43" s="1046" t="s">
        <v>1427</v>
      </c>
      <c r="D43" s="1046" t="s">
        <v>1410</v>
      </c>
      <c r="E43" s="1045" t="s">
        <v>1189</v>
      </c>
    </row>
    <row r="44" spans="1:5" x14ac:dyDescent="0.25">
      <c r="A44" s="974">
        <v>43</v>
      </c>
      <c r="B44" s="974" t="s">
        <v>870</v>
      </c>
      <c r="C44" s="1046" t="s">
        <v>1427</v>
      </c>
      <c r="D44" s="1046" t="s">
        <v>1410</v>
      </c>
      <c r="E44" s="1045" t="s">
        <v>1428</v>
      </c>
    </row>
    <row r="45" spans="1:5" x14ac:dyDescent="0.25">
      <c r="A45" s="974">
        <v>44</v>
      </c>
      <c r="B45" s="974" t="s">
        <v>870</v>
      </c>
      <c r="C45" s="1046" t="s">
        <v>1427</v>
      </c>
      <c r="D45" s="1046" t="s">
        <v>1410</v>
      </c>
      <c r="E45" s="1045" t="s">
        <v>1631</v>
      </c>
    </row>
    <row r="46" spans="1:5" x14ac:dyDescent="0.25">
      <c r="A46" s="974">
        <v>45</v>
      </c>
      <c r="B46" s="974" t="s">
        <v>1401</v>
      </c>
      <c r="C46" s="1046" t="s">
        <v>1427</v>
      </c>
      <c r="D46" s="1046" t="s">
        <v>1429</v>
      </c>
      <c r="E46" s="1043" t="s">
        <v>765</v>
      </c>
    </row>
    <row r="47" spans="1:5" x14ac:dyDescent="0.25">
      <c r="A47" s="974">
        <v>46</v>
      </c>
      <c r="B47" s="974" t="s">
        <v>1401</v>
      </c>
      <c r="C47" s="1046" t="s">
        <v>1427</v>
      </c>
      <c r="D47" s="1046" t="s">
        <v>1429</v>
      </c>
      <c r="E47" s="1043" t="s">
        <v>1179</v>
      </c>
    </row>
    <row r="48" spans="1:5" x14ac:dyDescent="0.25">
      <c r="A48" s="974">
        <v>47</v>
      </c>
      <c r="B48" s="974" t="s">
        <v>1401</v>
      </c>
      <c r="C48" s="1046" t="s">
        <v>1427</v>
      </c>
      <c r="D48" s="1046" t="s">
        <v>1410</v>
      </c>
      <c r="E48" s="1043" t="s">
        <v>1180</v>
      </c>
    </row>
    <row r="49" spans="1:5" x14ac:dyDescent="0.25">
      <c r="A49" s="974">
        <v>48</v>
      </c>
      <c r="B49" s="974" t="s">
        <v>1401</v>
      </c>
      <c r="C49" s="1046" t="s">
        <v>1427</v>
      </c>
      <c r="D49" s="1046" t="s">
        <v>1410</v>
      </c>
      <c r="E49" s="1043" t="s">
        <v>1367</v>
      </c>
    </row>
    <row r="50" spans="1:5" x14ac:dyDescent="0.25">
      <c r="A50" s="974">
        <v>49</v>
      </c>
      <c r="B50" s="974" t="s">
        <v>1401</v>
      </c>
      <c r="C50" s="1046" t="s">
        <v>1427</v>
      </c>
      <c r="D50" s="1046" t="s">
        <v>1410</v>
      </c>
      <c r="E50" s="1043" t="s">
        <v>1297</v>
      </c>
    </row>
    <row r="51" spans="1:5" x14ac:dyDescent="0.25">
      <c r="A51" s="974">
        <v>50</v>
      </c>
      <c r="B51" s="974" t="s">
        <v>1401</v>
      </c>
      <c r="C51" s="1046" t="s">
        <v>1427</v>
      </c>
      <c r="D51" s="1046" t="s">
        <v>1410</v>
      </c>
      <c r="E51" s="1043" t="s">
        <v>767</v>
      </c>
    </row>
    <row r="52" spans="1:5" x14ac:dyDescent="0.25">
      <c r="A52" s="974">
        <v>51</v>
      </c>
      <c r="B52" s="974" t="s">
        <v>1401</v>
      </c>
      <c r="C52" s="1046" t="s">
        <v>1427</v>
      </c>
      <c r="D52" s="1046" t="s">
        <v>1410</v>
      </c>
      <c r="E52" s="1043" t="s">
        <v>768</v>
      </c>
    </row>
    <row r="53" spans="1:5" x14ac:dyDescent="0.25">
      <c r="A53" s="974">
        <v>52</v>
      </c>
      <c r="B53" s="974" t="s">
        <v>1401</v>
      </c>
      <c r="C53" s="1046" t="s">
        <v>1427</v>
      </c>
      <c r="D53" s="1046" t="s">
        <v>1410</v>
      </c>
      <c r="E53" s="1043" t="s">
        <v>769</v>
      </c>
    </row>
    <row r="54" spans="1:5" x14ac:dyDescent="0.25">
      <c r="A54" s="974">
        <v>53</v>
      </c>
      <c r="B54" s="974" t="s">
        <v>1401</v>
      </c>
      <c r="C54" s="1046" t="s">
        <v>1427</v>
      </c>
      <c r="D54" s="1046" t="s">
        <v>1410</v>
      </c>
      <c r="E54" s="1043" t="s">
        <v>204</v>
      </c>
    </row>
    <row r="55" spans="1:5" x14ac:dyDescent="0.25">
      <c r="A55" s="974">
        <v>54</v>
      </c>
      <c r="B55" s="974" t="s">
        <v>1401</v>
      </c>
      <c r="C55" s="1046" t="s">
        <v>1430</v>
      </c>
      <c r="D55" s="1046" t="s">
        <v>1410</v>
      </c>
      <c r="E55" s="1043" t="s">
        <v>1178</v>
      </c>
    </row>
    <row r="56" spans="1:5" x14ac:dyDescent="0.25">
      <c r="A56" s="974">
        <v>55</v>
      </c>
      <c r="B56" s="974" t="s">
        <v>870</v>
      </c>
      <c r="C56" s="1046" t="s">
        <v>1430</v>
      </c>
      <c r="D56" s="1046" t="s">
        <v>1410</v>
      </c>
      <c r="E56" s="1043" t="s">
        <v>1182</v>
      </c>
    </row>
    <row r="57" spans="1:5" x14ac:dyDescent="0.25">
      <c r="A57" s="974">
        <v>56</v>
      </c>
      <c r="B57" s="974" t="s">
        <v>1401</v>
      </c>
      <c r="C57" s="1046" t="s">
        <v>1430</v>
      </c>
      <c r="D57" s="1046" t="s">
        <v>1410</v>
      </c>
      <c r="E57" s="1043" t="s">
        <v>766</v>
      </c>
    </row>
    <row r="58" spans="1:5" x14ac:dyDescent="0.25">
      <c r="A58" s="974">
        <v>57</v>
      </c>
      <c r="B58" s="974" t="s">
        <v>870</v>
      </c>
      <c r="C58" s="1046" t="s">
        <v>1430</v>
      </c>
      <c r="D58" s="1046" t="s">
        <v>1410</v>
      </c>
      <c r="E58" s="1045" t="s">
        <v>1262</v>
      </c>
    </row>
    <row r="59" spans="1:5" ht="30" x14ac:dyDescent="0.25">
      <c r="A59" s="974">
        <v>58</v>
      </c>
      <c r="B59" s="974" t="s">
        <v>870</v>
      </c>
      <c r="C59" s="1046" t="s">
        <v>1430</v>
      </c>
      <c r="D59" s="1046" t="s">
        <v>1410</v>
      </c>
      <c r="E59" s="1045" t="s">
        <v>1263</v>
      </c>
    </row>
    <row r="60" spans="1:5" x14ac:dyDescent="0.25">
      <c r="A60" s="974">
        <v>59</v>
      </c>
      <c r="B60" s="974" t="s">
        <v>870</v>
      </c>
      <c r="C60" s="1046" t="s">
        <v>1430</v>
      </c>
      <c r="D60" s="1046" t="s">
        <v>1410</v>
      </c>
      <c r="E60" s="1045" t="s">
        <v>1185</v>
      </c>
    </row>
    <row r="61" spans="1:5" x14ac:dyDescent="0.25">
      <c r="A61" s="974">
        <v>60</v>
      </c>
      <c r="B61" s="974" t="s">
        <v>870</v>
      </c>
      <c r="C61" s="1046" t="s">
        <v>1430</v>
      </c>
      <c r="D61" s="1046" t="s">
        <v>1410</v>
      </c>
      <c r="E61" s="1045" t="s">
        <v>1186</v>
      </c>
    </row>
    <row r="62" spans="1:5" x14ac:dyDescent="0.25">
      <c r="A62" s="974">
        <v>61</v>
      </c>
      <c r="B62" s="974" t="s">
        <v>870</v>
      </c>
      <c r="C62" s="1046" t="s">
        <v>1430</v>
      </c>
      <c r="D62" s="1046" t="s">
        <v>1410</v>
      </c>
      <c r="E62" s="1045" t="s">
        <v>1187</v>
      </c>
    </row>
    <row r="63" spans="1:5" x14ac:dyDescent="0.25">
      <c r="A63" s="974">
        <v>62</v>
      </c>
      <c r="B63" s="974" t="s">
        <v>870</v>
      </c>
      <c r="C63" s="1046" t="s">
        <v>1430</v>
      </c>
      <c r="D63" s="1046" t="s">
        <v>1410</v>
      </c>
      <c r="E63" s="1045" t="s">
        <v>1188</v>
      </c>
    </row>
    <row r="64" spans="1:5" x14ac:dyDescent="0.25">
      <c r="A64" s="974">
        <v>63</v>
      </c>
      <c r="B64" s="974" t="s">
        <v>870</v>
      </c>
      <c r="C64" s="1046" t="s">
        <v>1430</v>
      </c>
      <c r="D64" s="1046" t="s">
        <v>1410</v>
      </c>
      <c r="E64" s="1045" t="s">
        <v>1189</v>
      </c>
    </row>
    <row r="65" spans="1:5" x14ac:dyDescent="0.25">
      <c r="A65" s="974">
        <v>64</v>
      </c>
      <c r="B65" s="974" t="s">
        <v>870</v>
      </c>
      <c r="C65" s="1046" t="s">
        <v>1430</v>
      </c>
      <c r="D65" s="1046" t="s">
        <v>1410</v>
      </c>
      <c r="E65" s="1045" t="s">
        <v>1428</v>
      </c>
    </row>
    <row r="66" spans="1:5" x14ac:dyDescent="0.25">
      <c r="A66" s="974">
        <v>65</v>
      </c>
      <c r="B66" s="974" t="s">
        <v>870</v>
      </c>
      <c r="C66" s="1046" t="s">
        <v>1430</v>
      </c>
      <c r="D66" s="1046" t="s">
        <v>1410</v>
      </c>
      <c r="E66" s="1045" t="s">
        <v>1631</v>
      </c>
    </row>
    <row r="67" spans="1:5" x14ac:dyDescent="0.25">
      <c r="A67" s="974">
        <v>66</v>
      </c>
      <c r="B67" s="974" t="s">
        <v>1401</v>
      </c>
      <c r="C67" s="1046" t="s">
        <v>1430</v>
      </c>
      <c r="D67" s="1046" t="s">
        <v>1429</v>
      </c>
      <c r="E67" s="1043" t="s">
        <v>765</v>
      </c>
    </row>
    <row r="68" spans="1:5" x14ac:dyDescent="0.25">
      <c r="A68" s="974">
        <v>67</v>
      </c>
      <c r="B68" s="974" t="s">
        <v>1401</v>
      </c>
      <c r="C68" s="1046" t="s">
        <v>1430</v>
      </c>
      <c r="D68" s="1046" t="s">
        <v>1429</v>
      </c>
      <c r="E68" s="1043" t="s">
        <v>1179</v>
      </c>
    </row>
    <row r="69" spans="1:5" x14ac:dyDescent="0.25">
      <c r="A69" s="974">
        <v>68</v>
      </c>
      <c r="B69" s="974" t="s">
        <v>1401</v>
      </c>
      <c r="C69" s="1046" t="s">
        <v>1430</v>
      </c>
      <c r="D69" s="1046" t="s">
        <v>1410</v>
      </c>
      <c r="E69" s="1043" t="s">
        <v>1180</v>
      </c>
    </row>
    <row r="70" spans="1:5" x14ac:dyDescent="0.25">
      <c r="A70" s="974">
        <v>69</v>
      </c>
      <c r="B70" s="974" t="s">
        <v>1401</v>
      </c>
      <c r="C70" s="1046" t="s">
        <v>1430</v>
      </c>
      <c r="D70" s="1046" t="s">
        <v>1410</v>
      </c>
      <c r="E70" s="1043" t="s">
        <v>1367</v>
      </c>
    </row>
    <row r="71" spans="1:5" x14ac:dyDescent="0.25">
      <c r="A71" s="974">
        <v>70</v>
      </c>
      <c r="B71" s="974" t="s">
        <v>1401</v>
      </c>
      <c r="C71" s="1046" t="s">
        <v>1430</v>
      </c>
      <c r="D71" s="1046" t="s">
        <v>1410</v>
      </c>
      <c r="E71" s="1043" t="s">
        <v>1297</v>
      </c>
    </row>
    <row r="72" spans="1:5" x14ac:dyDescent="0.25">
      <c r="A72" s="974">
        <v>71</v>
      </c>
      <c r="B72" s="974" t="s">
        <v>1401</v>
      </c>
      <c r="C72" s="1046" t="s">
        <v>1430</v>
      </c>
      <c r="D72" s="1046" t="s">
        <v>1410</v>
      </c>
      <c r="E72" s="1043" t="s">
        <v>767</v>
      </c>
    </row>
    <row r="73" spans="1:5" x14ac:dyDescent="0.25">
      <c r="A73" s="974">
        <v>72</v>
      </c>
      <c r="B73" s="974" t="s">
        <v>1401</v>
      </c>
      <c r="C73" s="1046" t="s">
        <v>1430</v>
      </c>
      <c r="D73" s="1046" t="s">
        <v>1410</v>
      </c>
      <c r="E73" s="1043" t="s">
        <v>768</v>
      </c>
    </row>
    <row r="74" spans="1:5" x14ac:dyDescent="0.25">
      <c r="A74" s="974">
        <v>73</v>
      </c>
      <c r="B74" s="974" t="s">
        <v>1401</v>
      </c>
      <c r="C74" s="1046" t="s">
        <v>1430</v>
      </c>
      <c r="D74" s="1046" t="s">
        <v>1410</v>
      </c>
      <c r="E74" s="1043" t="s">
        <v>769</v>
      </c>
    </row>
    <row r="75" spans="1:5" x14ac:dyDescent="0.25">
      <c r="A75" s="974">
        <v>74</v>
      </c>
      <c r="B75" s="974" t="s">
        <v>1401</v>
      </c>
      <c r="C75" s="1046" t="s">
        <v>1430</v>
      </c>
      <c r="D75" s="1046" t="s">
        <v>1410</v>
      </c>
      <c r="E75" s="1043" t="s">
        <v>204</v>
      </c>
    </row>
    <row r="76" spans="1:5" x14ac:dyDescent="0.25">
      <c r="A76" s="974">
        <v>75</v>
      </c>
      <c r="B76" s="974" t="s">
        <v>1401</v>
      </c>
      <c r="C76" s="1046" t="s">
        <v>1431</v>
      </c>
      <c r="D76" s="1046" t="s">
        <v>1429</v>
      </c>
      <c r="E76" s="1043" t="s">
        <v>1178</v>
      </c>
    </row>
    <row r="77" spans="1:5" x14ac:dyDescent="0.25">
      <c r="A77" s="974">
        <v>76</v>
      </c>
      <c r="B77" s="974" t="s">
        <v>870</v>
      </c>
      <c r="C77" s="1046" t="s">
        <v>1431</v>
      </c>
      <c r="D77" s="1046" t="s">
        <v>1410</v>
      </c>
      <c r="E77" s="1043" t="s">
        <v>1182</v>
      </c>
    </row>
    <row r="78" spans="1:5" x14ac:dyDescent="0.25">
      <c r="A78" s="974">
        <v>77</v>
      </c>
      <c r="B78" s="974" t="s">
        <v>1401</v>
      </c>
      <c r="C78" s="1046" t="s">
        <v>1431</v>
      </c>
      <c r="D78" s="1046" t="s">
        <v>1410</v>
      </c>
      <c r="E78" s="1043" t="s">
        <v>766</v>
      </c>
    </row>
    <row r="79" spans="1:5" x14ac:dyDescent="0.25">
      <c r="A79" s="974">
        <v>78</v>
      </c>
      <c r="B79" s="974" t="s">
        <v>870</v>
      </c>
      <c r="C79" s="1046" t="s">
        <v>1431</v>
      </c>
      <c r="D79" s="1046" t="s">
        <v>1410</v>
      </c>
      <c r="E79" s="1045" t="s">
        <v>1262</v>
      </c>
    </row>
    <row r="80" spans="1:5" ht="30" x14ac:dyDescent="0.25">
      <c r="A80" s="974">
        <v>79</v>
      </c>
      <c r="B80" s="974" t="s">
        <v>870</v>
      </c>
      <c r="C80" s="1046" t="s">
        <v>1431</v>
      </c>
      <c r="D80" s="1046" t="s">
        <v>1410</v>
      </c>
      <c r="E80" s="1045" t="s">
        <v>1263</v>
      </c>
    </row>
    <row r="81" spans="1:5" x14ac:dyDescent="0.25">
      <c r="A81" s="974">
        <v>80</v>
      </c>
      <c r="B81" s="974" t="s">
        <v>870</v>
      </c>
      <c r="C81" s="1046" t="s">
        <v>1431</v>
      </c>
      <c r="D81" s="1046" t="s">
        <v>1410</v>
      </c>
      <c r="E81" s="1045" t="s">
        <v>1185</v>
      </c>
    </row>
    <row r="82" spans="1:5" x14ac:dyDescent="0.25">
      <c r="A82" s="974">
        <v>81</v>
      </c>
      <c r="B82" s="974" t="s">
        <v>870</v>
      </c>
      <c r="C82" s="1046" t="s">
        <v>1431</v>
      </c>
      <c r="D82" s="1046" t="s">
        <v>1410</v>
      </c>
      <c r="E82" s="1045" t="s">
        <v>1186</v>
      </c>
    </row>
    <row r="83" spans="1:5" x14ac:dyDescent="0.25">
      <c r="A83" s="974">
        <v>82</v>
      </c>
      <c r="B83" s="974" t="s">
        <v>870</v>
      </c>
      <c r="C83" s="1046" t="s">
        <v>1431</v>
      </c>
      <c r="D83" s="1046" t="s">
        <v>1410</v>
      </c>
      <c r="E83" s="1045" t="s">
        <v>1187</v>
      </c>
    </row>
    <row r="84" spans="1:5" x14ac:dyDescent="0.25">
      <c r="A84" s="974">
        <v>83</v>
      </c>
      <c r="B84" s="974" t="s">
        <v>870</v>
      </c>
      <c r="C84" s="1046" t="s">
        <v>1431</v>
      </c>
      <c r="D84" s="1046" t="s">
        <v>1410</v>
      </c>
      <c r="E84" s="1045" t="s">
        <v>1188</v>
      </c>
    </row>
    <row r="85" spans="1:5" x14ac:dyDescent="0.25">
      <c r="A85" s="974">
        <v>84</v>
      </c>
      <c r="B85" s="974" t="s">
        <v>870</v>
      </c>
      <c r="C85" s="1046" t="s">
        <v>1431</v>
      </c>
      <c r="D85" s="1046" t="s">
        <v>1410</v>
      </c>
      <c r="E85" s="1045" t="s">
        <v>1189</v>
      </c>
    </row>
    <row r="86" spans="1:5" x14ac:dyDescent="0.25">
      <c r="A86" s="974">
        <v>85</v>
      </c>
      <c r="B86" s="974" t="s">
        <v>870</v>
      </c>
      <c r="C86" s="1046" t="s">
        <v>1431</v>
      </c>
      <c r="D86" s="1046" t="s">
        <v>1410</v>
      </c>
      <c r="E86" s="1045" t="s">
        <v>1428</v>
      </c>
    </row>
    <row r="87" spans="1:5" x14ac:dyDescent="0.25">
      <c r="A87" s="974">
        <v>86</v>
      </c>
      <c r="B87" s="974" t="s">
        <v>870</v>
      </c>
      <c r="C87" s="1046" t="s">
        <v>1431</v>
      </c>
      <c r="D87" s="1046" t="s">
        <v>1410</v>
      </c>
      <c r="E87" s="1045" t="s">
        <v>1631</v>
      </c>
    </row>
    <row r="88" spans="1:5" x14ac:dyDescent="0.25">
      <c r="A88" s="974">
        <v>87</v>
      </c>
      <c r="B88" s="974" t="s">
        <v>1401</v>
      </c>
      <c r="C88" s="1046" t="s">
        <v>1431</v>
      </c>
      <c r="D88" s="1046" t="s">
        <v>1429</v>
      </c>
      <c r="E88" s="1043" t="s">
        <v>765</v>
      </c>
    </row>
    <row r="89" spans="1:5" x14ac:dyDescent="0.25">
      <c r="A89" s="974">
        <v>88</v>
      </c>
      <c r="B89" s="974" t="s">
        <v>1401</v>
      </c>
      <c r="C89" s="1046" t="s">
        <v>1431</v>
      </c>
      <c r="D89" s="1046" t="s">
        <v>1429</v>
      </c>
      <c r="E89" s="1043" t="s">
        <v>1179</v>
      </c>
    </row>
    <row r="90" spans="1:5" x14ac:dyDescent="0.25">
      <c r="A90" s="974">
        <v>89</v>
      </c>
      <c r="B90" s="974" t="s">
        <v>1401</v>
      </c>
      <c r="C90" s="1046" t="s">
        <v>1431</v>
      </c>
      <c r="D90" s="1046" t="s">
        <v>1410</v>
      </c>
      <c r="E90" s="1043" t="s">
        <v>1180</v>
      </c>
    </row>
    <row r="91" spans="1:5" x14ac:dyDescent="0.25">
      <c r="A91" s="974">
        <v>90</v>
      </c>
      <c r="B91" s="974" t="s">
        <v>1401</v>
      </c>
      <c r="C91" s="1046" t="s">
        <v>1431</v>
      </c>
      <c r="D91" s="1046" t="s">
        <v>1410</v>
      </c>
      <c r="E91" s="1043" t="s">
        <v>1367</v>
      </c>
    </row>
    <row r="92" spans="1:5" x14ac:dyDescent="0.25">
      <c r="A92" s="974">
        <v>91</v>
      </c>
      <c r="B92" s="974" t="s">
        <v>1401</v>
      </c>
      <c r="C92" s="1046" t="s">
        <v>1431</v>
      </c>
      <c r="D92" s="1046" t="s">
        <v>1410</v>
      </c>
      <c r="E92" s="1043" t="s">
        <v>1297</v>
      </c>
    </row>
    <row r="93" spans="1:5" x14ac:dyDescent="0.25">
      <c r="A93" s="974">
        <v>92</v>
      </c>
      <c r="B93" s="974" t="s">
        <v>1401</v>
      </c>
      <c r="C93" s="1046" t="s">
        <v>1431</v>
      </c>
      <c r="D93" s="1046" t="s">
        <v>1410</v>
      </c>
      <c r="E93" s="1043" t="s">
        <v>767</v>
      </c>
    </row>
    <row r="94" spans="1:5" x14ac:dyDescent="0.25">
      <c r="A94" s="974">
        <v>93</v>
      </c>
      <c r="B94" s="974" t="s">
        <v>1401</v>
      </c>
      <c r="C94" s="1046" t="s">
        <v>1431</v>
      </c>
      <c r="D94" s="1046" t="s">
        <v>1410</v>
      </c>
      <c r="E94" s="1043" t="s">
        <v>768</v>
      </c>
    </row>
    <row r="95" spans="1:5" x14ac:dyDescent="0.25">
      <c r="A95" s="974">
        <v>94</v>
      </c>
      <c r="B95" s="974" t="s">
        <v>1401</v>
      </c>
      <c r="C95" s="1046" t="s">
        <v>1431</v>
      </c>
      <c r="D95" s="1046" t="s">
        <v>1410</v>
      </c>
      <c r="E95" s="1043" t="s">
        <v>769</v>
      </c>
    </row>
    <row r="96" spans="1:5" x14ac:dyDescent="0.25">
      <c r="A96" s="974">
        <v>95</v>
      </c>
      <c r="B96" s="974" t="s">
        <v>1401</v>
      </c>
      <c r="C96" s="1046" t="s">
        <v>1431</v>
      </c>
      <c r="D96" s="1046" t="s">
        <v>1410</v>
      </c>
      <c r="E96" s="1043" t="s">
        <v>204</v>
      </c>
    </row>
    <row r="97" spans="1:5" x14ac:dyDescent="0.25">
      <c r="A97" s="974">
        <v>96</v>
      </c>
      <c r="B97" s="974" t="s">
        <v>1401</v>
      </c>
      <c r="C97" s="1046" t="s">
        <v>1432</v>
      </c>
      <c r="D97" s="1046" t="s">
        <v>1410</v>
      </c>
      <c r="E97" s="1043" t="s">
        <v>1178</v>
      </c>
    </row>
    <row r="98" spans="1:5" x14ac:dyDescent="0.25">
      <c r="A98" s="974">
        <v>97</v>
      </c>
      <c r="B98" s="974" t="s">
        <v>870</v>
      </c>
      <c r="C98" s="1046" t="s">
        <v>1432</v>
      </c>
      <c r="D98" s="1046" t="s">
        <v>1410</v>
      </c>
      <c r="E98" s="1043" t="s">
        <v>1182</v>
      </c>
    </row>
    <row r="99" spans="1:5" x14ac:dyDescent="0.25">
      <c r="A99" s="974">
        <v>98</v>
      </c>
      <c r="B99" s="974" t="s">
        <v>1401</v>
      </c>
      <c r="C99" s="1046" t="s">
        <v>1432</v>
      </c>
      <c r="D99" s="1046" t="s">
        <v>1410</v>
      </c>
      <c r="E99" s="1043" t="s">
        <v>766</v>
      </c>
    </row>
    <row r="100" spans="1:5" x14ac:dyDescent="0.25">
      <c r="A100" s="974">
        <v>99</v>
      </c>
      <c r="B100" s="974" t="s">
        <v>870</v>
      </c>
      <c r="C100" s="1046" t="s">
        <v>1432</v>
      </c>
      <c r="D100" s="1046" t="s">
        <v>1410</v>
      </c>
      <c r="E100" s="1045" t="s">
        <v>1262</v>
      </c>
    </row>
    <row r="101" spans="1:5" ht="30" x14ac:dyDescent="0.25">
      <c r="A101" s="974">
        <v>100</v>
      </c>
      <c r="B101" s="974" t="s">
        <v>870</v>
      </c>
      <c r="C101" s="1046" t="s">
        <v>1432</v>
      </c>
      <c r="D101" s="1046" t="s">
        <v>1410</v>
      </c>
      <c r="E101" s="1045" t="s">
        <v>1263</v>
      </c>
    </row>
    <row r="102" spans="1:5" x14ac:dyDescent="0.25">
      <c r="A102" s="974">
        <v>101</v>
      </c>
      <c r="B102" s="974" t="s">
        <v>870</v>
      </c>
      <c r="C102" s="1046" t="s">
        <v>1432</v>
      </c>
      <c r="D102" s="1046" t="s">
        <v>1410</v>
      </c>
      <c r="E102" s="1045" t="s">
        <v>1185</v>
      </c>
    </row>
    <row r="103" spans="1:5" x14ac:dyDescent="0.25">
      <c r="A103" s="974">
        <v>102</v>
      </c>
      <c r="B103" s="974" t="s">
        <v>870</v>
      </c>
      <c r="C103" s="1046" t="s">
        <v>1432</v>
      </c>
      <c r="D103" s="1046" t="s">
        <v>1410</v>
      </c>
      <c r="E103" s="1045" t="s">
        <v>1186</v>
      </c>
    </row>
    <row r="104" spans="1:5" x14ac:dyDescent="0.25">
      <c r="A104" s="974">
        <v>103</v>
      </c>
      <c r="B104" s="974" t="s">
        <v>870</v>
      </c>
      <c r="C104" s="1046" t="s">
        <v>1432</v>
      </c>
      <c r="D104" s="1046" t="s">
        <v>1410</v>
      </c>
      <c r="E104" s="1045" t="s">
        <v>1187</v>
      </c>
    </row>
    <row r="105" spans="1:5" x14ac:dyDescent="0.25">
      <c r="A105" s="974">
        <v>104</v>
      </c>
      <c r="B105" s="974" t="s">
        <v>870</v>
      </c>
      <c r="C105" s="1046" t="s">
        <v>1432</v>
      </c>
      <c r="D105" s="1046" t="s">
        <v>1410</v>
      </c>
      <c r="E105" s="1045" t="s">
        <v>1188</v>
      </c>
    </row>
    <row r="106" spans="1:5" x14ac:dyDescent="0.25">
      <c r="A106" s="974">
        <v>105</v>
      </c>
      <c r="B106" s="974" t="s">
        <v>870</v>
      </c>
      <c r="C106" s="1046" t="s">
        <v>1432</v>
      </c>
      <c r="D106" s="1046" t="s">
        <v>1410</v>
      </c>
      <c r="E106" s="1045" t="s">
        <v>1189</v>
      </c>
    </row>
    <row r="107" spans="1:5" x14ac:dyDescent="0.25">
      <c r="A107" s="974">
        <v>106</v>
      </c>
      <c r="B107" s="974" t="s">
        <v>870</v>
      </c>
      <c r="C107" s="1046" t="s">
        <v>1432</v>
      </c>
      <c r="D107" s="1046" t="s">
        <v>1410</v>
      </c>
      <c r="E107" s="1045" t="s">
        <v>1428</v>
      </c>
    </row>
    <row r="108" spans="1:5" x14ac:dyDescent="0.25">
      <c r="A108" s="974">
        <v>107</v>
      </c>
      <c r="B108" s="974" t="s">
        <v>870</v>
      </c>
      <c r="C108" s="1046" t="s">
        <v>1432</v>
      </c>
      <c r="D108" s="1046" t="s">
        <v>1410</v>
      </c>
      <c r="E108" s="1045" t="s">
        <v>1631</v>
      </c>
    </row>
    <row r="109" spans="1:5" x14ac:dyDescent="0.25">
      <c r="A109" s="974">
        <v>108</v>
      </c>
      <c r="B109" s="974" t="s">
        <v>1401</v>
      </c>
      <c r="C109" s="1046" t="s">
        <v>1432</v>
      </c>
      <c r="D109" s="1046" t="s">
        <v>1429</v>
      </c>
      <c r="E109" s="1043" t="s">
        <v>765</v>
      </c>
    </row>
    <row r="110" spans="1:5" x14ac:dyDescent="0.25">
      <c r="A110" s="974">
        <v>109</v>
      </c>
      <c r="B110" s="974" t="s">
        <v>1401</v>
      </c>
      <c r="C110" s="1046" t="s">
        <v>1432</v>
      </c>
      <c r="D110" s="1046" t="s">
        <v>1429</v>
      </c>
      <c r="E110" s="1043" t="s">
        <v>1179</v>
      </c>
    </row>
    <row r="111" spans="1:5" x14ac:dyDescent="0.25">
      <c r="A111" s="974">
        <v>110</v>
      </c>
      <c r="B111" s="974" t="s">
        <v>1401</v>
      </c>
      <c r="C111" s="1046" t="s">
        <v>1432</v>
      </c>
      <c r="D111" s="1046" t="s">
        <v>1410</v>
      </c>
      <c r="E111" s="1043" t="s">
        <v>1180</v>
      </c>
    </row>
    <row r="112" spans="1:5" x14ac:dyDescent="0.25">
      <c r="A112" s="974">
        <v>111</v>
      </c>
      <c r="B112" s="974" t="s">
        <v>1401</v>
      </c>
      <c r="C112" s="1046" t="s">
        <v>1432</v>
      </c>
      <c r="D112" s="1046" t="s">
        <v>1410</v>
      </c>
      <c r="E112" s="1043" t="s">
        <v>1367</v>
      </c>
    </row>
    <row r="113" spans="1:5" x14ac:dyDescent="0.25">
      <c r="A113" s="974">
        <v>112</v>
      </c>
      <c r="B113" s="974" t="s">
        <v>1401</v>
      </c>
      <c r="C113" s="1046" t="s">
        <v>1432</v>
      </c>
      <c r="D113" s="1046" t="s">
        <v>1410</v>
      </c>
      <c r="E113" s="1043" t="s">
        <v>1297</v>
      </c>
    </row>
    <row r="114" spans="1:5" x14ac:dyDescent="0.25">
      <c r="A114" s="974">
        <v>113</v>
      </c>
      <c r="B114" s="974" t="s">
        <v>1401</v>
      </c>
      <c r="C114" s="1046" t="s">
        <v>1432</v>
      </c>
      <c r="D114" s="1046" t="s">
        <v>1410</v>
      </c>
      <c r="E114" s="1043" t="s">
        <v>767</v>
      </c>
    </row>
    <row r="115" spans="1:5" x14ac:dyDescent="0.25">
      <c r="A115" s="974">
        <v>114</v>
      </c>
      <c r="B115" s="974" t="s">
        <v>1401</v>
      </c>
      <c r="C115" s="1046" t="s">
        <v>1432</v>
      </c>
      <c r="D115" s="1046" t="s">
        <v>1410</v>
      </c>
      <c r="E115" s="1043" t="s">
        <v>768</v>
      </c>
    </row>
    <row r="116" spans="1:5" x14ac:dyDescent="0.25">
      <c r="A116" s="974">
        <v>115</v>
      </c>
      <c r="B116" s="974" t="s">
        <v>1401</v>
      </c>
      <c r="C116" s="1046" t="s">
        <v>1432</v>
      </c>
      <c r="D116" s="1046" t="s">
        <v>1410</v>
      </c>
      <c r="E116" s="1043" t="s">
        <v>769</v>
      </c>
    </row>
    <row r="117" spans="1:5" x14ac:dyDescent="0.25">
      <c r="A117" s="974">
        <v>116</v>
      </c>
      <c r="B117" s="974" t="s">
        <v>1401</v>
      </c>
      <c r="C117" s="1046" t="s">
        <v>1432</v>
      </c>
      <c r="D117" s="1046" t="s">
        <v>1410</v>
      </c>
      <c r="E117" s="1043" t="s">
        <v>204</v>
      </c>
    </row>
    <row r="118" spans="1:5" x14ac:dyDescent="0.25">
      <c r="A118" s="974">
        <v>117</v>
      </c>
      <c r="B118" s="974" t="s">
        <v>1401</v>
      </c>
      <c r="C118" s="1046" t="s">
        <v>1433</v>
      </c>
      <c r="D118" s="1046" t="s">
        <v>1410</v>
      </c>
      <c r="E118" s="1043" t="s">
        <v>1178</v>
      </c>
    </row>
    <row r="119" spans="1:5" x14ac:dyDescent="0.25">
      <c r="A119" s="974">
        <v>118</v>
      </c>
      <c r="B119" s="974" t="s">
        <v>870</v>
      </c>
      <c r="C119" s="1046" t="s">
        <v>1433</v>
      </c>
      <c r="D119" s="1046" t="s">
        <v>1410</v>
      </c>
      <c r="E119" s="1043" t="s">
        <v>1182</v>
      </c>
    </row>
    <row r="120" spans="1:5" x14ac:dyDescent="0.25">
      <c r="A120" s="974">
        <v>119</v>
      </c>
      <c r="B120" s="974" t="s">
        <v>1401</v>
      </c>
      <c r="C120" s="1046" t="s">
        <v>1433</v>
      </c>
      <c r="D120" s="1046" t="s">
        <v>1410</v>
      </c>
      <c r="E120" s="1043" t="s">
        <v>766</v>
      </c>
    </row>
    <row r="121" spans="1:5" x14ac:dyDescent="0.25">
      <c r="A121" s="974">
        <v>120</v>
      </c>
      <c r="B121" s="974" t="s">
        <v>870</v>
      </c>
      <c r="C121" s="1046" t="s">
        <v>1433</v>
      </c>
      <c r="D121" s="1046" t="s">
        <v>1410</v>
      </c>
      <c r="E121" s="1045" t="s">
        <v>1262</v>
      </c>
    </row>
    <row r="122" spans="1:5" ht="30" x14ac:dyDescent="0.25">
      <c r="A122" s="974">
        <v>121</v>
      </c>
      <c r="B122" s="974" t="s">
        <v>870</v>
      </c>
      <c r="C122" s="1046" t="s">
        <v>1433</v>
      </c>
      <c r="D122" s="1046" t="s">
        <v>1410</v>
      </c>
      <c r="E122" s="1045" t="s">
        <v>1263</v>
      </c>
    </row>
    <row r="123" spans="1:5" x14ac:dyDescent="0.25">
      <c r="A123" s="974">
        <v>122</v>
      </c>
      <c r="B123" s="974" t="s">
        <v>870</v>
      </c>
      <c r="C123" s="1046" t="s">
        <v>1433</v>
      </c>
      <c r="D123" s="1046" t="s">
        <v>1410</v>
      </c>
      <c r="E123" s="1045" t="s">
        <v>1185</v>
      </c>
    </row>
    <row r="124" spans="1:5" x14ac:dyDescent="0.25">
      <c r="A124" s="974">
        <v>123</v>
      </c>
      <c r="B124" s="974" t="s">
        <v>870</v>
      </c>
      <c r="C124" s="1046" t="s">
        <v>1433</v>
      </c>
      <c r="D124" s="1046" t="s">
        <v>1410</v>
      </c>
      <c r="E124" s="1045" t="s">
        <v>1186</v>
      </c>
    </row>
    <row r="125" spans="1:5" x14ac:dyDescent="0.25">
      <c r="A125" s="974">
        <v>124</v>
      </c>
      <c r="B125" s="974" t="s">
        <v>870</v>
      </c>
      <c r="C125" s="1046" t="s">
        <v>1433</v>
      </c>
      <c r="D125" s="1046" t="s">
        <v>1410</v>
      </c>
      <c r="E125" s="1045" t="s">
        <v>1187</v>
      </c>
    </row>
    <row r="126" spans="1:5" x14ac:dyDescent="0.25">
      <c r="A126" s="974">
        <v>125</v>
      </c>
      <c r="B126" s="974" t="s">
        <v>870</v>
      </c>
      <c r="C126" s="1046" t="s">
        <v>1433</v>
      </c>
      <c r="D126" s="1046" t="s">
        <v>1410</v>
      </c>
      <c r="E126" s="1045" t="s">
        <v>1188</v>
      </c>
    </row>
    <row r="127" spans="1:5" x14ac:dyDescent="0.25">
      <c r="A127" s="974">
        <v>126</v>
      </c>
      <c r="B127" s="974" t="s">
        <v>870</v>
      </c>
      <c r="C127" s="1046" t="s">
        <v>1433</v>
      </c>
      <c r="D127" s="1046" t="s">
        <v>1410</v>
      </c>
      <c r="E127" s="1045" t="s">
        <v>1189</v>
      </c>
    </row>
    <row r="128" spans="1:5" x14ac:dyDescent="0.25">
      <c r="A128" s="974">
        <v>127</v>
      </c>
      <c r="B128" s="974" t="s">
        <v>870</v>
      </c>
      <c r="C128" s="1046" t="s">
        <v>1433</v>
      </c>
      <c r="D128" s="1046" t="s">
        <v>1410</v>
      </c>
      <c r="E128" s="1045" t="s">
        <v>1428</v>
      </c>
    </row>
    <row r="129" spans="1:5" x14ac:dyDescent="0.25">
      <c r="A129" s="974">
        <v>128</v>
      </c>
      <c r="B129" s="974" t="s">
        <v>870</v>
      </c>
      <c r="C129" s="1046" t="s">
        <v>1433</v>
      </c>
      <c r="D129" s="1046" t="s">
        <v>1410</v>
      </c>
      <c r="E129" s="1045" t="s">
        <v>1631</v>
      </c>
    </row>
    <row r="130" spans="1:5" x14ac:dyDescent="0.25">
      <c r="A130" s="974">
        <v>129</v>
      </c>
      <c r="B130" s="974" t="s">
        <v>1401</v>
      </c>
      <c r="C130" s="1046" t="s">
        <v>1433</v>
      </c>
      <c r="D130" s="1046" t="s">
        <v>1429</v>
      </c>
      <c r="E130" s="1043" t="s">
        <v>765</v>
      </c>
    </row>
    <row r="131" spans="1:5" x14ac:dyDescent="0.25">
      <c r="A131" s="974">
        <v>130</v>
      </c>
      <c r="B131" s="974" t="s">
        <v>1401</v>
      </c>
      <c r="C131" s="1046" t="s">
        <v>1433</v>
      </c>
      <c r="D131" s="1046" t="s">
        <v>1429</v>
      </c>
      <c r="E131" s="1043" t="s">
        <v>1179</v>
      </c>
    </row>
    <row r="132" spans="1:5" x14ac:dyDescent="0.25">
      <c r="A132" s="974">
        <v>131</v>
      </c>
      <c r="B132" s="974" t="s">
        <v>1401</v>
      </c>
      <c r="C132" s="1046" t="s">
        <v>1433</v>
      </c>
      <c r="D132" s="1046" t="s">
        <v>1410</v>
      </c>
      <c r="E132" s="1043" t="s">
        <v>1180</v>
      </c>
    </row>
    <row r="133" spans="1:5" x14ac:dyDescent="0.25">
      <c r="A133" s="974">
        <v>132</v>
      </c>
      <c r="B133" s="974" t="s">
        <v>1401</v>
      </c>
      <c r="C133" s="1046" t="s">
        <v>1433</v>
      </c>
      <c r="D133" s="1046" t="s">
        <v>1410</v>
      </c>
      <c r="E133" s="1043" t="s">
        <v>1367</v>
      </c>
    </row>
    <row r="134" spans="1:5" x14ac:dyDescent="0.25">
      <c r="A134" s="974">
        <v>133</v>
      </c>
      <c r="B134" s="974" t="s">
        <v>1401</v>
      </c>
      <c r="C134" s="1046" t="s">
        <v>1433</v>
      </c>
      <c r="D134" s="1046" t="s">
        <v>1410</v>
      </c>
      <c r="E134" s="1043" t="s">
        <v>1297</v>
      </c>
    </row>
    <row r="135" spans="1:5" x14ac:dyDescent="0.25">
      <c r="A135" s="974">
        <v>134</v>
      </c>
      <c r="B135" s="974" t="s">
        <v>1401</v>
      </c>
      <c r="C135" s="1046" t="s">
        <v>1433</v>
      </c>
      <c r="D135" s="1046" t="s">
        <v>1410</v>
      </c>
      <c r="E135" s="1043" t="s">
        <v>767</v>
      </c>
    </row>
    <row r="136" spans="1:5" x14ac:dyDescent="0.25">
      <c r="A136" s="974">
        <v>135</v>
      </c>
      <c r="B136" s="974" t="s">
        <v>1401</v>
      </c>
      <c r="C136" s="1046" t="s">
        <v>1433</v>
      </c>
      <c r="D136" s="1046" t="s">
        <v>1410</v>
      </c>
      <c r="E136" s="1043" t="s">
        <v>768</v>
      </c>
    </row>
    <row r="137" spans="1:5" x14ac:dyDescent="0.25">
      <c r="A137" s="974">
        <v>136</v>
      </c>
      <c r="B137" s="974" t="s">
        <v>1401</v>
      </c>
      <c r="C137" s="1046" t="s">
        <v>1433</v>
      </c>
      <c r="D137" s="1046" t="s">
        <v>1410</v>
      </c>
      <c r="E137" s="1043" t="s">
        <v>769</v>
      </c>
    </row>
    <row r="138" spans="1:5" x14ac:dyDescent="0.25">
      <c r="A138" s="974">
        <v>137</v>
      </c>
      <c r="B138" s="974" t="s">
        <v>1401</v>
      </c>
      <c r="C138" s="1046" t="s">
        <v>1433</v>
      </c>
      <c r="D138" s="1046" t="s">
        <v>1410</v>
      </c>
      <c r="E138" s="1043" t="s">
        <v>204</v>
      </c>
    </row>
    <row r="139" spans="1:5" x14ac:dyDescent="0.25">
      <c r="A139" s="974">
        <v>138</v>
      </c>
      <c r="B139" s="974" t="s">
        <v>1401</v>
      </c>
      <c r="C139" s="1046" t="s">
        <v>1434</v>
      </c>
      <c r="D139" s="1046" t="s">
        <v>1410</v>
      </c>
      <c r="E139" s="1043" t="s">
        <v>1178</v>
      </c>
    </row>
    <row r="140" spans="1:5" x14ac:dyDescent="0.25">
      <c r="A140" s="974">
        <v>139</v>
      </c>
      <c r="B140" s="974" t="s">
        <v>870</v>
      </c>
      <c r="C140" s="1046" t="s">
        <v>1434</v>
      </c>
      <c r="D140" s="1046" t="s">
        <v>1410</v>
      </c>
      <c r="E140" s="1043" t="s">
        <v>1182</v>
      </c>
    </row>
    <row r="141" spans="1:5" x14ac:dyDescent="0.25">
      <c r="A141" s="974">
        <v>140</v>
      </c>
      <c r="B141" s="974" t="s">
        <v>1401</v>
      </c>
      <c r="C141" s="1046" t="s">
        <v>1434</v>
      </c>
      <c r="D141" s="1046" t="s">
        <v>1410</v>
      </c>
      <c r="E141" s="1043" t="s">
        <v>766</v>
      </c>
    </row>
    <row r="142" spans="1:5" x14ac:dyDescent="0.25">
      <c r="A142" s="974">
        <v>141</v>
      </c>
      <c r="B142" s="974" t="s">
        <v>870</v>
      </c>
      <c r="C142" s="1046" t="s">
        <v>1434</v>
      </c>
      <c r="D142" s="1046" t="s">
        <v>1410</v>
      </c>
      <c r="E142" s="1045" t="s">
        <v>1262</v>
      </c>
    </row>
    <row r="143" spans="1:5" ht="30" x14ac:dyDescent="0.25">
      <c r="A143" s="974">
        <v>142</v>
      </c>
      <c r="B143" s="974" t="s">
        <v>870</v>
      </c>
      <c r="C143" s="1046" t="s">
        <v>1434</v>
      </c>
      <c r="D143" s="1046" t="s">
        <v>1410</v>
      </c>
      <c r="E143" s="1045" t="s">
        <v>1263</v>
      </c>
    </row>
    <row r="144" spans="1:5" x14ac:dyDescent="0.25">
      <c r="A144" s="974">
        <v>143</v>
      </c>
      <c r="B144" s="974" t="s">
        <v>870</v>
      </c>
      <c r="C144" s="1046" t="s">
        <v>1434</v>
      </c>
      <c r="D144" s="1046" t="s">
        <v>1410</v>
      </c>
      <c r="E144" s="1045" t="s">
        <v>1185</v>
      </c>
    </row>
    <row r="145" spans="1:5" x14ac:dyDescent="0.25">
      <c r="A145" s="974">
        <v>144</v>
      </c>
      <c r="B145" s="974" t="s">
        <v>870</v>
      </c>
      <c r="C145" s="1046" t="s">
        <v>1434</v>
      </c>
      <c r="D145" s="1046" t="s">
        <v>1410</v>
      </c>
      <c r="E145" s="1045" t="s">
        <v>1186</v>
      </c>
    </row>
    <row r="146" spans="1:5" x14ac:dyDescent="0.25">
      <c r="A146" s="974">
        <v>145</v>
      </c>
      <c r="B146" s="974" t="s">
        <v>870</v>
      </c>
      <c r="C146" s="1046" t="s">
        <v>1434</v>
      </c>
      <c r="D146" s="1046" t="s">
        <v>1410</v>
      </c>
      <c r="E146" s="1045" t="s">
        <v>1187</v>
      </c>
    </row>
    <row r="147" spans="1:5" x14ac:dyDescent="0.25">
      <c r="A147" s="974">
        <v>146</v>
      </c>
      <c r="B147" s="974" t="s">
        <v>870</v>
      </c>
      <c r="C147" s="1046" t="s">
        <v>1434</v>
      </c>
      <c r="D147" s="1046" t="s">
        <v>1410</v>
      </c>
      <c r="E147" s="1045" t="s">
        <v>1188</v>
      </c>
    </row>
    <row r="148" spans="1:5" x14ac:dyDescent="0.25">
      <c r="A148" s="974">
        <v>147</v>
      </c>
      <c r="B148" s="974" t="s">
        <v>870</v>
      </c>
      <c r="C148" s="1046" t="s">
        <v>1434</v>
      </c>
      <c r="D148" s="1046" t="s">
        <v>1410</v>
      </c>
      <c r="E148" s="1045" t="s">
        <v>1189</v>
      </c>
    </row>
    <row r="149" spans="1:5" x14ac:dyDescent="0.25">
      <c r="A149" s="974">
        <v>148</v>
      </c>
      <c r="B149" s="974" t="s">
        <v>870</v>
      </c>
      <c r="C149" s="1046" t="s">
        <v>1434</v>
      </c>
      <c r="D149" s="1046" t="s">
        <v>1410</v>
      </c>
      <c r="E149" s="1045" t="s">
        <v>1428</v>
      </c>
    </row>
    <row r="150" spans="1:5" x14ac:dyDescent="0.25">
      <c r="A150" s="974">
        <v>149</v>
      </c>
      <c r="B150" s="974" t="s">
        <v>870</v>
      </c>
      <c r="C150" s="1046" t="s">
        <v>1434</v>
      </c>
      <c r="D150" s="1046" t="s">
        <v>1410</v>
      </c>
      <c r="E150" s="1045" t="s">
        <v>1631</v>
      </c>
    </row>
    <row r="151" spans="1:5" x14ac:dyDescent="0.25">
      <c r="A151" s="974">
        <v>150</v>
      </c>
      <c r="B151" s="974" t="s">
        <v>1401</v>
      </c>
      <c r="C151" s="1046" t="s">
        <v>1434</v>
      </c>
      <c r="D151" s="1046" t="s">
        <v>1429</v>
      </c>
      <c r="E151" s="1043" t="s">
        <v>765</v>
      </c>
    </row>
    <row r="152" spans="1:5" x14ac:dyDescent="0.25">
      <c r="A152" s="974">
        <v>151</v>
      </c>
      <c r="B152" s="974" t="s">
        <v>1401</v>
      </c>
      <c r="C152" s="1046" t="s">
        <v>1434</v>
      </c>
      <c r="D152" s="1046" t="s">
        <v>1429</v>
      </c>
      <c r="E152" s="1043" t="s">
        <v>1179</v>
      </c>
    </row>
    <row r="153" spans="1:5" x14ac:dyDescent="0.25">
      <c r="A153" s="974">
        <v>152</v>
      </c>
      <c r="B153" s="974" t="s">
        <v>1401</v>
      </c>
      <c r="C153" s="1046" t="s">
        <v>1434</v>
      </c>
      <c r="D153" s="1046" t="s">
        <v>1410</v>
      </c>
      <c r="E153" s="1043" t="s">
        <v>1180</v>
      </c>
    </row>
    <row r="154" spans="1:5" x14ac:dyDescent="0.25">
      <c r="A154" s="974">
        <v>153</v>
      </c>
      <c r="B154" s="974" t="s">
        <v>1401</v>
      </c>
      <c r="C154" s="1046" t="s">
        <v>1434</v>
      </c>
      <c r="D154" s="1046" t="s">
        <v>1410</v>
      </c>
      <c r="E154" s="1043" t="s">
        <v>1367</v>
      </c>
    </row>
    <row r="155" spans="1:5" x14ac:dyDescent="0.25">
      <c r="A155" s="974">
        <v>154</v>
      </c>
      <c r="B155" s="974" t="s">
        <v>1401</v>
      </c>
      <c r="C155" s="1046" t="s">
        <v>1434</v>
      </c>
      <c r="D155" s="1046" t="s">
        <v>1410</v>
      </c>
      <c r="E155" s="1043" t="s">
        <v>1297</v>
      </c>
    </row>
    <row r="156" spans="1:5" x14ac:dyDescent="0.25">
      <c r="A156" s="974">
        <v>155</v>
      </c>
      <c r="B156" s="974" t="s">
        <v>1401</v>
      </c>
      <c r="C156" s="1046" t="s">
        <v>1434</v>
      </c>
      <c r="D156" s="1046" t="s">
        <v>1410</v>
      </c>
      <c r="E156" s="1043" t="s">
        <v>767</v>
      </c>
    </row>
    <row r="157" spans="1:5" x14ac:dyDescent="0.25">
      <c r="A157" s="974">
        <v>156</v>
      </c>
      <c r="B157" s="974" t="s">
        <v>1401</v>
      </c>
      <c r="C157" s="1046" t="s">
        <v>1434</v>
      </c>
      <c r="D157" s="1046" t="s">
        <v>1410</v>
      </c>
      <c r="E157" s="1043" t="s">
        <v>768</v>
      </c>
    </row>
    <row r="158" spans="1:5" x14ac:dyDescent="0.25">
      <c r="A158" s="974">
        <v>157</v>
      </c>
      <c r="B158" s="974" t="s">
        <v>1401</v>
      </c>
      <c r="C158" s="1046" t="s">
        <v>1434</v>
      </c>
      <c r="D158" s="1046" t="s">
        <v>1410</v>
      </c>
      <c r="E158" s="1043" t="s">
        <v>769</v>
      </c>
    </row>
    <row r="159" spans="1:5" x14ac:dyDescent="0.25">
      <c r="A159" s="974">
        <v>158</v>
      </c>
      <c r="B159" s="974" t="s">
        <v>1401</v>
      </c>
      <c r="C159" s="1046" t="s">
        <v>1434</v>
      </c>
      <c r="D159" s="1046" t="s">
        <v>1410</v>
      </c>
      <c r="E159" s="1043" t="s">
        <v>204</v>
      </c>
    </row>
    <row r="160" spans="1:5" x14ac:dyDescent="0.25">
      <c r="A160" s="974">
        <v>159</v>
      </c>
      <c r="B160" s="974" t="s">
        <v>1401</v>
      </c>
      <c r="C160" s="1046" t="s">
        <v>1435</v>
      </c>
      <c r="D160" s="1046" t="s">
        <v>1410</v>
      </c>
      <c r="E160" s="1043" t="s">
        <v>1178</v>
      </c>
    </row>
    <row r="161" spans="1:5" x14ac:dyDescent="0.25">
      <c r="A161" s="974">
        <v>160</v>
      </c>
      <c r="B161" s="974" t="s">
        <v>870</v>
      </c>
      <c r="C161" s="1046" t="s">
        <v>1435</v>
      </c>
      <c r="D161" s="1046" t="s">
        <v>1410</v>
      </c>
      <c r="E161" s="1043" t="s">
        <v>1182</v>
      </c>
    </row>
    <row r="162" spans="1:5" x14ac:dyDescent="0.25">
      <c r="A162" s="974">
        <v>161</v>
      </c>
      <c r="B162" s="974" t="s">
        <v>1401</v>
      </c>
      <c r="C162" s="1046" t="s">
        <v>1435</v>
      </c>
      <c r="D162" s="1046" t="s">
        <v>1410</v>
      </c>
      <c r="E162" s="1043" t="s">
        <v>766</v>
      </c>
    </row>
    <row r="163" spans="1:5" x14ac:dyDescent="0.25">
      <c r="A163" s="974">
        <v>162</v>
      </c>
      <c r="B163" s="974" t="s">
        <v>870</v>
      </c>
      <c r="C163" s="1046" t="s">
        <v>1435</v>
      </c>
      <c r="D163" s="1046" t="s">
        <v>1410</v>
      </c>
      <c r="E163" s="1045" t="s">
        <v>1262</v>
      </c>
    </row>
    <row r="164" spans="1:5" ht="30" x14ac:dyDescent="0.25">
      <c r="A164" s="974">
        <v>163</v>
      </c>
      <c r="B164" s="974" t="s">
        <v>870</v>
      </c>
      <c r="C164" s="1046" t="s">
        <v>1435</v>
      </c>
      <c r="D164" s="1046" t="s">
        <v>1410</v>
      </c>
      <c r="E164" s="1045" t="s">
        <v>1263</v>
      </c>
    </row>
    <row r="165" spans="1:5" x14ac:dyDescent="0.25">
      <c r="A165" s="974">
        <v>164</v>
      </c>
      <c r="B165" s="974" t="s">
        <v>870</v>
      </c>
      <c r="C165" s="1046" t="s">
        <v>1435</v>
      </c>
      <c r="D165" s="1046" t="s">
        <v>1410</v>
      </c>
      <c r="E165" s="1045" t="s">
        <v>1185</v>
      </c>
    </row>
    <row r="166" spans="1:5" x14ac:dyDescent="0.25">
      <c r="A166" s="974">
        <v>165</v>
      </c>
      <c r="B166" s="974" t="s">
        <v>870</v>
      </c>
      <c r="C166" s="1046" t="s">
        <v>1435</v>
      </c>
      <c r="D166" s="1046" t="s">
        <v>1410</v>
      </c>
      <c r="E166" s="1045" t="s">
        <v>1186</v>
      </c>
    </row>
    <row r="167" spans="1:5" x14ac:dyDescent="0.25">
      <c r="A167" s="974">
        <v>166</v>
      </c>
      <c r="B167" s="974" t="s">
        <v>870</v>
      </c>
      <c r="C167" s="1046" t="s">
        <v>1435</v>
      </c>
      <c r="D167" s="1046" t="s">
        <v>1410</v>
      </c>
      <c r="E167" s="1045" t="s">
        <v>1187</v>
      </c>
    </row>
    <row r="168" spans="1:5" x14ac:dyDescent="0.25">
      <c r="A168" s="974">
        <v>167</v>
      </c>
      <c r="B168" s="974" t="s">
        <v>870</v>
      </c>
      <c r="C168" s="1046" t="s">
        <v>1435</v>
      </c>
      <c r="D168" s="1046" t="s">
        <v>1410</v>
      </c>
      <c r="E168" s="1045" t="s">
        <v>1188</v>
      </c>
    </row>
    <row r="169" spans="1:5" x14ac:dyDescent="0.25">
      <c r="A169" s="974">
        <v>168</v>
      </c>
      <c r="B169" s="974" t="s">
        <v>870</v>
      </c>
      <c r="C169" s="1046" t="s">
        <v>1435</v>
      </c>
      <c r="D169" s="1046" t="s">
        <v>1410</v>
      </c>
      <c r="E169" s="1045" t="s">
        <v>1189</v>
      </c>
    </row>
    <row r="170" spans="1:5" x14ac:dyDescent="0.25">
      <c r="A170" s="974">
        <v>169</v>
      </c>
      <c r="B170" s="974" t="s">
        <v>870</v>
      </c>
      <c r="C170" s="1046" t="s">
        <v>1435</v>
      </c>
      <c r="D170" s="1046" t="s">
        <v>1410</v>
      </c>
      <c r="E170" s="1045" t="s">
        <v>1428</v>
      </c>
    </row>
    <row r="171" spans="1:5" x14ac:dyDescent="0.25">
      <c r="A171" s="974">
        <v>170</v>
      </c>
      <c r="B171" s="974" t="s">
        <v>870</v>
      </c>
      <c r="C171" s="1046" t="s">
        <v>1435</v>
      </c>
      <c r="D171" s="1046" t="s">
        <v>1410</v>
      </c>
      <c r="E171" s="1045" t="s">
        <v>1631</v>
      </c>
    </row>
    <row r="172" spans="1:5" x14ac:dyDescent="0.25">
      <c r="A172" s="974">
        <v>171</v>
      </c>
      <c r="B172" s="974" t="s">
        <v>1401</v>
      </c>
      <c r="C172" s="1046" t="s">
        <v>1435</v>
      </c>
      <c r="D172" s="1046" t="s">
        <v>1429</v>
      </c>
      <c r="E172" s="1043" t="s">
        <v>765</v>
      </c>
    </row>
    <row r="173" spans="1:5" x14ac:dyDescent="0.25">
      <c r="A173" s="974">
        <v>172</v>
      </c>
      <c r="B173" s="974" t="s">
        <v>1401</v>
      </c>
      <c r="C173" s="1046" t="s">
        <v>1435</v>
      </c>
      <c r="D173" s="1046" t="s">
        <v>1429</v>
      </c>
      <c r="E173" s="1043" t="s">
        <v>1179</v>
      </c>
    </row>
    <row r="174" spans="1:5" x14ac:dyDescent="0.25">
      <c r="A174" s="974">
        <v>173</v>
      </c>
      <c r="B174" s="974" t="s">
        <v>1401</v>
      </c>
      <c r="C174" s="1046" t="s">
        <v>1435</v>
      </c>
      <c r="D174" s="1046" t="s">
        <v>1410</v>
      </c>
      <c r="E174" s="1043" t="s">
        <v>1180</v>
      </c>
    </row>
    <row r="175" spans="1:5" x14ac:dyDescent="0.25">
      <c r="A175" s="974">
        <v>174</v>
      </c>
      <c r="B175" s="974" t="s">
        <v>1401</v>
      </c>
      <c r="C175" s="1046" t="s">
        <v>1435</v>
      </c>
      <c r="D175" s="1046" t="s">
        <v>1410</v>
      </c>
      <c r="E175" s="1043" t="s">
        <v>1367</v>
      </c>
    </row>
    <row r="176" spans="1:5" x14ac:dyDescent="0.25">
      <c r="A176" s="974">
        <v>175</v>
      </c>
      <c r="B176" s="974" t="s">
        <v>1401</v>
      </c>
      <c r="C176" s="1046" t="s">
        <v>1435</v>
      </c>
      <c r="D176" s="1046" t="s">
        <v>1410</v>
      </c>
      <c r="E176" s="1043" t="s">
        <v>1297</v>
      </c>
    </row>
    <row r="177" spans="1:5" x14ac:dyDescent="0.25">
      <c r="A177" s="974">
        <v>176</v>
      </c>
      <c r="B177" s="974" t="s">
        <v>1401</v>
      </c>
      <c r="C177" s="1046" t="s">
        <v>1435</v>
      </c>
      <c r="D177" s="1046" t="s">
        <v>1410</v>
      </c>
      <c r="E177" s="1043" t="s">
        <v>767</v>
      </c>
    </row>
    <row r="178" spans="1:5" x14ac:dyDescent="0.25">
      <c r="A178" s="974">
        <v>177</v>
      </c>
      <c r="B178" s="974" t="s">
        <v>1401</v>
      </c>
      <c r="C178" s="1046" t="s">
        <v>1435</v>
      </c>
      <c r="D178" s="1046" t="s">
        <v>1410</v>
      </c>
      <c r="E178" s="1043" t="s">
        <v>768</v>
      </c>
    </row>
    <row r="179" spans="1:5" x14ac:dyDescent="0.25">
      <c r="A179" s="974">
        <v>178</v>
      </c>
      <c r="B179" s="974" t="s">
        <v>1401</v>
      </c>
      <c r="C179" s="1046" t="s">
        <v>1435</v>
      </c>
      <c r="D179" s="1046" t="s">
        <v>1410</v>
      </c>
      <c r="E179" s="1043" t="s">
        <v>769</v>
      </c>
    </row>
    <row r="180" spans="1:5" x14ac:dyDescent="0.25">
      <c r="A180" s="974">
        <v>179</v>
      </c>
      <c r="B180" s="974" t="s">
        <v>1401</v>
      </c>
      <c r="C180" s="1046" t="s">
        <v>1435</v>
      </c>
      <c r="D180" s="1046" t="s">
        <v>1410</v>
      </c>
      <c r="E180" s="1043" t="s">
        <v>204</v>
      </c>
    </row>
    <row r="181" spans="1:5" x14ac:dyDescent="0.25">
      <c r="A181" s="974">
        <v>180</v>
      </c>
      <c r="B181" s="974" t="s">
        <v>1401</v>
      </c>
      <c r="C181" s="1046" t="s">
        <v>1436</v>
      </c>
      <c r="D181" s="1046" t="s">
        <v>1410</v>
      </c>
      <c r="E181" s="1043" t="s">
        <v>1178</v>
      </c>
    </row>
    <row r="182" spans="1:5" x14ac:dyDescent="0.25">
      <c r="A182" s="974">
        <v>181</v>
      </c>
      <c r="B182" s="974" t="s">
        <v>870</v>
      </c>
      <c r="C182" s="1046" t="s">
        <v>1436</v>
      </c>
      <c r="D182" s="1046" t="s">
        <v>1410</v>
      </c>
      <c r="E182" s="1043" t="s">
        <v>1182</v>
      </c>
    </row>
    <row r="183" spans="1:5" x14ac:dyDescent="0.25">
      <c r="A183" s="974">
        <v>182</v>
      </c>
      <c r="B183" s="974" t="s">
        <v>1401</v>
      </c>
      <c r="C183" s="1046" t="s">
        <v>1436</v>
      </c>
      <c r="D183" s="1046" t="s">
        <v>1410</v>
      </c>
      <c r="E183" s="1043" t="s">
        <v>766</v>
      </c>
    </row>
    <row r="184" spans="1:5" x14ac:dyDescent="0.25">
      <c r="A184" s="974">
        <v>183</v>
      </c>
      <c r="B184" s="974" t="s">
        <v>870</v>
      </c>
      <c r="C184" s="1046" t="s">
        <v>1436</v>
      </c>
      <c r="D184" s="1046" t="s">
        <v>1410</v>
      </c>
      <c r="E184" s="1045" t="s">
        <v>1262</v>
      </c>
    </row>
    <row r="185" spans="1:5" ht="30" x14ac:dyDescent="0.25">
      <c r="A185" s="974">
        <v>184</v>
      </c>
      <c r="B185" s="974" t="s">
        <v>870</v>
      </c>
      <c r="C185" s="1046" t="s">
        <v>1436</v>
      </c>
      <c r="D185" s="1046" t="s">
        <v>1410</v>
      </c>
      <c r="E185" s="1045" t="s">
        <v>1263</v>
      </c>
    </row>
    <row r="186" spans="1:5" x14ac:dyDescent="0.25">
      <c r="A186" s="974">
        <v>185</v>
      </c>
      <c r="B186" s="974" t="s">
        <v>870</v>
      </c>
      <c r="C186" s="1046" t="s">
        <v>1436</v>
      </c>
      <c r="D186" s="1046" t="s">
        <v>1410</v>
      </c>
      <c r="E186" s="1045" t="s">
        <v>1185</v>
      </c>
    </row>
    <row r="187" spans="1:5" x14ac:dyDescent="0.25">
      <c r="A187" s="974">
        <v>186</v>
      </c>
      <c r="B187" s="974" t="s">
        <v>870</v>
      </c>
      <c r="C187" s="1046" t="s">
        <v>1436</v>
      </c>
      <c r="D187" s="1046" t="s">
        <v>1410</v>
      </c>
      <c r="E187" s="1045" t="s">
        <v>1186</v>
      </c>
    </row>
    <row r="188" spans="1:5" x14ac:dyDescent="0.25">
      <c r="A188" s="974">
        <v>187</v>
      </c>
      <c r="B188" s="974" t="s">
        <v>870</v>
      </c>
      <c r="C188" s="1046" t="s">
        <v>1436</v>
      </c>
      <c r="D188" s="1046" t="s">
        <v>1410</v>
      </c>
      <c r="E188" s="1045" t="s">
        <v>1187</v>
      </c>
    </row>
    <row r="189" spans="1:5" x14ac:dyDescent="0.25">
      <c r="A189" s="974">
        <v>188</v>
      </c>
      <c r="B189" s="974" t="s">
        <v>870</v>
      </c>
      <c r="C189" s="1046" t="s">
        <v>1436</v>
      </c>
      <c r="D189" s="1046" t="s">
        <v>1410</v>
      </c>
      <c r="E189" s="1045" t="s">
        <v>1188</v>
      </c>
    </row>
    <row r="190" spans="1:5" x14ac:dyDescent="0.25">
      <c r="A190" s="974">
        <v>189</v>
      </c>
      <c r="B190" s="974" t="s">
        <v>870</v>
      </c>
      <c r="C190" s="1046" t="s">
        <v>1436</v>
      </c>
      <c r="D190" s="1046" t="s">
        <v>1410</v>
      </c>
      <c r="E190" s="1045" t="s">
        <v>1189</v>
      </c>
    </row>
    <row r="191" spans="1:5" x14ac:dyDescent="0.25">
      <c r="A191" s="974">
        <v>190</v>
      </c>
      <c r="B191" s="974" t="s">
        <v>870</v>
      </c>
      <c r="C191" s="1046" t="s">
        <v>1436</v>
      </c>
      <c r="D191" s="1046" t="s">
        <v>1410</v>
      </c>
      <c r="E191" s="1045" t="s">
        <v>1428</v>
      </c>
    </row>
    <row r="192" spans="1:5" x14ac:dyDescent="0.25">
      <c r="A192" s="974">
        <v>191</v>
      </c>
      <c r="B192" s="974" t="s">
        <v>870</v>
      </c>
      <c r="C192" s="1046" t="s">
        <v>1436</v>
      </c>
      <c r="D192" s="1046" t="s">
        <v>1410</v>
      </c>
      <c r="E192" s="1045" t="s">
        <v>1631</v>
      </c>
    </row>
    <row r="193" spans="1:5" x14ac:dyDescent="0.25">
      <c r="A193" s="974">
        <v>192</v>
      </c>
      <c r="B193" s="974" t="s">
        <v>1401</v>
      </c>
      <c r="C193" s="1046" t="s">
        <v>1436</v>
      </c>
      <c r="D193" s="1046" t="s">
        <v>1429</v>
      </c>
      <c r="E193" s="1043" t="s">
        <v>765</v>
      </c>
    </row>
    <row r="194" spans="1:5" x14ac:dyDescent="0.25">
      <c r="A194" s="974">
        <v>193</v>
      </c>
      <c r="B194" s="974" t="s">
        <v>1401</v>
      </c>
      <c r="C194" s="1046" t="s">
        <v>1436</v>
      </c>
      <c r="D194" s="1046" t="s">
        <v>1429</v>
      </c>
      <c r="E194" s="1043" t="s">
        <v>1179</v>
      </c>
    </row>
    <row r="195" spans="1:5" x14ac:dyDescent="0.25">
      <c r="A195" s="974">
        <v>194</v>
      </c>
      <c r="B195" s="974" t="s">
        <v>1401</v>
      </c>
      <c r="C195" s="1046" t="s">
        <v>1436</v>
      </c>
      <c r="D195" s="1046" t="s">
        <v>1410</v>
      </c>
      <c r="E195" s="1043" t="s">
        <v>1180</v>
      </c>
    </row>
    <row r="196" spans="1:5" x14ac:dyDescent="0.25">
      <c r="A196" s="974">
        <v>195</v>
      </c>
      <c r="B196" s="974" t="s">
        <v>1401</v>
      </c>
      <c r="C196" s="1046" t="s">
        <v>1436</v>
      </c>
      <c r="D196" s="1046" t="s">
        <v>1410</v>
      </c>
      <c r="E196" s="1043" t="s">
        <v>1367</v>
      </c>
    </row>
    <row r="197" spans="1:5" x14ac:dyDescent="0.25">
      <c r="A197" s="974">
        <v>196</v>
      </c>
      <c r="B197" s="974" t="s">
        <v>1401</v>
      </c>
      <c r="C197" s="1046" t="s">
        <v>1436</v>
      </c>
      <c r="D197" s="1046" t="s">
        <v>1410</v>
      </c>
      <c r="E197" s="1043" t="s">
        <v>1297</v>
      </c>
    </row>
    <row r="198" spans="1:5" x14ac:dyDescent="0.25">
      <c r="A198" s="974">
        <v>197</v>
      </c>
      <c r="B198" s="974" t="s">
        <v>1401</v>
      </c>
      <c r="C198" s="1046" t="s">
        <v>1436</v>
      </c>
      <c r="D198" s="1046" t="s">
        <v>1410</v>
      </c>
      <c r="E198" s="1043" t="s">
        <v>767</v>
      </c>
    </row>
    <row r="199" spans="1:5" x14ac:dyDescent="0.25">
      <c r="A199" s="974">
        <v>198</v>
      </c>
      <c r="B199" s="974" t="s">
        <v>1401</v>
      </c>
      <c r="C199" s="1046" t="s">
        <v>1436</v>
      </c>
      <c r="D199" s="1046" t="s">
        <v>1410</v>
      </c>
      <c r="E199" s="1043" t="s">
        <v>768</v>
      </c>
    </row>
    <row r="200" spans="1:5" x14ac:dyDescent="0.25">
      <c r="A200" s="974">
        <v>199</v>
      </c>
      <c r="B200" s="974" t="s">
        <v>1401</v>
      </c>
      <c r="C200" s="1046" t="s">
        <v>1436</v>
      </c>
      <c r="D200" s="1046" t="s">
        <v>1410</v>
      </c>
      <c r="E200" s="1043" t="s">
        <v>769</v>
      </c>
    </row>
    <row r="201" spans="1:5" x14ac:dyDescent="0.25">
      <c r="A201" s="974">
        <v>200</v>
      </c>
      <c r="B201" s="974" t="s">
        <v>1401</v>
      </c>
      <c r="C201" s="1046" t="s">
        <v>1436</v>
      </c>
      <c r="D201" s="1046" t="s">
        <v>1410</v>
      </c>
      <c r="E201" s="1043" t="s">
        <v>204</v>
      </c>
    </row>
    <row r="202" spans="1:5" x14ac:dyDescent="0.25">
      <c r="A202" s="974">
        <v>201</v>
      </c>
      <c r="B202" s="974" t="s">
        <v>1401</v>
      </c>
      <c r="C202" s="1046" t="s">
        <v>1437</v>
      </c>
      <c r="D202" s="1046" t="s">
        <v>1410</v>
      </c>
      <c r="E202" s="1043" t="s">
        <v>1178</v>
      </c>
    </row>
    <row r="203" spans="1:5" x14ac:dyDescent="0.25">
      <c r="A203" s="974">
        <v>202</v>
      </c>
      <c r="B203" s="974" t="s">
        <v>870</v>
      </c>
      <c r="C203" s="1046" t="s">
        <v>1437</v>
      </c>
      <c r="D203" s="1046" t="s">
        <v>1410</v>
      </c>
      <c r="E203" s="1043" t="s">
        <v>1182</v>
      </c>
    </row>
    <row r="204" spans="1:5" x14ac:dyDescent="0.25">
      <c r="A204" s="974">
        <v>203</v>
      </c>
      <c r="B204" s="974" t="s">
        <v>1401</v>
      </c>
      <c r="C204" s="1046" t="s">
        <v>1437</v>
      </c>
      <c r="D204" s="1046" t="s">
        <v>1410</v>
      </c>
      <c r="E204" s="1043" t="s">
        <v>766</v>
      </c>
    </row>
    <row r="205" spans="1:5" x14ac:dyDescent="0.25">
      <c r="A205" s="974">
        <v>204</v>
      </c>
      <c r="B205" s="974" t="s">
        <v>870</v>
      </c>
      <c r="C205" s="1046" t="s">
        <v>1437</v>
      </c>
      <c r="D205" s="1046" t="s">
        <v>1410</v>
      </c>
      <c r="E205" s="1045" t="s">
        <v>1262</v>
      </c>
    </row>
    <row r="206" spans="1:5" ht="30" x14ac:dyDescent="0.25">
      <c r="A206" s="974">
        <v>205</v>
      </c>
      <c r="B206" s="974" t="s">
        <v>870</v>
      </c>
      <c r="C206" s="1046" t="s">
        <v>1437</v>
      </c>
      <c r="D206" s="1046" t="s">
        <v>1410</v>
      </c>
      <c r="E206" s="1045" t="s">
        <v>1263</v>
      </c>
    </row>
    <row r="207" spans="1:5" x14ac:dyDescent="0.25">
      <c r="A207" s="974">
        <v>206</v>
      </c>
      <c r="B207" s="974" t="s">
        <v>870</v>
      </c>
      <c r="C207" s="1046" t="s">
        <v>1437</v>
      </c>
      <c r="D207" s="1046" t="s">
        <v>1410</v>
      </c>
      <c r="E207" s="1045" t="s">
        <v>1185</v>
      </c>
    </row>
    <row r="208" spans="1:5" x14ac:dyDescent="0.25">
      <c r="A208" s="974">
        <v>207</v>
      </c>
      <c r="B208" s="974" t="s">
        <v>870</v>
      </c>
      <c r="C208" s="1046" t="s">
        <v>1437</v>
      </c>
      <c r="D208" s="1046" t="s">
        <v>1410</v>
      </c>
      <c r="E208" s="1045" t="s">
        <v>1186</v>
      </c>
    </row>
    <row r="209" spans="1:5" x14ac:dyDescent="0.25">
      <c r="A209" s="974">
        <v>208</v>
      </c>
      <c r="B209" s="974" t="s">
        <v>870</v>
      </c>
      <c r="C209" s="1046" t="s">
        <v>1437</v>
      </c>
      <c r="D209" s="1046" t="s">
        <v>1410</v>
      </c>
      <c r="E209" s="1045" t="s">
        <v>1187</v>
      </c>
    </row>
    <row r="210" spans="1:5" x14ac:dyDescent="0.25">
      <c r="A210" s="974">
        <v>209</v>
      </c>
      <c r="B210" s="974" t="s">
        <v>870</v>
      </c>
      <c r="C210" s="1046" t="s">
        <v>1437</v>
      </c>
      <c r="D210" s="1046" t="s">
        <v>1410</v>
      </c>
      <c r="E210" s="1045" t="s">
        <v>1188</v>
      </c>
    </row>
    <row r="211" spans="1:5" x14ac:dyDescent="0.25">
      <c r="A211" s="974">
        <v>210</v>
      </c>
      <c r="B211" s="974" t="s">
        <v>870</v>
      </c>
      <c r="C211" s="1046" t="s">
        <v>1437</v>
      </c>
      <c r="D211" s="1046" t="s">
        <v>1410</v>
      </c>
      <c r="E211" s="1045" t="s">
        <v>1189</v>
      </c>
    </row>
    <row r="212" spans="1:5" x14ac:dyDescent="0.25">
      <c r="A212" s="974">
        <v>211</v>
      </c>
      <c r="B212" s="974" t="s">
        <v>870</v>
      </c>
      <c r="C212" s="1046" t="s">
        <v>1437</v>
      </c>
      <c r="D212" s="1046" t="s">
        <v>1410</v>
      </c>
      <c r="E212" s="1045" t="s">
        <v>1428</v>
      </c>
    </row>
    <row r="213" spans="1:5" x14ac:dyDescent="0.25">
      <c r="A213" s="974">
        <v>212</v>
      </c>
      <c r="B213" s="974" t="s">
        <v>870</v>
      </c>
      <c r="C213" s="1046" t="s">
        <v>1437</v>
      </c>
      <c r="D213" s="1046" t="s">
        <v>1410</v>
      </c>
      <c r="E213" s="1045" t="s">
        <v>1631</v>
      </c>
    </row>
    <row r="214" spans="1:5" x14ac:dyDescent="0.25">
      <c r="A214" s="974">
        <v>213</v>
      </c>
      <c r="B214" s="974" t="s">
        <v>1401</v>
      </c>
      <c r="C214" s="1046" t="s">
        <v>1437</v>
      </c>
      <c r="D214" s="1046" t="s">
        <v>1429</v>
      </c>
      <c r="E214" s="1043" t="s">
        <v>765</v>
      </c>
    </row>
    <row r="215" spans="1:5" x14ac:dyDescent="0.25">
      <c r="A215" s="974">
        <v>214</v>
      </c>
      <c r="B215" s="974" t="s">
        <v>1401</v>
      </c>
      <c r="C215" s="1046" t="s">
        <v>1437</v>
      </c>
      <c r="D215" s="1046" t="s">
        <v>1429</v>
      </c>
      <c r="E215" s="1043" t="s">
        <v>1179</v>
      </c>
    </row>
    <row r="216" spans="1:5" x14ac:dyDescent="0.25">
      <c r="A216" s="974">
        <v>215</v>
      </c>
      <c r="B216" s="974" t="s">
        <v>1401</v>
      </c>
      <c r="C216" s="1046" t="s">
        <v>1437</v>
      </c>
      <c r="D216" s="1046" t="s">
        <v>1410</v>
      </c>
      <c r="E216" s="1043" t="s">
        <v>1180</v>
      </c>
    </row>
    <row r="217" spans="1:5" x14ac:dyDescent="0.25">
      <c r="A217" s="974">
        <v>216</v>
      </c>
      <c r="B217" s="974" t="s">
        <v>1401</v>
      </c>
      <c r="C217" s="1046" t="s">
        <v>1437</v>
      </c>
      <c r="D217" s="1046" t="s">
        <v>1410</v>
      </c>
      <c r="E217" s="1043" t="s">
        <v>1367</v>
      </c>
    </row>
    <row r="218" spans="1:5" x14ac:dyDescent="0.25">
      <c r="A218" s="974">
        <v>217</v>
      </c>
      <c r="B218" s="974" t="s">
        <v>1401</v>
      </c>
      <c r="C218" s="1046" t="s">
        <v>1437</v>
      </c>
      <c r="D218" s="1046" t="s">
        <v>1410</v>
      </c>
      <c r="E218" s="1043" t="s">
        <v>1297</v>
      </c>
    </row>
    <row r="219" spans="1:5" x14ac:dyDescent="0.25">
      <c r="A219" s="974">
        <v>218</v>
      </c>
      <c r="B219" s="974" t="s">
        <v>1401</v>
      </c>
      <c r="C219" s="1046" t="s">
        <v>1437</v>
      </c>
      <c r="D219" s="1046" t="s">
        <v>1410</v>
      </c>
      <c r="E219" s="1043" t="s">
        <v>767</v>
      </c>
    </row>
    <row r="220" spans="1:5" x14ac:dyDescent="0.25">
      <c r="A220" s="974">
        <v>219</v>
      </c>
      <c r="B220" s="974" t="s">
        <v>1401</v>
      </c>
      <c r="C220" s="1046" t="s">
        <v>1437</v>
      </c>
      <c r="D220" s="1046" t="s">
        <v>1410</v>
      </c>
      <c r="E220" s="1043" t="s">
        <v>768</v>
      </c>
    </row>
    <row r="221" spans="1:5" x14ac:dyDescent="0.25">
      <c r="A221" s="974">
        <v>220</v>
      </c>
      <c r="B221" s="974" t="s">
        <v>1401</v>
      </c>
      <c r="C221" s="1046" t="s">
        <v>1437</v>
      </c>
      <c r="D221" s="1046" t="s">
        <v>1410</v>
      </c>
      <c r="E221" s="1043" t="s">
        <v>769</v>
      </c>
    </row>
    <row r="222" spans="1:5" x14ac:dyDescent="0.25">
      <c r="A222" s="974">
        <v>221</v>
      </c>
      <c r="B222" s="974" t="s">
        <v>1401</v>
      </c>
      <c r="C222" s="1046" t="s">
        <v>1437</v>
      </c>
      <c r="D222" s="1046" t="s">
        <v>1410</v>
      </c>
      <c r="E222" s="1043" t="s">
        <v>204</v>
      </c>
    </row>
    <row r="223" spans="1:5" x14ac:dyDescent="0.25">
      <c r="A223" s="974">
        <v>222</v>
      </c>
      <c r="B223" s="974" t="s">
        <v>1401</v>
      </c>
      <c r="C223" s="1046" t="s">
        <v>1438</v>
      </c>
      <c r="D223" s="1046" t="s">
        <v>1410</v>
      </c>
      <c r="E223" s="1043" t="s">
        <v>1178</v>
      </c>
    </row>
    <row r="224" spans="1:5" x14ac:dyDescent="0.25">
      <c r="A224" s="974">
        <v>223</v>
      </c>
      <c r="B224" s="974" t="s">
        <v>870</v>
      </c>
      <c r="C224" s="1046" t="s">
        <v>1438</v>
      </c>
      <c r="D224" s="1046" t="s">
        <v>1410</v>
      </c>
      <c r="E224" s="1043" t="s">
        <v>1182</v>
      </c>
    </row>
    <row r="225" spans="1:5" x14ac:dyDescent="0.25">
      <c r="A225" s="974">
        <v>224</v>
      </c>
      <c r="B225" s="974" t="s">
        <v>1401</v>
      </c>
      <c r="C225" s="1046" t="s">
        <v>1438</v>
      </c>
      <c r="D225" s="1046" t="s">
        <v>1410</v>
      </c>
      <c r="E225" s="1043" t="s">
        <v>766</v>
      </c>
    </row>
    <row r="226" spans="1:5" x14ac:dyDescent="0.25">
      <c r="A226" s="974">
        <v>225</v>
      </c>
      <c r="B226" s="974" t="s">
        <v>870</v>
      </c>
      <c r="C226" s="1046" t="s">
        <v>1438</v>
      </c>
      <c r="D226" s="1046" t="s">
        <v>1410</v>
      </c>
      <c r="E226" s="1045" t="s">
        <v>1262</v>
      </c>
    </row>
    <row r="227" spans="1:5" ht="30" x14ac:dyDescent="0.25">
      <c r="A227" s="974">
        <v>226</v>
      </c>
      <c r="B227" s="974" t="s">
        <v>870</v>
      </c>
      <c r="C227" s="1046" t="s">
        <v>1438</v>
      </c>
      <c r="D227" s="1046" t="s">
        <v>1410</v>
      </c>
      <c r="E227" s="1045" t="s">
        <v>1263</v>
      </c>
    </row>
    <row r="228" spans="1:5" x14ac:dyDescent="0.25">
      <c r="A228" s="974">
        <v>227</v>
      </c>
      <c r="B228" s="974" t="s">
        <v>870</v>
      </c>
      <c r="C228" s="1046" t="s">
        <v>1438</v>
      </c>
      <c r="D228" s="1046" t="s">
        <v>1410</v>
      </c>
      <c r="E228" s="1045" t="s">
        <v>1185</v>
      </c>
    </row>
    <row r="229" spans="1:5" x14ac:dyDescent="0.25">
      <c r="A229" s="974">
        <v>228</v>
      </c>
      <c r="B229" s="974" t="s">
        <v>870</v>
      </c>
      <c r="C229" s="1046" t="s">
        <v>1438</v>
      </c>
      <c r="D229" s="1046" t="s">
        <v>1410</v>
      </c>
      <c r="E229" s="1045" t="s">
        <v>1186</v>
      </c>
    </row>
    <row r="230" spans="1:5" x14ac:dyDescent="0.25">
      <c r="A230" s="974">
        <v>229</v>
      </c>
      <c r="B230" s="974" t="s">
        <v>870</v>
      </c>
      <c r="C230" s="1046" t="s">
        <v>1438</v>
      </c>
      <c r="D230" s="1046" t="s">
        <v>1410</v>
      </c>
      <c r="E230" s="1045" t="s">
        <v>1187</v>
      </c>
    </row>
    <row r="231" spans="1:5" x14ac:dyDescent="0.25">
      <c r="A231" s="974">
        <v>230</v>
      </c>
      <c r="B231" s="974" t="s">
        <v>870</v>
      </c>
      <c r="C231" s="1046" t="s">
        <v>1438</v>
      </c>
      <c r="D231" s="1046" t="s">
        <v>1410</v>
      </c>
      <c r="E231" s="1045" t="s">
        <v>1188</v>
      </c>
    </row>
    <row r="232" spans="1:5" x14ac:dyDescent="0.25">
      <c r="A232" s="974">
        <v>231</v>
      </c>
      <c r="B232" s="974" t="s">
        <v>870</v>
      </c>
      <c r="C232" s="1046" t="s">
        <v>1438</v>
      </c>
      <c r="D232" s="1046" t="s">
        <v>1410</v>
      </c>
      <c r="E232" s="1045" t="s">
        <v>1189</v>
      </c>
    </row>
    <row r="233" spans="1:5" x14ac:dyDescent="0.25">
      <c r="A233" s="974">
        <v>232</v>
      </c>
      <c r="B233" s="974" t="s">
        <v>870</v>
      </c>
      <c r="C233" s="1046" t="s">
        <v>1438</v>
      </c>
      <c r="D233" s="1046" t="s">
        <v>1410</v>
      </c>
      <c r="E233" s="1045" t="s">
        <v>1428</v>
      </c>
    </row>
    <row r="234" spans="1:5" x14ac:dyDescent="0.25">
      <c r="A234" s="974">
        <v>233</v>
      </c>
      <c r="B234" s="974" t="s">
        <v>870</v>
      </c>
      <c r="C234" s="1046" t="s">
        <v>1438</v>
      </c>
      <c r="D234" s="1046" t="s">
        <v>1410</v>
      </c>
      <c r="E234" s="1045" t="s">
        <v>1631</v>
      </c>
    </row>
    <row r="235" spans="1:5" x14ac:dyDescent="0.25">
      <c r="A235" s="974">
        <v>234</v>
      </c>
      <c r="B235" s="974" t="s">
        <v>1401</v>
      </c>
      <c r="C235" s="1046" t="s">
        <v>1438</v>
      </c>
      <c r="D235" s="1046" t="s">
        <v>1429</v>
      </c>
      <c r="E235" s="1043" t="s">
        <v>765</v>
      </c>
    </row>
    <row r="236" spans="1:5" x14ac:dyDescent="0.25">
      <c r="A236" s="974">
        <v>235</v>
      </c>
      <c r="B236" s="974" t="s">
        <v>1401</v>
      </c>
      <c r="C236" s="1046" t="s">
        <v>1438</v>
      </c>
      <c r="D236" s="1046" t="s">
        <v>1429</v>
      </c>
      <c r="E236" s="1043" t="s">
        <v>1179</v>
      </c>
    </row>
    <row r="237" spans="1:5" x14ac:dyDescent="0.25">
      <c r="A237" s="974">
        <v>236</v>
      </c>
      <c r="B237" s="974" t="s">
        <v>1401</v>
      </c>
      <c r="C237" s="1046" t="s">
        <v>1438</v>
      </c>
      <c r="D237" s="1046" t="s">
        <v>1410</v>
      </c>
      <c r="E237" s="1043" t="s">
        <v>1180</v>
      </c>
    </row>
    <row r="238" spans="1:5" x14ac:dyDescent="0.25">
      <c r="A238" s="974">
        <v>237</v>
      </c>
      <c r="B238" s="974" t="s">
        <v>1401</v>
      </c>
      <c r="C238" s="1046" t="s">
        <v>1438</v>
      </c>
      <c r="D238" s="1046" t="s">
        <v>1410</v>
      </c>
      <c r="E238" s="1043" t="s">
        <v>1367</v>
      </c>
    </row>
    <row r="239" spans="1:5" x14ac:dyDescent="0.25">
      <c r="A239" s="974">
        <v>238</v>
      </c>
      <c r="B239" s="974" t="s">
        <v>1401</v>
      </c>
      <c r="C239" s="1046" t="s">
        <v>1438</v>
      </c>
      <c r="D239" s="1046" t="s">
        <v>1410</v>
      </c>
      <c r="E239" s="1043" t="s">
        <v>1297</v>
      </c>
    </row>
    <row r="240" spans="1:5" x14ac:dyDescent="0.25">
      <c r="A240" s="974">
        <v>239</v>
      </c>
      <c r="B240" s="974" t="s">
        <v>1401</v>
      </c>
      <c r="C240" s="1046" t="s">
        <v>1438</v>
      </c>
      <c r="D240" s="1046" t="s">
        <v>1410</v>
      </c>
      <c r="E240" s="1043" t="s">
        <v>767</v>
      </c>
    </row>
    <row r="241" spans="1:5" x14ac:dyDescent="0.25">
      <c r="A241" s="974">
        <v>240</v>
      </c>
      <c r="B241" s="974" t="s">
        <v>1401</v>
      </c>
      <c r="C241" s="1046" t="s">
        <v>1438</v>
      </c>
      <c r="D241" s="1046" t="s">
        <v>1410</v>
      </c>
      <c r="E241" s="1043" t="s">
        <v>768</v>
      </c>
    </row>
    <row r="242" spans="1:5" x14ac:dyDescent="0.25">
      <c r="A242" s="974">
        <v>241</v>
      </c>
      <c r="B242" s="974" t="s">
        <v>1401</v>
      </c>
      <c r="C242" s="1046" t="s">
        <v>1438</v>
      </c>
      <c r="D242" s="1046" t="s">
        <v>1410</v>
      </c>
      <c r="E242" s="1043" t="s">
        <v>769</v>
      </c>
    </row>
    <row r="243" spans="1:5" x14ac:dyDescent="0.25">
      <c r="A243" s="974">
        <v>242</v>
      </c>
      <c r="B243" s="974" t="s">
        <v>1401</v>
      </c>
      <c r="C243" s="1046" t="s">
        <v>1438</v>
      </c>
      <c r="D243" s="1046" t="s">
        <v>1410</v>
      </c>
      <c r="E243" s="1043" t="s">
        <v>204</v>
      </c>
    </row>
    <row r="244" spans="1:5" ht="45" x14ac:dyDescent="0.25">
      <c r="A244" s="974">
        <v>243</v>
      </c>
      <c r="B244" s="974" t="s">
        <v>1279</v>
      </c>
      <c r="C244" s="1046" t="s">
        <v>2136</v>
      </c>
      <c r="D244" s="1046" t="s">
        <v>1439</v>
      </c>
      <c r="E244" s="1043" t="s">
        <v>1440</v>
      </c>
    </row>
    <row r="245" spans="1:5" ht="30" x14ac:dyDescent="0.25">
      <c r="A245" s="974">
        <v>244</v>
      </c>
      <c r="B245" s="974" t="s">
        <v>1279</v>
      </c>
      <c r="C245" s="1046" t="s">
        <v>2136</v>
      </c>
      <c r="D245" s="1046" t="s">
        <v>1441</v>
      </c>
      <c r="E245" s="1043" t="s">
        <v>1377</v>
      </c>
    </row>
    <row r="246" spans="1:5" ht="30" x14ac:dyDescent="0.25">
      <c r="A246" s="974">
        <v>245</v>
      </c>
      <c r="B246" s="974" t="s">
        <v>1279</v>
      </c>
      <c r="C246" s="1046" t="s">
        <v>2136</v>
      </c>
      <c r="D246" s="1046" t="s">
        <v>1442</v>
      </c>
      <c r="E246" s="1043" t="s">
        <v>1267</v>
      </c>
    </row>
    <row r="247" spans="1:5" ht="30" x14ac:dyDescent="0.25">
      <c r="A247" s="974">
        <v>246</v>
      </c>
      <c r="B247" s="974" t="s">
        <v>1279</v>
      </c>
      <c r="C247" s="1046" t="s">
        <v>99</v>
      </c>
      <c r="D247" s="1046" t="s">
        <v>1443</v>
      </c>
      <c r="E247" s="1043" t="s">
        <v>1289</v>
      </c>
    </row>
    <row r="248" spans="1:5" ht="30" x14ac:dyDescent="0.25">
      <c r="A248" s="974">
        <v>247</v>
      </c>
      <c r="B248" s="974" t="s">
        <v>1279</v>
      </c>
      <c r="C248" s="1046" t="s">
        <v>99</v>
      </c>
      <c r="D248" s="1046" t="s">
        <v>1410</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1410</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1410</v>
      </c>
      <c r="E253" s="1045" t="s">
        <v>1284</v>
      </c>
    </row>
    <row r="254" spans="1:5" ht="30" x14ac:dyDescent="0.25">
      <c r="A254" s="974">
        <v>253</v>
      </c>
      <c r="B254" s="974" t="s">
        <v>1279</v>
      </c>
      <c r="C254" s="1046" t="s">
        <v>99</v>
      </c>
      <c r="D254" s="1046" t="s">
        <v>1410</v>
      </c>
      <c r="E254" s="1045" t="s">
        <v>1285</v>
      </c>
    </row>
    <row r="255" spans="1:5" ht="30" x14ac:dyDescent="0.25">
      <c r="A255" s="974">
        <v>254</v>
      </c>
      <c r="B255" s="974" t="s">
        <v>1279</v>
      </c>
      <c r="C255" s="1046" t="s">
        <v>99</v>
      </c>
      <c r="D255" s="1046" t="s">
        <v>1444</v>
      </c>
      <c r="E255" s="1045" t="s">
        <v>1286</v>
      </c>
    </row>
    <row r="256" spans="1:5" ht="30" x14ac:dyDescent="0.25">
      <c r="A256" s="974">
        <v>255</v>
      </c>
      <c r="B256" s="974" t="s">
        <v>1279</v>
      </c>
      <c r="C256" s="1046" t="s">
        <v>99</v>
      </c>
      <c r="D256" s="1046" t="s">
        <v>1410</v>
      </c>
      <c r="E256" s="1045" t="s">
        <v>1287</v>
      </c>
    </row>
    <row r="257" spans="1:5" ht="30" x14ac:dyDescent="0.25">
      <c r="A257" s="974">
        <v>256</v>
      </c>
      <c r="B257" s="974" t="s">
        <v>1279</v>
      </c>
      <c r="C257" s="1046" t="s">
        <v>99</v>
      </c>
      <c r="D257" s="1046" t="s">
        <v>1444</v>
      </c>
      <c r="E257" s="1045" t="s">
        <v>1288</v>
      </c>
    </row>
    <row r="258" spans="1:5" ht="30" x14ac:dyDescent="0.25">
      <c r="A258" s="974">
        <v>257</v>
      </c>
      <c r="B258" s="974" t="s">
        <v>1279</v>
      </c>
      <c r="C258" s="1046" t="s">
        <v>99</v>
      </c>
      <c r="D258" s="1046" t="s">
        <v>1444</v>
      </c>
      <c r="E258" s="1045" t="s">
        <v>1228</v>
      </c>
    </row>
    <row r="259" spans="1:5" x14ac:dyDescent="0.25">
      <c r="A259" s="974">
        <v>258</v>
      </c>
      <c r="B259" s="974" t="s">
        <v>1279</v>
      </c>
      <c r="C259" s="1046" t="s">
        <v>103</v>
      </c>
      <c r="D259" s="1046" t="s">
        <v>1443</v>
      </c>
      <c r="E259" s="1043" t="s">
        <v>1289</v>
      </c>
    </row>
    <row r="260" spans="1:5" x14ac:dyDescent="0.25">
      <c r="A260" s="974">
        <v>259</v>
      </c>
      <c r="B260" s="974" t="s">
        <v>1279</v>
      </c>
      <c r="C260" s="1046" t="s">
        <v>103</v>
      </c>
      <c r="D260" s="1046" t="s">
        <v>1410</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1410</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1410</v>
      </c>
      <c r="E265" s="1045" t="s">
        <v>1284</v>
      </c>
    </row>
    <row r="266" spans="1:5" x14ac:dyDescent="0.25">
      <c r="A266" s="974">
        <v>265</v>
      </c>
      <c r="B266" s="974" t="s">
        <v>1279</v>
      </c>
      <c r="C266" s="1046" t="s">
        <v>103</v>
      </c>
      <c r="D266" s="1046" t="s">
        <v>1410</v>
      </c>
      <c r="E266" s="1045" t="s">
        <v>1285</v>
      </c>
    </row>
    <row r="267" spans="1:5" x14ac:dyDescent="0.25">
      <c r="A267" s="974">
        <v>266</v>
      </c>
      <c r="B267" s="974" t="s">
        <v>1279</v>
      </c>
      <c r="C267" s="1046" t="s">
        <v>103</v>
      </c>
      <c r="D267" s="1046" t="s">
        <v>1444</v>
      </c>
      <c r="E267" s="1045" t="s">
        <v>1286</v>
      </c>
    </row>
    <row r="268" spans="1:5" x14ac:dyDescent="0.25">
      <c r="A268" s="974">
        <v>267</v>
      </c>
      <c r="B268" s="974" t="s">
        <v>1279</v>
      </c>
      <c r="C268" s="1046" t="s">
        <v>103</v>
      </c>
      <c r="D268" s="1046" t="s">
        <v>1444</v>
      </c>
      <c r="E268" s="1045" t="s">
        <v>1287</v>
      </c>
    </row>
    <row r="269" spans="1:5" x14ac:dyDescent="0.25">
      <c r="A269" s="974">
        <v>268</v>
      </c>
      <c r="B269" s="974" t="s">
        <v>1279</v>
      </c>
      <c r="C269" s="1046" t="s">
        <v>103</v>
      </c>
      <c r="D269" s="1046" t="s">
        <v>1444</v>
      </c>
      <c r="E269" s="1045" t="s">
        <v>1288</v>
      </c>
    </row>
    <row r="270" spans="1:5" x14ac:dyDescent="0.25">
      <c r="A270" s="974">
        <v>269</v>
      </c>
      <c r="B270" s="974" t="s">
        <v>1279</v>
      </c>
      <c r="C270" s="1046" t="s">
        <v>103</v>
      </c>
      <c r="D270" s="1046" t="s">
        <v>1444</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1410</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1410</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1410</v>
      </c>
      <c r="E277" s="1045" t="s">
        <v>1284</v>
      </c>
    </row>
    <row r="278" spans="1:5" x14ac:dyDescent="0.25">
      <c r="A278" s="974">
        <v>277</v>
      </c>
      <c r="B278" s="974" t="s">
        <v>1279</v>
      </c>
      <c r="C278" s="1046" t="s">
        <v>1296</v>
      </c>
      <c r="D278" s="1046" t="s">
        <v>1410</v>
      </c>
      <c r="E278" s="1045" t="s">
        <v>1285</v>
      </c>
    </row>
    <row r="279" spans="1:5" x14ac:dyDescent="0.25">
      <c r="A279" s="974">
        <v>278</v>
      </c>
      <c r="B279" s="974" t="s">
        <v>1279</v>
      </c>
      <c r="C279" s="1046" t="s">
        <v>1296</v>
      </c>
      <c r="D279" s="1046" t="s">
        <v>1444</v>
      </c>
      <c r="E279" s="1045" t="s">
        <v>1286</v>
      </c>
    </row>
    <row r="280" spans="1:5" x14ac:dyDescent="0.25">
      <c r="A280" s="974">
        <v>279</v>
      </c>
      <c r="B280" s="974" t="s">
        <v>1279</v>
      </c>
      <c r="C280" s="1046" t="s">
        <v>1296</v>
      </c>
      <c r="D280" s="1046" t="s">
        <v>1410</v>
      </c>
      <c r="E280" s="1045" t="s">
        <v>1287</v>
      </c>
    </row>
    <row r="281" spans="1:5" x14ac:dyDescent="0.25">
      <c r="A281" s="974">
        <v>280</v>
      </c>
      <c r="B281" s="974" t="s">
        <v>1279</v>
      </c>
      <c r="C281" s="1046" t="s">
        <v>1296</v>
      </c>
      <c r="D281" s="1046" t="s">
        <v>1444</v>
      </c>
      <c r="E281" s="1045" t="s">
        <v>1288</v>
      </c>
    </row>
    <row r="282" spans="1:5" x14ac:dyDescent="0.25">
      <c r="A282" s="974">
        <v>281</v>
      </c>
      <c r="B282" s="974" t="s">
        <v>1279</v>
      </c>
      <c r="C282" s="1046" t="s">
        <v>1296</v>
      </c>
      <c r="D282" s="1046" t="s">
        <v>1444</v>
      </c>
      <c r="E282" s="1045" t="s">
        <v>1228</v>
      </c>
    </row>
    <row r="283" spans="1:5" x14ac:dyDescent="0.25">
      <c r="A283" s="974">
        <v>282</v>
      </c>
      <c r="B283" s="974" t="s">
        <v>1279</v>
      </c>
      <c r="C283" s="1046" t="s">
        <v>102</v>
      </c>
      <c r="D283" s="1046" t="s">
        <v>1443</v>
      </c>
      <c r="E283" s="1043" t="s">
        <v>1289</v>
      </c>
    </row>
    <row r="284" spans="1:5" x14ac:dyDescent="0.25">
      <c r="A284" s="974">
        <v>283</v>
      </c>
      <c r="B284" s="974" t="s">
        <v>1279</v>
      </c>
      <c r="C284" s="1046" t="s">
        <v>102</v>
      </c>
      <c r="D284" s="1046" t="s">
        <v>1410</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1410</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1410</v>
      </c>
      <c r="E289" s="1045" t="s">
        <v>1284</v>
      </c>
    </row>
    <row r="290" spans="1:5" x14ac:dyDescent="0.25">
      <c r="A290" s="974">
        <v>289</v>
      </c>
      <c r="B290" s="974" t="s">
        <v>1279</v>
      </c>
      <c r="C290" s="1046" t="s">
        <v>102</v>
      </c>
      <c r="D290" s="1046" t="s">
        <v>1410</v>
      </c>
      <c r="E290" s="1045" t="s">
        <v>1285</v>
      </c>
    </row>
    <row r="291" spans="1:5" x14ac:dyDescent="0.25">
      <c r="A291" s="974">
        <v>290</v>
      </c>
      <c r="B291" s="974" t="s">
        <v>1279</v>
      </c>
      <c r="C291" s="1046" t="s">
        <v>102</v>
      </c>
      <c r="D291" s="1046" t="s">
        <v>1444</v>
      </c>
      <c r="E291" s="1045" t="s">
        <v>1286</v>
      </c>
    </row>
    <row r="292" spans="1:5" x14ac:dyDescent="0.25">
      <c r="A292" s="974">
        <v>291</v>
      </c>
      <c r="B292" s="974" t="s">
        <v>1279</v>
      </c>
      <c r="C292" s="1046" t="s">
        <v>102</v>
      </c>
      <c r="D292" s="1046" t="s">
        <v>1410</v>
      </c>
      <c r="E292" s="1045" t="s">
        <v>1287</v>
      </c>
    </row>
    <row r="293" spans="1:5" x14ac:dyDescent="0.25">
      <c r="A293" s="974">
        <v>292</v>
      </c>
      <c r="B293" s="974" t="s">
        <v>1279</v>
      </c>
      <c r="C293" s="1046" t="s">
        <v>102</v>
      </c>
      <c r="D293" s="1046" t="s">
        <v>1444</v>
      </c>
      <c r="E293" s="1045" t="s">
        <v>1288</v>
      </c>
    </row>
    <row r="294" spans="1:5" x14ac:dyDescent="0.25">
      <c r="A294" s="974">
        <v>293</v>
      </c>
      <c r="B294" s="974" t="s">
        <v>1279</v>
      </c>
      <c r="C294" s="1046" t="s">
        <v>102</v>
      </c>
      <c r="D294" s="1046" t="s">
        <v>1444</v>
      </c>
      <c r="E294" s="1045" t="s">
        <v>1228</v>
      </c>
    </row>
    <row r="295" spans="1:5" x14ac:dyDescent="0.25">
      <c r="A295" s="974">
        <v>294</v>
      </c>
      <c r="B295" s="974" t="s">
        <v>1279</v>
      </c>
      <c r="C295" s="1046" t="s">
        <v>100</v>
      </c>
      <c r="D295" s="1046" t="s">
        <v>1443</v>
      </c>
      <c r="E295" s="1043" t="s">
        <v>1289</v>
      </c>
    </row>
    <row r="296" spans="1:5" x14ac:dyDescent="0.25">
      <c r="A296" s="974">
        <v>295</v>
      </c>
      <c r="B296" s="974" t="s">
        <v>1279</v>
      </c>
      <c r="C296" s="1046" t="s">
        <v>100</v>
      </c>
      <c r="D296" s="1046" t="s">
        <v>1410</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1410</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1410</v>
      </c>
      <c r="E301" s="1045" t="s">
        <v>1284</v>
      </c>
    </row>
    <row r="302" spans="1:5" x14ac:dyDescent="0.25">
      <c r="A302" s="974">
        <v>301</v>
      </c>
      <c r="B302" s="974" t="s">
        <v>1279</v>
      </c>
      <c r="C302" s="1046" t="s">
        <v>100</v>
      </c>
      <c r="D302" s="1046" t="s">
        <v>1410</v>
      </c>
      <c r="E302" s="1045" t="s">
        <v>1285</v>
      </c>
    </row>
    <row r="303" spans="1:5" x14ac:dyDescent="0.25">
      <c r="A303" s="974">
        <v>302</v>
      </c>
      <c r="B303" s="974" t="s">
        <v>1279</v>
      </c>
      <c r="C303" s="1046" t="s">
        <v>100</v>
      </c>
      <c r="D303" s="1046" t="s">
        <v>1444</v>
      </c>
      <c r="E303" s="1045" t="s">
        <v>1286</v>
      </c>
    </row>
    <row r="304" spans="1:5" x14ac:dyDescent="0.25">
      <c r="A304" s="974">
        <v>303</v>
      </c>
      <c r="B304" s="974" t="s">
        <v>1279</v>
      </c>
      <c r="C304" s="1046" t="s">
        <v>100</v>
      </c>
      <c r="D304" s="1046" t="s">
        <v>1410</v>
      </c>
      <c r="E304" s="1045" t="s">
        <v>1287</v>
      </c>
    </row>
    <row r="305" spans="1:5" x14ac:dyDescent="0.25">
      <c r="A305" s="974">
        <v>304</v>
      </c>
      <c r="B305" s="974" t="s">
        <v>1279</v>
      </c>
      <c r="C305" s="1046" t="s">
        <v>100</v>
      </c>
      <c r="D305" s="1046" t="s">
        <v>1444</v>
      </c>
      <c r="E305" s="1045" t="s">
        <v>1288</v>
      </c>
    </row>
    <row r="306" spans="1:5" x14ac:dyDescent="0.25">
      <c r="A306" s="974">
        <v>305</v>
      </c>
      <c r="B306" s="974" t="s">
        <v>1279</v>
      </c>
      <c r="C306" s="1046" t="s">
        <v>100</v>
      </c>
      <c r="D306" s="1046" t="s">
        <v>1444</v>
      </c>
      <c r="E306" s="1045" t="s">
        <v>1228</v>
      </c>
    </row>
    <row r="307" spans="1:5" x14ac:dyDescent="0.25">
      <c r="A307" s="974">
        <v>306</v>
      </c>
      <c r="B307" s="974" t="s">
        <v>1279</v>
      </c>
      <c r="C307" s="1046" t="s">
        <v>104</v>
      </c>
      <c r="D307" s="1046" t="s">
        <v>1443</v>
      </c>
      <c r="E307" s="1043" t="s">
        <v>1289</v>
      </c>
    </row>
    <row r="308" spans="1:5" x14ac:dyDescent="0.25">
      <c r="A308" s="974">
        <v>307</v>
      </c>
      <c r="B308" s="974" t="s">
        <v>1279</v>
      </c>
      <c r="C308" s="1046" t="s">
        <v>104</v>
      </c>
      <c r="D308" s="1046" t="s">
        <v>1410</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1410</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1410</v>
      </c>
      <c r="E313" s="1045" t="s">
        <v>1284</v>
      </c>
    </row>
    <row r="314" spans="1:5" x14ac:dyDescent="0.25">
      <c r="A314" s="974">
        <v>313</v>
      </c>
      <c r="B314" s="974" t="s">
        <v>1279</v>
      </c>
      <c r="C314" s="1046" t="s">
        <v>104</v>
      </c>
      <c r="D314" s="1046" t="s">
        <v>1410</v>
      </c>
      <c r="E314" s="1045" t="s">
        <v>1285</v>
      </c>
    </row>
    <row r="315" spans="1:5" x14ac:dyDescent="0.25">
      <c r="A315" s="974">
        <v>314</v>
      </c>
      <c r="B315" s="974" t="s">
        <v>1279</v>
      </c>
      <c r="C315" s="1046" t="s">
        <v>104</v>
      </c>
      <c r="D315" s="1046" t="s">
        <v>1444</v>
      </c>
      <c r="E315" s="1045" t="s">
        <v>1286</v>
      </c>
    </row>
    <row r="316" spans="1:5" x14ac:dyDescent="0.25">
      <c r="A316" s="974">
        <v>315</v>
      </c>
      <c r="B316" s="974" t="s">
        <v>1279</v>
      </c>
      <c r="C316" s="1046" t="s">
        <v>104</v>
      </c>
      <c r="D316" s="1046" t="s">
        <v>1410</v>
      </c>
      <c r="E316" s="1045" t="s">
        <v>1287</v>
      </c>
    </row>
    <row r="317" spans="1:5" x14ac:dyDescent="0.25">
      <c r="A317" s="974">
        <v>316</v>
      </c>
      <c r="B317" s="974" t="s">
        <v>1279</v>
      </c>
      <c r="C317" s="1046" t="s">
        <v>104</v>
      </c>
      <c r="D317" s="1046" t="s">
        <v>1444</v>
      </c>
      <c r="E317" s="1045" t="s">
        <v>1288</v>
      </c>
    </row>
    <row r="318" spans="1:5" x14ac:dyDescent="0.25">
      <c r="A318" s="974">
        <v>317</v>
      </c>
      <c r="B318" s="974" t="s">
        <v>1279</v>
      </c>
      <c r="C318" s="1046" t="s">
        <v>104</v>
      </c>
      <c r="D318" s="1046" t="s">
        <v>1444</v>
      </c>
      <c r="E318" s="1045" t="s">
        <v>1228</v>
      </c>
    </row>
    <row r="319" spans="1:5" x14ac:dyDescent="0.25">
      <c r="A319" s="974">
        <v>318</v>
      </c>
      <c r="B319" s="974" t="s">
        <v>1279</v>
      </c>
      <c r="C319" s="1046" t="s">
        <v>98</v>
      </c>
      <c r="D319" s="1046" t="s">
        <v>1443</v>
      </c>
      <c r="E319" s="1043" t="s">
        <v>1289</v>
      </c>
    </row>
    <row r="320" spans="1:5" x14ac:dyDescent="0.25">
      <c r="A320" s="974">
        <v>319</v>
      </c>
      <c r="B320" s="974" t="s">
        <v>1279</v>
      </c>
      <c r="C320" s="1046" t="s">
        <v>98</v>
      </c>
      <c r="D320" s="1046" t="s">
        <v>1410</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1410</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1410</v>
      </c>
      <c r="E325" s="1045" t="s">
        <v>1284</v>
      </c>
    </row>
    <row r="326" spans="1:5" x14ac:dyDescent="0.25">
      <c r="A326" s="974">
        <v>325</v>
      </c>
      <c r="B326" s="974" t="s">
        <v>1279</v>
      </c>
      <c r="C326" s="1046" t="s">
        <v>98</v>
      </c>
      <c r="D326" s="1046" t="s">
        <v>1410</v>
      </c>
      <c r="E326" s="1045" t="s">
        <v>1285</v>
      </c>
    </row>
    <row r="327" spans="1:5" x14ac:dyDescent="0.25">
      <c r="A327" s="974">
        <v>326</v>
      </c>
      <c r="B327" s="974" t="s">
        <v>1279</v>
      </c>
      <c r="C327" s="1046" t="s">
        <v>98</v>
      </c>
      <c r="D327" s="1046" t="s">
        <v>1444</v>
      </c>
      <c r="E327" s="1045" t="s">
        <v>1286</v>
      </c>
    </row>
    <row r="328" spans="1:5" x14ac:dyDescent="0.25">
      <c r="A328" s="974">
        <v>327</v>
      </c>
      <c r="B328" s="974" t="s">
        <v>1279</v>
      </c>
      <c r="C328" s="1046" t="s">
        <v>98</v>
      </c>
      <c r="D328" s="1046" t="s">
        <v>1410</v>
      </c>
      <c r="E328" s="1045" t="s">
        <v>1287</v>
      </c>
    </row>
    <row r="329" spans="1:5" x14ac:dyDescent="0.25">
      <c r="A329" s="974">
        <v>328</v>
      </c>
      <c r="B329" s="974" t="s">
        <v>1279</v>
      </c>
      <c r="C329" s="1046" t="s">
        <v>98</v>
      </c>
      <c r="D329" s="1046" t="s">
        <v>1444</v>
      </c>
      <c r="E329" s="1045" t="s">
        <v>1288</v>
      </c>
    </row>
    <row r="330" spans="1:5" x14ac:dyDescent="0.25">
      <c r="A330" s="974">
        <v>329</v>
      </c>
      <c r="B330" s="974" t="s">
        <v>1279</v>
      </c>
      <c r="C330" s="1046" t="s">
        <v>98</v>
      </c>
      <c r="D330" s="1046" t="s">
        <v>1444</v>
      </c>
      <c r="E330" s="1045" t="s">
        <v>1228</v>
      </c>
    </row>
    <row r="331" spans="1:5" x14ac:dyDescent="0.25">
      <c r="A331" s="974">
        <v>330</v>
      </c>
      <c r="B331" s="974" t="s">
        <v>1279</v>
      </c>
      <c r="C331" s="1046" t="s">
        <v>95</v>
      </c>
      <c r="D331" s="1046" t="s">
        <v>1443</v>
      </c>
      <c r="E331" s="1043" t="s">
        <v>1289</v>
      </c>
    </row>
    <row r="332" spans="1:5" x14ac:dyDescent="0.25">
      <c r="A332" s="974">
        <v>331</v>
      </c>
      <c r="B332" s="974" t="s">
        <v>1279</v>
      </c>
      <c r="C332" s="1046" t="s">
        <v>95</v>
      </c>
      <c r="D332" s="1046" t="s">
        <v>1410</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1410</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1410</v>
      </c>
      <c r="E337" s="1045" t="s">
        <v>1284</v>
      </c>
    </row>
    <row r="338" spans="1:5" x14ac:dyDescent="0.25">
      <c r="A338" s="974">
        <v>337</v>
      </c>
      <c r="B338" s="974" t="s">
        <v>1279</v>
      </c>
      <c r="C338" s="1046" t="s">
        <v>95</v>
      </c>
      <c r="D338" s="1046" t="s">
        <v>1410</v>
      </c>
      <c r="E338" s="1045" t="s">
        <v>1285</v>
      </c>
    </row>
    <row r="339" spans="1:5" x14ac:dyDescent="0.25">
      <c r="A339" s="974">
        <v>338</v>
      </c>
      <c r="B339" s="974" t="s">
        <v>1279</v>
      </c>
      <c r="C339" s="1046" t="s">
        <v>95</v>
      </c>
      <c r="D339" s="1046" t="s">
        <v>1444</v>
      </c>
      <c r="E339" s="1045" t="s">
        <v>1286</v>
      </c>
    </row>
    <row r="340" spans="1:5" x14ac:dyDescent="0.25">
      <c r="A340" s="974">
        <v>339</v>
      </c>
      <c r="B340" s="974" t="s">
        <v>1279</v>
      </c>
      <c r="C340" s="1046" t="s">
        <v>95</v>
      </c>
      <c r="D340" s="1046" t="s">
        <v>1410</v>
      </c>
      <c r="E340" s="1045" t="s">
        <v>1287</v>
      </c>
    </row>
    <row r="341" spans="1:5" x14ac:dyDescent="0.25">
      <c r="A341" s="974">
        <v>340</v>
      </c>
      <c r="B341" s="974" t="s">
        <v>1279</v>
      </c>
      <c r="C341" s="1046" t="s">
        <v>95</v>
      </c>
      <c r="D341" s="1046" t="s">
        <v>1444</v>
      </c>
      <c r="E341" s="1045" t="s">
        <v>1288</v>
      </c>
    </row>
    <row r="342" spans="1:5" x14ac:dyDescent="0.25">
      <c r="A342" s="974">
        <v>341</v>
      </c>
      <c r="B342" s="974" t="s">
        <v>1279</v>
      </c>
      <c r="C342" s="1046" t="s">
        <v>95</v>
      </c>
      <c r="D342" s="1046" t="s">
        <v>1444</v>
      </c>
      <c r="E342" s="1045" t="s">
        <v>1228</v>
      </c>
    </row>
    <row r="343" spans="1:5" x14ac:dyDescent="0.25">
      <c r="A343" s="974">
        <v>342</v>
      </c>
      <c r="B343" s="974" t="s">
        <v>1279</v>
      </c>
      <c r="C343" s="1046" t="s">
        <v>96</v>
      </c>
      <c r="D343" s="1046" t="s">
        <v>1443</v>
      </c>
      <c r="E343" s="1043" t="s">
        <v>1289</v>
      </c>
    </row>
    <row r="344" spans="1:5" x14ac:dyDescent="0.25">
      <c r="A344" s="974">
        <v>343</v>
      </c>
      <c r="B344" s="974" t="s">
        <v>1279</v>
      </c>
      <c r="C344" s="1046" t="s">
        <v>96</v>
      </c>
      <c r="D344" s="1046" t="s">
        <v>1410</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1410</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1410</v>
      </c>
      <c r="E349" s="1045" t="s">
        <v>1284</v>
      </c>
    </row>
    <row r="350" spans="1:5" x14ac:dyDescent="0.25">
      <c r="A350" s="974">
        <v>349</v>
      </c>
      <c r="B350" s="974" t="s">
        <v>1279</v>
      </c>
      <c r="C350" s="1046" t="s">
        <v>96</v>
      </c>
      <c r="D350" s="1046" t="s">
        <v>1410</v>
      </c>
      <c r="E350" s="1045" t="s">
        <v>1285</v>
      </c>
    </row>
    <row r="351" spans="1:5" x14ac:dyDescent="0.25">
      <c r="A351" s="974">
        <v>350</v>
      </c>
      <c r="B351" s="974" t="s">
        <v>1279</v>
      </c>
      <c r="C351" s="1046" t="s">
        <v>96</v>
      </c>
      <c r="D351" s="1046" t="s">
        <v>1444</v>
      </c>
      <c r="E351" s="1045" t="s">
        <v>1286</v>
      </c>
    </row>
    <row r="352" spans="1:5" x14ac:dyDescent="0.25">
      <c r="A352" s="974">
        <v>351</v>
      </c>
      <c r="B352" s="974" t="s">
        <v>1279</v>
      </c>
      <c r="C352" s="1046" t="s">
        <v>96</v>
      </c>
      <c r="D352" s="1046" t="s">
        <v>1410</v>
      </c>
      <c r="E352" s="1045" t="s">
        <v>1287</v>
      </c>
    </row>
    <row r="353" spans="1:5" x14ac:dyDescent="0.25">
      <c r="A353" s="974">
        <v>352</v>
      </c>
      <c r="B353" s="974" t="s">
        <v>1279</v>
      </c>
      <c r="C353" s="1046" t="s">
        <v>96</v>
      </c>
      <c r="D353" s="1046" t="s">
        <v>1444</v>
      </c>
      <c r="E353" s="1045" t="s">
        <v>1288</v>
      </c>
    </row>
    <row r="354" spans="1:5" x14ac:dyDescent="0.25">
      <c r="A354" s="974">
        <v>353</v>
      </c>
      <c r="B354" s="974" t="s">
        <v>1279</v>
      </c>
      <c r="C354" s="1046" t="s">
        <v>96</v>
      </c>
      <c r="D354" s="1046" t="s">
        <v>1444</v>
      </c>
      <c r="E354" s="1045" t="s">
        <v>1228</v>
      </c>
    </row>
    <row r="355" spans="1:5" x14ac:dyDescent="0.25">
      <c r="A355" s="974">
        <v>354</v>
      </c>
      <c r="B355" s="974" t="s">
        <v>1279</v>
      </c>
      <c r="C355" s="1046" t="s">
        <v>101</v>
      </c>
      <c r="D355" s="1046" t="s">
        <v>1443</v>
      </c>
      <c r="E355" s="1043" t="s">
        <v>1289</v>
      </c>
    </row>
    <row r="356" spans="1:5" x14ac:dyDescent="0.25">
      <c r="A356" s="974">
        <v>355</v>
      </c>
      <c r="B356" s="974" t="s">
        <v>1279</v>
      </c>
      <c r="C356" s="1046" t="s">
        <v>101</v>
      </c>
      <c r="D356" s="1046" t="s">
        <v>1410</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1410</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1410</v>
      </c>
      <c r="E361" s="1045" t="s">
        <v>1284</v>
      </c>
    </row>
    <row r="362" spans="1:5" x14ac:dyDescent="0.25">
      <c r="A362" s="974">
        <v>361</v>
      </c>
      <c r="B362" s="974" t="s">
        <v>1279</v>
      </c>
      <c r="C362" s="1046" t="s">
        <v>101</v>
      </c>
      <c r="D362" s="1046" t="s">
        <v>1410</v>
      </c>
      <c r="E362" s="1045" t="s">
        <v>1285</v>
      </c>
    </row>
    <row r="363" spans="1:5" x14ac:dyDescent="0.25">
      <c r="A363" s="974">
        <v>362</v>
      </c>
      <c r="B363" s="974" t="s">
        <v>1279</v>
      </c>
      <c r="C363" s="1046" t="s">
        <v>101</v>
      </c>
      <c r="D363" s="1046" t="s">
        <v>1444</v>
      </c>
      <c r="E363" s="1045" t="s">
        <v>1286</v>
      </c>
    </row>
    <row r="364" spans="1:5" x14ac:dyDescent="0.25">
      <c r="A364" s="974">
        <v>363</v>
      </c>
      <c r="B364" s="974" t="s">
        <v>1279</v>
      </c>
      <c r="C364" s="1046" t="s">
        <v>101</v>
      </c>
      <c r="D364" s="1046" t="s">
        <v>1410</v>
      </c>
      <c r="E364" s="1045" t="s">
        <v>1287</v>
      </c>
    </row>
    <row r="365" spans="1:5" x14ac:dyDescent="0.25">
      <c r="A365" s="974">
        <v>364</v>
      </c>
      <c r="B365" s="974" t="s">
        <v>1279</v>
      </c>
      <c r="C365" s="1046" t="s">
        <v>101</v>
      </c>
      <c r="D365" s="1046" t="s">
        <v>1444</v>
      </c>
      <c r="E365" s="1045" t="s">
        <v>1288</v>
      </c>
    </row>
    <row r="366" spans="1:5" x14ac:dyDescent="0.25">
      <c r="A366" s="974">
        <v>365</v>
      </c>
      <c r="B366" s="974" t="s">
        <v>1279</v>
      </c>
      <c r="C366" s="1046" t="s">
        <v>101</v>
      </c>
      <c r="D366" s="1046" t="s">
        <v>1444</v>
      </c>
      <c r="E366" s="1045" t="s">
        <v>1228</v>
      </c>
    </row>
    <row r="367" spans="1:5" x14ac:dyDescent="0.25">
      <c r="A367" s="974">
        <v>366</v>
      </c>
      <c r="B367" s="974" t="s">
        <v>1279</v>
      </c>
      <c r="C367" s="1046" t="s">
        <v>97</v>
      </c>
      <c r="D367" s="1046" t="s">
        <v>1443</v>
      </c>
      <c r="E367" s="1043" t="s">
        <v>1289</v>
      </c>
    </row>
    <row r="368" spans="1:5" x14ac:dyDescent="0.25">
      <c r="A368" s="974">
        <v>367</v>
      </c>
      <c r="B368" s="974" t="s">
        <v>1279</v>
      </c>
      <c r="C368" s="1046" t="s">
        <v>97</v>
      </c>
      <c r="D368" s="1046" t="s">
        <v>1410</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1410</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1410</v>
      </c>
      <c r="E373" s="1045" t="s">
        <v>1284</v>
      </c>
    </row>
    <row r="374" spans="1:5" x14ac:dyDescent="0.25">
      <c r="A374" s="974">
        <v>373</v>
      </c>
      <c r="B374" s="974" t="s">
        <v>1279</v>
      </c>
      <c r="C374" s="1046" t="s">
        <v>97</v>
      </c>
      <c r="D374" s="1046" t="s">
        <v>1410</v>
      </c>
      <c r="E374" s="1045" t="s">
        <v>1285</v>
      </c>
    </row>
    <row r="375" spans="1:5" x14ac:dyDescent="0.25">
      <c r="A375" s="974">
        <v>374</v>
      </c>
      <c r="B375" s="974" t="s">
        <v>1279</v>
      </c>
      <c r="C375" s="1046" t="s">
        <v>97</v>
      </c>
      <c r="D375" s="1046" t="s">
        <v>1444</v>
      </c>
      <c r="E375" s="1045" t="s">
        <v>1286</v>
      </c>
    </row>
    <row r="376" spans="1:5" x14ac:dyDescent="0.25">
      <c r="A376" s="974">
        <v>375</v>
      </c>
      <c r="B376" s="974" t="s">
        <v>1279</v>
      </c>
      <c r="C376" s="1046" t="s">
        <v>97</v>
      </c>
      <c r="D376" s="1046" t="s">
        <v>1410</v>
      </c>
      <c r="E376" s="1045" t="s">
        <v>1287</v>
      </c>
    </row>
    <row r="377" spans="1:5" x14ac:dyDescent="0.25">
      <c r="A377" s="974">
        <v>376</v>
      </c>
      <c r="B377" s="974" t="s">
        <v>1279</v>
      </c>
      <c r="C377" s="1046" t="s">
        <v>97</v>
      </c>
      <c r="D377" s="1046" t="s">
        <v>1444</v>
      </c>
      <c r="E377" s="1045" t="s">
        <v>1288</v>
      </c>
    </row>
    <row r="378" spans="1:5" x14ac:dyDescent="0.25">
      <c r="A378" s="974">
        <v>377</v>
      </c>
      <c r="B378" s="974" t="s">
        <v>1279</v>
      </c>
      <c r="C378" s="1046" t="s">
        <v>97</v>
      </c>
      <c r="D378" s="1046" t="s">
        <v>1444</v>
      </c>
      <c r="E378" s="1045" t="s">
        <v>1228</v>
      </c>
    </row>
    <row r="379" spans="1:5" x14ac:dyDescent="0.25">
      <c r="A379" s="974">
        <v>378</v>
      </c>
      <c r="B379" s="974" t="s">
        <v>1279</v>
      </c>
      <c r="C379" s="1046" t="s">
        <v>93</v>
      </c>
      <c r="D379" s="1046" t="s">
        <v>1443</v>
      </c>
      <c r="E379" s="1043" t="s">
        <v>1289</v>
      </c>
    </row>
    <row r="380" spans="1:5" x14ac:dyDescent="0.25">
      <c r="A380" s="974">
        <v>379</v>
      </c>
      <c r="B380" s="974" t="s">
        <v>1279</v>
      </c>
      <c r="C380" s="1046" t="s">
        <v>93</v>
      </c>
      <c r="D380" s="1046" t="s">
        <v>1410</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1410</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1410</v>
      </c>
      <c r="E385" s="1045" t="s">
        <v>1284</v>
      </c>
    </row>
    <row r="386" spans="1:5" x14ac:dyDescent="0.25">
      <c r="A386" s="974">
        <v>385</v>
      </c>
      <c r="B386" s="974" t="s">
        <v>1279</v>
      </c>
      <c r="C386" s="1046" t="s">
        <v>93</v>
      </c>
      <c r="D386" s="1046" t="s">
        <v>1410</v>
      </c>
      <c r="E386" s="1045" t="s">
        <v>1285</v>
      </c>
    </row>
    <row r="387" spans="1:5" x14ac:dyDescent="0.25">
      <c r="A387" s="974">
        <v>386</v>
      </c>
      <c r="B387" s="974" t="s">
        <v>1279</v>
      </c>
      <c r="C387" s="1046" t="s">
        <v>93</v>
      </c>
      <c r="D387" s="1046" t="s">
        <v>1444</v>
      </c>
      <c r="E387" s="1045" t="s">
        <v>1286</v>
      </c>
    </row>
    <row r="388" spans="1:5" x14ac:dyDescent="0.25">
      <c r="A388" s="974">
        <v>387</v>
      </c>
      <c r="B388" s="974" t="s">
        <v>1279</v>
      </c>
      <c r="C388" s="1046" t="s">
        <v>93</v>
      </c>
      <c r="D388" s="1046" t="s">
        <v>1410</v>
      </c>
      <c r="E388" s="1045" t="s">
        <v>1287</v>
      </c>
    </row>
    <row r="389" spans="1:5" x14ac:dyDescent="0.25">
      <c r="A389" s="974">
        <v>388</v>
      </c>
      <c r="B389" s="974" t="s">
        <v>1279</v>
      </c>
      <c r="C389" s="1046" t="s">
        <v>93</v>
      </c>
      <c r="D389" s="1046" t="s">
        <v>1444</v>
      </c>
      <c r="E389" s="1045" t="s">
        <v>1288</v>
      </c>
    </row>
    <row r="390" spans="1:5" x14ac:dyDescent="0.25">
      <c r="A390" s="974">
        <v>389</v>
      </c>
      <c r="B390" s="974" t="s">
        <v>1279</v>
      </c>
      <c r="C390" s="1046" t="s">
        <v>93</v>
      </c>
      <c r="D390" s="1046" t="s">
        <v>1444</v>
      </c>
      <c r="E390" s="1045" t="s">
        <v>1228</v>
      </c>
    </row>
    <row r="391" spans="1:5" x14ac:dyDescent="0.25">
      <c r="A391" s="974">
        <v>390</v>
      </c>
      <c r="B391" s="974" t="s">
        <v>1279</v>
      </c>
      <c r="C391" s="1046" t="s">
        <v>105</v>
      </c>
      <c r="D391" s="1046" t="s">
        <v>1443</v>
      </c>
      <c r="E391" s="1043" t="s">
        <v>1289</v>
      </c>
    </row>
    <row r="392" spans="1:5" x14ac:dyDescent="0.25">
      <c r="A392" s="974">
        <v>391</v>
      </c>
      <c r="B392" s="974" t="s">
        <v>1279</v>
      </c>
      <c r="C392" s="1046" t="s">
        <v>105</v>
      </c>
      <c r="D392" s="1046" t="s">
        <v>1410</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1410</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1410</v>
      </c>
      <c r="E397" s="1045" t="s">
        <v>1284</v>
      </c>
    </row>
    <row r="398" spans="1:5" x14ac:dyDescent="0.25">
      <c r="A398" s="974">
        <v>397</v>
      </c>
      <c r="B398" s="974" t="s">
        <v>1279</v>
      </c>
      <c r="C398" s="1046" t="s">
        <v>105</v>
      </c>
      <c r="D398" s="1046" t="s">
        <v>1410</v>
      </c>
      <c r="E398" s="1045" t="s">
        <v>1285</v>
      </c>
    </row>
    <row r="399" spans="1:5" x14ac:dyDescent="0.25">
      <c r="A399" s="974">
        <v>398</v>
      </c>
      <c r="B399" s="974" t="s">
        <v>1279</v>
      </c>
      <c r="C399" s="1046" t="s">
        <v>105</v>
      </c>
      <c r="D399" s="1046" t="s">
        <v>1444</v>
      </c>
      <c r="E399" s="1045" t="s">
        <v>1286</v>
      </c>
    </row>
    <row r="400" spans="1:5" x14ac:dyDescent="0.25">
      <c r="A400" s="974">
        <v>399</v>
      </c>
      <c r="B400" s="974" t="s">
        <v>1279</v>
      </c>
      <c r="C400" s="1046" t="s">
        <v>105</v>
      </c>
      <c r="D400" s="1046" t="s">
        <v>1410</v>
      </c>
      <c r="E400" s="1045" t="s">
        <v>1287</v>
      </c>
    </row>
    <row r="401" spans="1:5" x14ac:dyDescent="0.25">
      <c r="A401" s="974">
        <v>400</v>
      </c>
      <c r="B401" s="974" t="s">
        <v>1279</v>
      </c>
      <c r="C401" s="1046" t="s">
        <v>105</v>
      </c>
      <c r="D401" s="1046" t="s">
        <v>1444</v>
      </c>
      <c r="E401" s="1045" t="s">
        <v>1288</v>
      </c>
    </row>
    <row r="402" spans="1:5" x14ac:dyDescent="0.25">
      <c r="A402" s="974">
        <v>401</v>
      </c>
      <c r="B402" s="974" t="s">
        <v>1279</v>
      </c>
      <c r="C402" s="1046" t="s">
        <v>105</v>
      </c>
      <c r="D402" s="1046" t="s">
        <v>1444</v>
      </c>
      <c r="E402" s="1045" t="s">
        <v>1228</v>
      </c>
    </row>
    <row r="403" spans="1:5" x14ac:dyDescent="0.25">
      <c r="A403" s="974">
        <v>402</v>
      </c>
      <c r="B403" s="974" t="s">
        <v>1279</v>
      </c>
      <c r="C403" s="1046" t="s">
        <v>92</v>
      </c>
      <c r="D403" s="1046" t="s">
        <v>1443</v>
      </c>
      <c r="E403" s="1043" t="s">
        <v>1289</v>
      </c>
    </row>
    <row r="404" spans="1:5" x14ac:dyDescent="0.25">
      <c r="A404" s="974">
        <v>403</v>
      </c>
      <c r="B404" s="974" t="s">
        <v>1279</v>
      </c>
      <c r="C404" s="1046" t="s">
        <v>92</v>
      </c>
      <c r="D404" s="1046" t="s">
        <v>1410</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1410</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1410</v>
      </c>
      <c r="E409" s="1045" t="s">
        <v>1284</v>
      </c>
    </row>
    <row r="410" spans="1:5" x14ac:dyDescent="0.25">
      <c r="A410" s="974">
        <v>409</v>
      </c>
      <c r="B410" s="974" t="s">
        <v>1279</v>
      </c>
      <c r="C410" s="1046" t="s">
        <v>92</v>
      </c>
      <c r="D410" s="1046" t="s">
        <v>1410</v>
      </c>
      <c r="E410" s="1045" t="s">
        <v>1285</v>
      </c>
    </row>
    <row r="411" spans="1:5" x14ac:dyDescent="0.25">
      <c r="A411" s="974">
        <v>410</v>
      </c>
      <c r="B411" s="974" t="s">
        <v>1279</v>
      </c>
      <c r="C411" s="1046" t="s">
        <v>92</v>
      </c>
      <c r="D411" s="1046" t="s">
        <v>1444</v>
      </c>
      <c r="E411" s="1045" t="s">
        <v>1286</v>
      </c>
    </row>
    <row r="412" spans="1:5" x14ac:dyDescent="0.25">
      <c r="A412" s="974">
        <v>411</v>
      </c>
      <c r="B412" s="974" t="s">
        <v>1279</v>
      </c>
      <c r="C412" s="1046" t="s">
        <v>92</v>
      </c>
      <c r="D412" s="1046" t="s">
        <v>1410</v>
      </c>
      <c r="E412" s="1045" t="s">
        <v>1287</v>
      </c>
    </row>
    <row r="413" spans="1:5" x14ac:dyDescent="0.25">
      <c r="A413" s="974">
        <v>412</v>
      </c>
      <c r="B413" s="974" t="s">
        <v>1279</v>
      </c>
      <c r="C413" s="1046" t="s">
        <v>92</v>
      </c>
      <c r="D413" s="1046" t="s">
        <v>1444</v>
      </c>
      <c r="E413" s="1045" t="s">
        <v>1288</v>
      </c>
    </row>
    <row r="414" spans="1:5" x14ac:dyDescent="0.25">
      <c r="A414" s="974">
        <v>413</v>
      </c>
      <c r="B414" s="974" t="s">
        <v>1279</v>
      </c>
      <c r="C414" s="1046" t="s">
        <v>92</v>
      </c>
      <c r="D414" s="1046" t="s">
        <v>1444</v>
      </c>
      <c r="E414" s="1045" t="s">
        <v>1228</v>
      </c>
    </row>
    <row r="415" spans="1:5" x14ac:dyDescent="0.25">
      <c r="A415" s="974">
        <v>414</v>
      </c>
      <c r="B415" s="974" t="s">
        <v>1279</v>
      </c>
      <c r="C415" s="1046" t="s">
        <v>91</v>
      </c>
      <c r="D415" s="1046" t="s">
        <v>1443</v>
      </c>
      <c r="E415" s="1043" t="s">
        <v>1289</v>
      </c>
    </row>
    <row r="416" spans="1:5" x14ac:dyDescent="0.25">
      <c r="A416" s="974">
        <v>415</v>
      </c>
      <c r="B416" s="974" t="s">
        <v>1279</v>
      </c>
      <c r="C416" s="1046" t="s">
        <v>91</v>
      </c>
      <c r="D416" s="1046" t="s">
        <v>1410</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1410</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1410</v>
      </c>
      <c r="E421" s="1045" t="s">
        <v>1284</v>
      </c>
    </row>
    <row r="422" spans="1:5" x14ac:dyDescent="0.25">
      <c r="A422" s="974">
        <v>421</v>
      </c>
      <c r="B422" s="974" t="s">
        <v>1279</v>
      </c>
      <c r="C422" s="1046" t="s">
        <v>91</v>
      </c>
      <c r="D422" s="1046" t="s">
        <v>1410</v>
      </c>
      <c r="E422" s="1045" t="s">
        <v>1285</v>
      </c>
    </row>
    <row r="423" spans="1:5" x14ac:dyDescent="0.25">
      <c r="A423" s="974">
        <v>422</v>
      </c>
      <c r="B423" s="974" t="s">
        <v>1279</v>
      </c>
      <c r="C423" s="1046" t="s">
        <v>91</v>
      </c>
      <c r="D423" s="1046" t="s">
        <v>1444</v>
      </c>
      <c r="E423" s="1045" t="s">
        <v>1286</v>
      </c>
    </row>
    <row r="424" spans="1:5" x14ac:dyDescent="0.25">
      <c r="A424" s="974">
        <v>423</v>
      </c>
      <c r="B424" s="974" t="s">
        <v>1279</v>
      </c>
      <c r="C424" s="1046" t="s">
        <v>91</v>
      </c>
      <c r="D424" s="1046" t="s">
        <v>1410</v>
      </c>
      <c r="E424" s="1045" t="s">
        <v>1287</v>
      </c>
    </row>
    <row r="425" spans="1:5" x14ac:dyDescent="0.25">
      <c r="A425" s="974">
        <v>424</v>
      </c>
      <c r="B425" s="974" t="s">
        <v>1279</v>
      </c>
      <c r="C425" s="1046" t="s">
        <v>91</v>
      </c>
      <c r="D425" s="1046" t="s">
        <v>1444</v>
      </c>
      <c r="E425" s="1045" t="s">
        <v>1288</v>
      </c>
    </row>
    <row r="426" spans="1:5" x14ac:dyDescent="0.25">
      <c r="A426" s="974">
        <v>425</v>
      </c>
      <c r="B426" s="974" t="s">
        <v>1279</v>
      </c>
      <c r="C426" s="1046" t="s">
        <v>91</v>
      </c>
      <c r="D426" s="1046" t="s">
        <v>1444</v>
      </c>
      <c r="E426" s="1045" t="s">
        <v>1228</v>
      </c>
    </row>
    <row r="427" spans="1:5" x14ac:dyDescent="0.25">
      <c r="A427" s="974">
        <v>426</v>
      </c>
      <c r="B427" s="974" t="s">
        <v>1279</v>
      </c>
      <c r="C427" s="1046" t="s">
        <v>90</v>
      </c>
      <c r="D427" s="1046" t="s">
        <v>1443</v>
      </c>
      <c r="E427" s="1043" t="s">
        <v>1289</v>
      </c>
    </row>
    <row r="428" spans="1:5" x14ac:dyDescent="0.25">
      <c r="A428" s="974">
        <v>427</v>
      </c>
      <c r="B428" s="974" t="s">
        <v>1279</v>
      </c>
      <c r="C428" s="1046" t="s">
        <v>90</v>
      </c>
      <c r="D428" s="1046" t="s">
        <v>1410</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1410</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1410</v>
      </c>
      <c r="E433" s="1045" t="s">
        <v>1284</v>
      </c>
    </row>
    <row r="434" spans="1:5" x14ac:dyDescent="0.25">
      <c r="A434" s="974">
        <v>433</v>
      </c>
      <c r="B434" s="974" t="s">
        <v>1279</v>
      </c>
      <c r="C434" s="1046" t="s">
        <v>90</v>
      </c>
      <c r="D434" s="1046" t="s">
        <v>1410</v>
      </c>
      <c r="E434" s="1045" t="s">
        <v>1285</v>
      </c>
    </row>
    <row r="435" spans="1:5" x14ac:dyDescent="0.25">
      <c r="A435" s="974">
        <v>434</v>
      </c>
      <c r="B435" s="974" t="s">
        <v>1279</v>
      </c>
      <c r="C435" s="1046" t="s">
        <v>90</v>
      </c>
      <c r="D435" s="1046" t="s">
        <v>1444</v>
      </c>
      <c r="E435" s="1045" t="s">
        <v>1286</v>
      </c>
    </row>
    <row r="436" spans="1:5" x14ac:dyDescent="0.25">
      <c r="A436" s="974">
        <v>435</v>
      </c>
      <c r="B436" s="974" t="s">
        <v>1279</v>
      </c>
      <c r="C436" s="1046" t="s">
        <v>90</v>
      </c>
      <c r="D436" s="1046" t="s">
        <v>1410</v>
      </c>
      <c r="E436" s="1045" t="s">
        <v>1287</v>
      </c>
    </row>
    <row r="437" spans="1:5" x14ac:dyDescent="0.25">
      <c r="A437" s="974">
        <v>436</v>
      </c>
      <c r="B437" s="974" t="s">
        <v>1279</v>
      </c>
      <c r="C437" s="1046" t="s">
        <v>90</v>
      </c>
      <c r="D437" s="1046" t="s">
        <v>1444</v>
      </c>
      <c r="E437" s="1045" t="s">
        <v>1288</v>
      </c>
    </row>
    <row r="438" spans="1:5" x14ac:dyDescent="0.25">
      <c r="A438" s="974">
        <v>437</v>
      </c>
      <c r="B438" s="974" t="s">
        <v>1279</v>
      </c>
      <c r="C438" s="1046" t="s">
        <v>90</v>
      </c>
      <c r="D438" s="1046" t="s">
        <v>1444</v>
      </c>
      <c r="E438" s="1045" t="s">
        <v>1228</v>
      </c>
    </row>
    <row r="439" spans="1:5" x14ac:dyDescent="0.25">
      <c r="A439" s="974">
        <v>438</v>
      </c>
      <c r="B439" s="974" t="s">
        <v>1279</v>
      </c>
      <c r="C439" s="1046" t="s">
        <v>89</v>
      </c>
      <c r="D439" s="1046" t="s">
        <v>1443</v>
      </c>
      <c r="E439" s="1043" t="s">
        <v>1289</v>
      </c>
    </row>
    <row r="440" spans="1:5" x14ac:dyDescent="0.25">
      <c r="A440" s="974">
        <v>439</v>
      </c>
      <c r="B440" s="974" t="s">
        <v>1279</v>
      </c>
      <c r="C440" s="1046" t="s">
        <v>89</v>
      </c>
      <c r="D440" s="1046" t="s">
        <v>1410</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1410</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1410</v>
      </c>
      <c r="E445" s="1045" t="s">
        <v>1284</v>
      </c>
    </row>
    <row r="446" spans="1:5" x14ac:dyDescent="0.25">
      <c r="A446" s="974">
        <v>445</v>
      </c>
      <c r="B446" s="974" t="s">
        <v>1279</v>
      </c>
      <c r="C446" s="1046" t="s">
        <v>89</v>
      </c>
      <c r="D446" s="1046" t="s">
        <v>1410</v>
      </c>
      <c r="E446" s="1045" t="s">
        <v>1285</v>
      </c>
    </row>
    <row r="447" spans="1:5" x14ac:dyDescent="0.25">
      <c r="A447" s="974">
        <v>446</v>
      </c>
      <c r="B447" s="974" t="s">
        <v>1279</v>
      </c>
      <c r="C447" s="1046" t="s">
        <v>89</v>
      </c>
      <c r="D447" s="1046" t="s">
        <v>1444</v>
      </c>
      <c r="E447" s="1045" t="s">
        <v>1286</v>
      </c>
    </row>
    <row r="448" spans="1:5" x14ac:dyDescent="0.25">
      <c r="A448" s="974">
        <v>447</v>
      </c>
      <c r="B448" s="974" t="s">
        <v>1279</v>
      </c>
      <c r="C448" s="1046" t="s">
        <v>89</v>
      </c>
      <c r="D448" s="1046" t="s">
        <v>1410</v>
      </c>
      <c r="E448" s="1045" t="s">
        <v>1287</v>
      </c>
    </row>
    <row r="449" spans="1:5" x14ac:dyDescent="0.25">
      <c r="A449" s="974">
        <v>448</v>
      </c>
      <c r="B449" s="974" t="s">
        <v>1279</v>
      </c>
      <c r="C449" s="1046" t="s">
        <v>89</v>
      </c>
      <c r="D449" s="1046" t="s">
        <v>1444</v>
      </c>
      <c r="E449" s="1045" t="s">
        <v>1288</v>
      </c>
    </row>
    <row r="450" spans="1:5" x14ac:dyDescent="0.25">
      <c r="A450" s="974">
        <v>449</v>
      </c>
      <c r="B450" s="974" t="s">
        <v>1279</v>
      </c>
      <c r="C450" s="1046" t="s">
        <v>89</v>
      </c>
      <c r="D450" s="1046" t="s">
        <v>1444</v>
      </c>
      <c r="E450" s="1045" t="s">
        <v>1228</v>
      </c>
    </row>
    <row r="451" spans="1:5" x14ac:dyDescent="0.25">
      <c r="A451" s="974">
        <v>450</v>
      </c>
      <c r="B451" s="974" t="s">
        <v>1279</v>
      </c>
      <c r="C451" s="1046" t="s">
        <v>94</v>
      </c>
      <c r="D451" s="1046" t="s">
        <v>1443</v>
      </c>
      <c r="E451" s="1043" t="s">
        <v>1289</v>
      </c>
    </row>
    <row r="452" spans="1:5" x14ac:dyDescent="0.25">
      <c r="A452" s="974">
        <v>451</v>
      </c>
      <c r="B452" s="974" t="s">
        <v>1279</v>
      </c>
      <c r="C452" s="1046" t="s">
        <v>94</v>
      </c>
      <c r="D452" s="1046" t="s">
        <v>1410</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1410</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1410</v>
      </c>
      <c r="E457" s="1045" t="s">
        <v>1284</v>
      </c>
    </row>
    <row r="458" spans="1:5" x14ac:dyDescent="0.25">
      <c r="A458" s="974">
        <v>457</v>
      </c>
      <c r="B458" s="974" t="s">
        <v>1279</v>
      </c>
      <c r="C458" s="1046" t="s">
        <v>94</v>
      </c>
      <c r="D458" s="1046" t="s">
        <v>1410</v>
      </c>
      <c r="E458" s="1045" t="s">
        <v>1285</v>
      </c>
    </row>
    <row r="459" spans="1:5" x14ac:dyDescent="0.25">
      <c r="A459" s="974">
        <v>458</v>
      </c>
      <c r="B459" s="974" t="s">
        <v>1279</v>
      </c>
      <c r="C459" s="1046" t="s">
        <v>94</v>
      </c>
      <c r="D459" s="1046" t="s">
        <v>1444</v>
      </c>
      <c r="E459" s="1045" t="s">
        <v>1286</v>
      </c>
    </row>
    <row r="460" spans="1:5" x14ac:dyDescent="0.25">
      <c r="A460" s="974">
        <v>459</v>
      </c>
      <c r="B460" s="974" t="s">
        <v>1279</v>
      </c>
      <c r="C460" s="1046" t="s">
        <v>94</v>
      </c>
      <c r="D460" s="1046" t="s">
        <v>1410</v>
      </c>
      <c r="E460" s="1045" t="s">
        <v>1287</v>
      </c>
    </row>
    <row r="461" spans="1:5" x14ac:dyDescent="0.25">
      <c r="A461" s="974">
        <v>460</v>
      </c>
      <c r="B461" s="974" t="s">
        <v>1279</v>
      </c>
      <c r="C461" s="1046" t="s">
        <v>94</v>
      </c>
      <c r="D461" s="1046" t="s">
        <v>1444</v>
      </c>
      <c r="E461" s="1045" t="s">
        <v>1288</v>
      </c>
    </row>
    <row r="462" spans="1:5" x14ac:dyDescent="0.25">
      <c r="A462" s="974">
        <v>461</v>
      </c>
      <c r="B462" s="974" t="s">
        <v>1279</v>
      </c>
      <c r="C462" s="1046" t="s">
        <v>94</v>
      </c>
      <c r="D462" s="1046" t="s">
        <v>1444</v>
      </c>
      <c r="E462" s="1045" t="s">
        <v>1228</v>
      </c>
    </row>
    <row r="463" spans="1:5" x14ac:dyDescent="0.25">
      <c r="A463" s="974">
        <v>462</v>
      </c>
      <c r="B463" s="974" t="s">
        <v>1279</v>
      </c>
      <c r="C463" s="1046" t="s">
        <v>86</v>
      </c>
      <c r="D463" s="1046" t="s">
        <v>1443</v>
      </c>
      <c r="E463" s="1043" t="s">
        <v>1289</v>
      </c>
    </row>
    <row r="464" spans="1:5" x14ac:dyDescent="0.25">
      <c r="A464" s="974">
        <v>463</v>
      </c>
      <c r="B464" s="974" t="s">
        <v>1279</v>
      </c>
      <c r="C464" s="1046" t="s">
        <v>86</v>
      </c>
      <c r="D464" s="1046" t="s">
        <v>1410</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1410</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1410</v>
      </c>
      <c r="E469" s="1045" t="s">
        <v>1284</v>
      </c>
    </row>
    <row r="470" spans="1:5" x14ac:dyDescent="0.25">
      <c r="A470" s="974">
        <v>469</v>
      </c>
      <c r="B470" s="974" t="s">
        <v>1279</v>
      </c>
      <c r="C470" s="1046" t="s">
        <v>86</v>
      </c>
      <c r="D470" s="1046" t="s">
        <v>1410</v>
      </c>
      <c r="E470" s="1045" t="s">
        <v>1285</v>
      </c>
    </row>
    <row r="471" spans="1:5" x14ac:dyDescent="0.25">
      <c r="A471" s="974">
        <v>470</v>
      </c>
      <c r="B471" s="974" t="s">
        <v>1279</v>
      </c>
      <c r="C471" s="1046" t="s">
        <v>86</v>
      </c>
      <c r="D471" s="1046" t="s">
        <v>1444</v>
      </c>
      <c r="E471" s="1045" t="s">
        <v>1286</v>
      </c>
    </row>
    <row r="472" spans="1:5" x14ac:dyDescent="0.25">
      <c r="A472" s="974">
        <v>471</v>
      </c>
      <c r="B472" s="974" t="s">
        <v>1279</v>
      </c>
      <c r="C472" s="1046" t="s">
        <v>86</v>
      </c>
      <c r="D472" s="1046" t="s">
        <v>1410</v>
      </c>
      <c r="E472" s="1045" t="s">
        <v>1287</v>
      </c>
    </row>
    <row r="473" spans="1:5" x14ac:dyDescent="0.25">
      <c r="A473" s="974">
        <v>472</v>
      </c>
      <c r="B473" s="974" t="s">
        <v>1279</v>
      </c>
      <c r="C473" s="1046" t="s">
        <v>86</v>
      </c>
      <c r="D473" s="1046" t="s">
        <v>1444</v>
      </c>
      <c r="E473" s="1045" t="s">
        <v>1288</v>
      </c>
    </row>
    <row r="474" spans="1:5" x14ac:dyDescent="0.25">
      <c r="A474" s="974">
        <v>473</v>
      </c>
      <c r="B474" s="974" t="s">
        <v>1279</v>
      </c>
      <c r="C474" s="1046" t="s">
        <v>86</v>
      </c>
      <c r="D474" s="1046" t="s">
        <v>1444</v>
      </c>
      <c r="E474" s="1045" t="s">
        <v>1228</v>
      </c>
    </row>
    <row r="475" spans="1:5" x14ac:dyDescent="0.25">
      <c r="A475" s="974">
        <v>474</v>
      </c>
      <c r="B475" s="974" t="s">
        <v>1279</v>
      </c>
      <c r="C475" s="1046" t="s">
        <v>88</v>
      </c>
      <c r="D475" s="1046" t="s">
        <v>1443</v>
      </c>
      <c r="E475" s="1043" t="s">
        <v>1289</v>
      </c>
    </row>
    <row r="476" spans="1:5" x14ac:dyDescent="0.25">
      <c r="A476" s="974">
        <v>475</v>
      </c>
      <c r="B476" s="974" t="s">
        <v>1279</v>
      </c>
      <c r="C476" s="1046" t="s">
        <v>88</v>
      </c>
      <c r="D476" s="1046" t="s">
        <v>1410</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1410</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1410</v>
      </c>
      <c r="E481" s="1045" t="s">
        <v>1284</v>
      </c>
    </row>
    <row r="482" spans="1:5" x14ac:dyDescent="0.25">
      <c r="A482" s="974">
        <v>481</v>
      </c>
      <c r="B482" s="974" t="s">
        <v>1279</v>
      </c>
      <c r="C482" s="1046" t="s">
        <v>88</v>
      </c>
      <c r="D482" s="1046" t="s">
        <v>1410</v>
      </c>
      <c r="E482" s="1045" t="s">
        <v>1285</v>
      </c>
    </row>
    <row r="483" spans="1:5" x14ac:dyDescent="0.25">
      <c r="A483" s="974">
        <v>482</v>
      </c>
      <c r="B483" s="974" t="s">
        <v>1279</v>
      </c>
      <c r="C483" s="1046" t="s">
        <v>88</v>
      </c>
      <c r="D483" s="1046" t="s">
        <v>1444</v>
      </c>
      <c r="E483" s="1045" t="s">
        <v>1286</v>
      </c>
    </row>
    <row r="484" spans="1:5" x14ac:dyDescent="0.25">
      <c r="A484" s="974">
        <v>483</v>
      </c>
      <c r="B484" s="974" t="s">
        <v>1279</v>
      </c>
      <c r="C484" s="1046" t="s">
        <v>88</v>
      </c>
      <c r="D484" s="1046" t="s">
        <v>1410</v>
      </c>
      <c r="E484" s="1045" t="s">
        <v>1287</v>
      </c>
    </row>
    <row r="485" spans="1:5" x14ac:dyDescent="0.25">
      <c r="A485" s="974">
        <v>484</v>
      </c>
      <c r="B485" s="974" t="s">
        <v>1279</v>
      </c>
      <c r="C485" s="1046" t="s">
        <v>88</v>
      </c>
      <c r="D485" s="1046" t="s">
        <v>1444</v>
      </c>
      <c r="E485" s="1045" t="s">
        <v>1288</v>
      </c>
    </row>
    <row r="486" spans="1:5" x14ac:dyDescent="0.25">
      <c r="A486" s="974">
        <v>485</v>
      </c>
      <c r="B486" s="974" t="s">
        <v>1279</v>
      </c>
      <c r="C486" s="1046" t="s">
        <v>88</v>
      </c>
      <c r="D486" s="1046" t="s">
        <v>1444</v>
      </c>
      <c r="E486" s="1045" t="s">
        <v>1228</v>
      </c>
    </row>
    <row r="487" spans="1:5" x14ac:dyDescent="0.25">
      <c r="A487" s="974">
        <v>486</v>
      </c>
      <c r="B487" s="974" t="s">
        <v>1279</v>
      </c>
      <c r="C487" s="1046" t="s">
        <v>87</v>
      </c>
      <c r="D487" s="1046" t="s">
        <v>1443</v>
      </c>
      <c r="E487" s="1043" t="s">
        <v>1289</v>
      </c>
    </row>
    <row r="488" spans="1:5" x14ac:dyDescent="0.25">
      <c r="A488" s="974">
        <v>487</v>
      </c>
      <c r="B488" s="974" t="s">
        <v>1279</v>
      </c>
      <c r="C488" s="1046" t="s">
        <v>87</v>
      </c>
      <c r="D488" s="1046" t="s">
        <v>1410</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1410</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1410</v>
      </c>
      <c r="E493" s="1045" t="s">
        <v>1284</v>
      </c>
    </row>
    <row r="494" spans="1:5" x14ac:dyDescent="0.25">
      <c r="A494" s="974">
        <v>493</v>
      </c>
      <c r="B494" s="974" t="s">
        <v>1279</v>
      </c>
      <c r="C494" s="1046" t="s">
        <v>87</v>
      </c>
      <c r="D494" s="1046" t="s">
        <v>1410</v>
      </c>
      <c r="E494" s="1045" t="s">
        <v>1285</v>
      </c>
    </row>
    <row r="495" spans="1:5" x14ac:dyDescent="0.25">
      <c r="A495" s="974">
        <v>494</v>
      </c>
      <c r="B495" s="974" t="s">
        <v>1279</v>
      </c>
      <c r="C495" s="1046" t="s">
        <v>87</v>
      </c>
      <c r="D495" s="1046" t="s">
        <v>1444</v>
      </c>
      <c r="E495" s="1045" t="s">
        <v>1286</v>
      </c>
    </row>
    <row r="496" spans="1:5" x14ac:dyDescent="0.25">
      <c r="A496" s="974">
        <v>495</v>
      </c>
      <c r="B496" s="974" t="s">
        <v>1279</v>
      </c>
      <c r="C496" s="1046" t="s">
        <v>87</v>
      </c>
      <c r="D496" s="1046" t="s">
        <v>1410</v>
      </c>
      <c r="E496" s="1045" t="s">
        <v>1287</v>
      </c>
    </row>
    <row r="497" spans="1:5" x14ac:dyDescent="0.25">
      <c r="A497" s="974">
        <v>496</v>
      </c>
      <c r="B497" s="974" t="s">
        <v>1279</v>
      </c>
      <c r="C497" s="1046" t="s">
        <v>87</v>
      </c>
      <c r="D497" s="1046" t="s">
        <v>1444</v>
      </c>
      <c r="E497" s="1045" t="s">
        <v>1288</v>
      </c>
    </row>
    <row r="498" spans="1:5" x14ac:dyDescent="0.25">
      <c r="A498" s="974">
        <v>497</v>
      </c>
      <c r="B498" s="974" t="s">
        <v>1279</v>
      </c>
      <c r="C498" s="1046" t="s">
        <v>87</v>
      </c>
      <c r="D498" s="1046" t="s">
        <v>1444</v>
      </c>
      <c r="E498" s="1045" t="s">
        <v>1228</v>
      </c>
    </row>
    <row r="499" spans="1:5" x14ac:dyDescent="0.25">
      <c r="A499" s="974">
        <v>498</v>
      </c>
      <c r="B499" s="974" t="s">
        <v>1279</v>
      </c>
      <c r="C499" s="1046" t="s">
        <v>1264</v>
      </c>
      <c r="D499" s="1046" t="s">
        <v>1410</v>
      </c>
      <c r="E499" s="1043" t="s">
        <v>1275</v>
      </c>
    </row>
    <row r="500" spans="1:5" x14ac:dyDescent="0.25">
      <c r="A500" s="974">
        <v>499</v>
      </c>
      <c r="B500" s="974" t="s">
        <v>1279</v>
      </c>
      <c r="C500" s="1046" t="s">
        <v>1264</v>
      </c>
      <c r="D500" s="1046" t="s">
        <v>1410</v>
      </c>
      <c r="E500" s="1043" t="s">
        <v>1276</v>
      </c>
    </row>
    <row r="501" spans="1:5" x14ac:dyDescent="0.25">
      <c r="A501" s="974">
        <v>500</v>
      </c>
      <c r="B501" s="974" t="s">
        <v>1279</v>
      </c>
      <c r="C501" s="1046" t="s">
        <v>1264</v>
      </c>
      <c r="D501" s="1046" t="s">
        <v>1410</v>
      </c>
      <c r="E501" s="1043" t="s">
        <v>1270</v>
      </c>
    </row>
    <row r="502" spans="1:5" x14ac:dyDescent="0.25">
      <c r="A502" s="974">
        <v>501</v>
      </c>
      <c r="B502" s="974" t="s">
        <v>1401</v>
      </c>
      <c r="C502" s="1046" t="s">
        <v>1445</v>
      </c>
      <c r="D502" s="1046" t="s">
        <v>1410</v>
      </c>
      <c r="E502" s="1043" t="s">
        <v>1446</v>
      </c>
    </row>
    <row r="503" spans="1:5" x14ac:dyDescent="0.25">
      <c r="A503" s="974">
        <v>502</v>
      </c>
      <c r="B503" s="974" t="s">
        <v>1401</v>
      </c>
      <c r="C503" s="1046" t="s">
        <v>1447</v>
      </c>
      <c r="D503" s="1046" t="s">
        <v>1448</v>
      </c>
      <c r="E503" s="1043" t="s">
        <v>1447</v>
      </c>
    </row>
    <row r="504" spans="1:5" x14ac:dyDescent="0.25">
      <c r="A504" s="974">
        <v>503</v>
      </c>
      <c r="B504" s="974" t="s">
        <v>1401</v>
      </c>
      <c r="C504" s="1046" t="s">
        <v>1447</v>
      </c>
      <c r="D504" s="1046" t="s">
        <v>1448</v>
      </c>
      <c r="E504" s="1043" t="s">
        <v>1449</v>
      </c>
    </row>
    <row r="505" spans="1:5" x14ac:dyDescent="0.25">
      <c r="A505" s="974">
        <v>504</v>
      </c>
      <c r="B505" s="974" t="s">
        <v>1401</v>
      </c>
      <c r="C505" s="1046" t="s">
        <v>1447</v>
      </c>
      <c r="D505" s="1046" t="s">
        <v>1448</v>
      </c>
      <c r="E505" s="1043" t="s">
        <v>1450</v>
      </c>
    </row>
    <row r="506" spans="1:5" x14ac:dyDescent="0.25">
      <c r="A506" s="974">
        <v>505</v>
      </c>
      <c r="B506" s="974" t="s">
        <v>1401</v>
      </c>
      <c r="C506" s="1046" t="s">
        <v>1447</v>
      </c>
      <c r="D506" s="1046" t="s">
        <v>1448</v>
      </c>
      <c r="E506" s="1043" t="s">
        <v>1451</v>
      </c>
    </row>
    <row r="507" spans="1:5" x14ac:dyDescent="0.25">
      <c r="A507" s="974">
        <v>506</v>
      </c>
      <c r="B507" s="974" t="s">
        <v>1401</v>
      </c>
      <c r="C507" s="1046" t="s">
        <v>1447</v>
      </c>
      <c r="D507" s="1046" t="s">
        <v>1448</v>
      </c>
      <c r="E507" s="1043" t="s">
        <v>1452</v>
      </c>
    </row>
    <row r="508" spans="1:5" x14ac:dyDescent="0.25">
      <c r="A508" s="974">
        <v>507</v>
      </c>
      <c r="B508" s="974" t="s">
        <v>1401</v>
      </c>
      <c r="C508" s="1046" t="s">
        <v>1447</v>
      </c>
      <c r="D508" s="1046" t="s">
        <v>1448</v>
      </c>
      <c r="E508" s="1043" t="s">
        <v>1453</v>
      </c>
    </row>
    <row r="509" spans="1:5" ht="30" x14ac:dyDescent="0.25">
      <c r="A509" s="974">
        <v>508</v>
      </c>
      <c r="B509" s="974" t="s">
        <v>1351</v>
      </c>
      <c r="C509" s="1046" t="s">
        <v>2136</v>
      </c>
      <c r="D509" s="1046" t="s">
        <v>1454</v>
      </c>
      <c r="E509" s="1043" t="s">
        <v>1455</v>
      </c>
    </row>
    <row r="510" spans="1:5" ht="30" x14ac:dyDescent="0.25">
      <c r="A510" s="974">
        <v>509</v>
      </c>
      <c r="B510" s="974" t="s">
        <v>1351</v>
      </c>
      <c r="C510" s="1046" t="s">
        <v>2136</v>
      </c>
      <c r="D510" s="1046" t="s">
        <v>1454</v>
      </c>
      <c r="E510" s="1043" t="s">
        <v>1240</v>
      </c>
    </row>
    <row r="511" spans="1:5" ht="30" x14ac:dyDescent="0.25">
      <c r="A511" s="974">
        <v>510</v>
      </c>
      <c r="B511" s="974" t="s">
        <v>1351</v>
      </c>
      <c r="C511" s="1046" t="s">
        <v>2136</v>
      </c>
      <c r="D511" s="1046" t="s">
        <v>1454</v>
      </c>
      <c r="E511" s="1043" t="s">
        <v>1241</v>
      </c>
    </row>
    <row r="512" spans="1:5" ht="30" x14ac:dyDescent="0.25">
      <c r="A512" s="974">
        <v>511</v>
      </c>
      <c r="B512" s="974" t="s">
        <v>1351</v>
      </c>
      <c r="C512" s="1046" t="s">
        <v>2136</v>
      </c>
      <c r="D512" s="1046" t="s">
        <v>1456</v>
      </c>
      <c r="E512" s="1043" t="s">
        <v>1244</v>
      </c>
    </row>
    <row r="513" spans="1:5" ht="30" x14ac:dyDescent="0.25">
      <c r="A513" s="974">
        <v>512</v>
      </c>
      <c r="B513" s="974" t="s">
        <v>1351</v>
      </c>
      <c r="C513" s="1046" t="s">
        <v>2136</v>
      </c>
      <c r="D513" s="1046" t="s">
        <v>1457</v>
      </c>
      <c r="E513" s="1043" t="s">
        <v>1242</v>
      </c>
    </row>
    <row r="514" spans="1:5" ht="30" x14ac:dyDescent="0.25">
      <c r="A514" s="974">
        <v>513</v>
      </c>
      <c r="B514" s="974" t="s">
        <v>1279</v>
      </c>
      <c r="C514" s="1046" t="s">
        <v>2136</v>
      </c>
      <c r="D514" s="1046" t="s">
        <v>1458</v>
      </c>
      <c r="E514" s="1043" t="s">
        <v>1268</v>
      </c>
    </row>
    <row r="515" spans="1:5" ht="30" x14ac:dyDescent="0.25">
      <c r="A515" s="974">
        <v>514</v>
      </c>
      <c r="B515" s="974" t="s">
        <v>1279</v>
      </c>
      <c r="C515" s="1046" t="s">
        <v>2136</v>
      </c>
      <c r="D515" s="1046" t="s">
        <v>1458</v>
      </c>
      <c r="E515" s="1043" t="s">
        <v>1459</v>
      </c>
    </row>
    <row r="516" spans="1:5" x14ac:dyDescent="0.25">
      <c r="A516" s="974">
        <v>515</v>
      </c>
      <c r="B516" s="974" t="s">
        <v>1351</v>
      </c>
      <c r="C516" s="1046" t="s">
        <v>1460</v>
      </c>
      <c r="D516" s="1046" t="s">
        <v>1416</v>
      </c>
      <c r="E516" s="1043" t="s">
        <v>1203</v>
      </c>
    </row>
    <row r="517" spans="1:5" x14ac:dyDescent="0.25">
      <c r="A517" s="974">
        <v>516</v>
      </c>
      <c r="B517" s="974" t="s">
        <v>1279</v>
      </c>
      <c r="C517" s="1046" t="s">
        <v>1460</v>
      </c>
      <c r="D517" s="1046" t="s">
        <v>1416</v>
      </c>
      <c r="E517" s="1043" t="s">
        <v>1271</v>
      </c>
    </row>
    <row r="518" spans="1:5" x14ac:dyDescent="0.25">
      <c r="A518" s="974">
        <v>517</v>
      </c>
      <c r="B518" s="974" t="s">
        <v>1279</v>
      </c>
      <c r="C518" s="1046" t="s">
        <v>1460</v>
      </c>
      <c r="D518" s="1046" t="s">
        <v>1416</v>
      </c>
      <c r="E518" s="1043" t="s">
        <v>1272</v>
      </c>
    </row>
    <row r="519" spans="1:5" x14ac:dyDescent="0.25">
      <c r="A519" s="974">
        <v>518</v>
      </c>
      <c r="B519" s="974" t="s">
        <v>1279</v>
      </c>
      <c r="C519" s="1046" t="s">
        <v>1460</v>
      </c>
      <c r="D519" s="1046" t="s">
        <v>1416</v>
      </c>
      <c r="E519" s="1043" t="s">
        <v>1461</v>
      </c>
    </row>
    <row r="520" spans="1:5" x14ac:dyDescent="0.25">
      <c r="A520" s="974">
        <v>519</v>
      </c>
      <c r="B520" s="974" t="s">
        <v>1279</v>
      </c>
      <c r="C520" s="1046" t="s">
        <v>1460</v>
      </c>
      <c r="D520" s="1046" t="s">
        <v>1416</v>
      </c>
      <c r="E520" s="1043" t="s">
        <v>1274</v>
      </c>
    </row>
    <row r="521" spans="1:5" x14ac:dyDescent="0.25">
      <c r="A521" s="974">
        <v>520</v>
      </c>
      <c r="B521" s="974" t="s">
        <v>129</v>
      </c>
      <c r="C521" s="1046" t="s">
        <v>1462</v>
      </c>
      <c r="D521" s="1046" t="s">
        <v>1410</v>
      </c>
      <c r="E521" s="1043" t="s">
        <v>1463</v>
      </c>
    </row>
    <row r="522" spans="1:5" x14ac:dyDescent="0.25">
      <c r="A522" s="974">
        <v>521</v>
      </c>
      <c r="B522" s="974" t="s">
        <v>1516</v>
      </c>
      <c r="C522" s="1046" t="s">
        <v>1710</v>
      </c>
      <c r="D522" s="1046" t="s">
        <v>1543</v>
      </c>
      <c r="E522" s="1042" t="s">
        <v>1491</v>
      </c>
    </row>
    <row r="523" spans="1:5" x14ac:dyDescent="0.25">
      <c r="A523" s="974">
        <v>522</v>
      </c>
      <c r="B523" s="974" t="s">
        <v>1516</v>
      </c>
      <c r="C523" s="1046" t="s">
        <v>1710</v>
      </c>
      <c r="D523" s="1046" t="s">
        <v>1410</v>
      </c>
      <c r="E523" s="1042" t="s">
        <v>1705</v>
      </c>
    </row>
    <row r="524" spans="1:5" x14ac:dyDescent="0.25">
      <c r="A524" s="974">
        <v>523</v>
      </c>
      <c r="B524" s="974" t="s">
        <v>1516</v>
      </c>
      <c r="C524" s="1046" t="s">
        <v>1710</v>
      </c>
      <c r="D524" s="1046" t="s">
        <v>1543</v>
      </c>
      <c r="E524" s="1042" t="s">
        <v>1383</v>
      </c>
    </row>
    <row r="525" spans="1:5" x14ac:dyDescent="0.25">
      <c r="A525" s="974">
        <v>524</v>
      </c>
      <c r="B525" s="974" t="s">
        <v>1516</v>
      </c>
      <c r="C525" s="1046" t="s">
        <v>1710</v>
      </c>
      <c r="D525" s="1046" t="s">
        <v>1543</v>
      </c>
      <c r="E525" s="1042" t="s">
        <v>1380</v>
      </c>
    </row>
    <row r="526" spans="1:5" x14ac:dyDescent="0.25">
      <c r="A526" s="974">
        <v>525</v>
      </c>
      <c r="B526" s="974" t="s">
        <v>1516</v>
      </c>
      <c r="C526" s="1046" t="s">
        <v>1710</v>
      </c>
      <c r="D526" s="1046" t="s">
        <v>1543</v>
      </c>
      <c r="E526" s="1042" t="s">
        <v>1381</v>
      </c>
    </row>
    <row r="527" spans="1:5" x14ac:dyDescent="0.25">
      <c r="A527" s="974">
        <v>526</v>
      </c>
      <c r="B527" s="974" t="s">
        <v>1516</v>
      </c>
      <c r="C527" s="1046" t="s">
        <v>1710</v>
      </c>
      <c r="D527" s="1046" t="s">
        <v>1543</v>
      </c>
      <c r="E527" s="1042" t="s">
        <v>1397</v>
      </c>
    </row>
    <row r="528" spans="1:5" x14ac:dyDescent="0.25">
      <c r="A528" s="974">
        <v>527</v>
      </c>
      <c r="B528" s="974" t="s">
        <v>1516</v>
      </c>
      <c r="C528" s="1046" t="s">
        <v>1710</v>
      </c>
      <c r="D528" s="1046" t="s">
        <v>1410</v>
      </c>
      <c r="E528" s="1042" t="s">
        <v>1382</v>
      </c>
    </row>
    <row r="529" spans="1:5" x14ac:dyDescent="0.25">
      <c r="A529" s="974">
        <v>528</v>
      </c>
      <c r="B529" s="974" t="s">
        <v>1516</v>
      </c>
      <c r="C529" s="1046" t="s">
        <v>1710</v>
      </c>
      <c r="D529" s="1046" t="s">
        <v>1543</v>
      </c>
      <c r="E529" s="1042" t="s">
        <v>1486</v>
      </c>
    </row>
    <row r="530" spans="1:5" x14ac:dyDescent="0.25">
      <c r="A530" s="974">
        <v>529</v>
      </c>
      <c r="B530" s="974" t="s">
        <v>1516</v>
      </c>
      <c r="C530" s="1046" t="s">
        <v>1710</v>
      </c>
      <c r="D530" s="1046" t="s">
        <v>1543</v>
      </c>
      <c r="E530" s="1042" t="s">
        <v>1487</v>
      </c>
    </row>
    <row r="531" spans="1:5" x14ac:dyDescent="0.25">
      <c r="A531" s="974">
        <v>530</v>
      </c>
      <c r="B531" s="974" t="s">
        <v>1516</v>
      </c>
      <c r="C531" s="1046" t="s">
        <v>1710</v>
      </c>
      <c r="D531" s="1046" t="s">
        <v>1410</v>
      </c>
      <c r="E531" s="1042" t="s">
        <v>1488</v>
      </c>
    </row>
    <row r="532" spans="1:5" ht="30" x14ac:dyDescent="0.25">
      <c r="A532" s="974">
        <v>531</v>
      </c>
      <c r="B532" s="974" t="s">
        <v>1516</v>
      </c>
      <c r="C532" s="1046" t="s">
        <v>1710</v>
      </c>
      <c r="D532" s="1046" t="s">
        <v>1544</v>
      </c>
      <c r="E532" s="1042" t="s">
        <v>1385</v>
      </c>
    </row>
    <row r="533" spans="1:5" ht="30" x14ac:dyDescent="0.25">
      <c r="A533" s="974">
        <v>532</v>
      </c>
      <c r="B533" s="974" t="s">
        <v>1516</v>
      </c>
      <c r="C533" s="1046" t="s">
        <v>1710</v>
      </c>
      <c r="D533" s="1046" t="s">
        <v>1544</v>
      </c>
      <c r="E533" s="1042" t="s">
        <v>1386</v>
      </c>
    </row>
    <row r="534" spans="1:5" ht="30" x14ac:dyDescent="0.25">
      <c r="A534" s="974">
        <v>533</v>
      </c>
      <c r="B534" s="974" t="s">
        <v>1516</v>
      </c>
      <c r="C534" s="1046" t="s">
        <v>1710</v>
      </c>
      <c r="D534" s="1046" t="s">
        <v>1544</v>
      </c>
      <c r="E534" s="1042" t="s">
        <v>1495</v>
      </c>
    </row>
    <row r="535" spans="1:5" x14ac:dyDescent="0.25">
      <c r="A535" s="974">
        <v>534</v>
      </c>
      <c r="B535" s="974" t="s">
        <v>1516</v>
      </c>
      <c r="C535" s="1046" t="s">
        <v>1710</v>
      </c>
      <c r="D535" s="1046" t="s">
        <v>1410</v>
      </c>
      <c r="E535" s="1042" t="s">
        <v>1492</v>
      </c>
    </row>
    <row r="536" spans="1:5" x14ac:dyDescent="0.25">
      <c r="A536" s="974">
        <v>535</v>
      </c>
      <c r="B536" s="974" t="s">
        <v>1516</v>
      </c>
      <c r="C536" s="1046" t="s">
        <v>1710</v>
      </c>
      <c r="D536" s="1046" t="s">
        <v>1543</v>
      </c>
      <c r="E536" s="1042" t="s">
        <v>1389</v>
      </c>
    </row>
    <row r="537" spans="1:5" x14ac:dyDescent="0.25">
      <c r="A537" s="974">
        <v>536</v>
      </c>
      <c r="B537" s="974" t="s">
        <v>1516</v>
      </c>
      <c r="C537" s="1046" t="s">
        <v>1711</v>
      </c>
      <c r="D537" s="1046" t="s">
        <v>1543</v>
      </c>
      <c r="E537" s="1042" t="s">
        <v>1491</v>
      </c>
    </row>
    <row r="538" spans="1:5" x14ac:dyDescent="0.25">
      <c r="A538" s="974">
        <v>537</v>
      </c>
      <c r="B538" s="974" t="s">
        <v>1516</v>
      </c>
      <c r="C538" s="1046" t="s">
        <v>1711</v>
      </c>
      <c r="D538" s="1046" t="s">
        <v>1410</v>
      </c>
      <c r="E538" s="1042" t="s">
        <v>1705</v>
      </c>
    </row>
    <row r="539" spans="1:5" x14ac:dyDescent="0.25">
      <c r="A539" s="974">
        <v>538</v>
      </c>
      <c r="B539" s="974" t="s">
        <v>1516</v>
      </c>
      <c r="C539" s="1046" t="s">
        <v>1711</v>
      </c>
      <c r="D539" s="1046" t="s">
        <v>1543</v>
      </c>
      <c r="E539" s="1042" t="s">
        <v>1383</v>
      </c>
    </row>
    <row r="540" spans="1:5" x14ac:dyDescent="0.25">
      <c r="A540" s="974">
        <v>539</v>
      </c>
      <c r="B540" s="974" t="s">
        <v>1516</v>
      </c>
      <c r="C540" s="1046" t="s">
        <v>1711</v>
      </c>
      <c r="D540" s="1046" t="s">
        <v>1543</v>
      </c>
      <c r="E540" s="1042" t="s">
        <v>1380</v>
      </c>
    </row>
    <row r="541" spans="1:5" x14ac:dyDescent="0.25">
      <c r="A541" s="974">
        <v>540</v>
      </c>
      <c r="B541" s="974" t="s">
        <v>1516</v>
      </c>
      <c r="C541" s="1046" t="s">
        <v>1711</v>
      </c>
      <c r="D541" s="1046" t="s">
        <v>1543</v>
      </c>
      <c r="E541" s="1042" t="s">
        <v>1381</v>
      </c>
    </row>
    <row r="542" spans="1:5" x14ac:dyDescent="0.25">
      <c r="A542" s="974">
        <v>541</v>
      </c>
      <c r="B542" s="974" t="s">
        <v>1516</v>
      </c>
      <c r="C542" s="1046" t="s">
        <v>1711</v>
      </c>
      <c r="D542" s="1046" t="s">
        <v>1543</v>
      </c>
      <c r="E542" s="1042" t="s">
        <v>1397</v>
      </c>
    </row>
    <row r="543" spans="1:5" x14ac:dyDescent="0.25">
      <c r="A543" s="974">
        <v>542</v>
      </c>
      <c r="B543" s="974" t="s">
        <v>1516</v>
      </c>
      <c r="C543" s="1046" t="s">
        <v>1711</v>
      </c>
      <c r="D543" s="1046" t="s">
        <v>1410</v>
      </c>
      <c r="E543" s="1042" t="s">
        <v>1382</v>
      </c>
    </row>
    <row r="544" spans="1:5" x14ac:dyDescent="0.25">
      <c r="A544" s="974">
        <v>543</v>
      </c>
      <c r="B544" s="974" t="s">
        <v>1516</v>
      </c>
      <c r="C544" s="1046" t="s">
        <v>1711</v>
      </c>
      <c r="D544" s="1046" t="s">
        <v>1543</v>
      </c>
      <c r="E544" s="1042" t="s">
        <v>1486</v>
      </c>
    </row>
    <row r="545" spans="1:5" x14ac:dyDescent="0.25">
      <c r="A545" s="974">
        <v>544</v>
      </c>
      <c r="B545" s="974" t="s">
        <v>1516</v>
      </c>
      <c r="C545" s="1046" t="s">
        <v>1711</v>
      </c>
      <c r="D545" s="1046" t="s">
        <v>1543</v>
      </c>
      <c r="E545" s="1042" t="s">
        <v>1487</v>
      </c>
    </row>
    <row r="546" spans="1:5" x14ac:dyDescent="0.25">
      <c r="A546" s="974">
        <v>545</v>
      </c>
      <c r="B546" s="974" t="s">
        <v>1516</v>
      </c>
      <c r="C546" s="1046" t="s">
        <v>1711</v>
      </c>
      <c r="D546" s="1046" t="s">
        <v>1410</v>
      </c>
      <c r="E546" s="1042" t="s">
        <v>1488</v>
      </c>
    </row>
    <row r="547" spans="1:5" ht="30" x14ac:dyDescent="0.25">
      <c r="A547" s="974">
        <v>546</v>
      </c>
      <c r="B547" s="974" t="s">
        <v>1516</v>
      </c>
      <c r="C547" s="1046" t="s">
        <v>1711</v>
      </c>
      <c r="D547" s="1046" t="s">
        <v>1544</v>
      </c>
      <c r="E547" s="1042" t="s">
        <v>1385</v>
      </c>
    </row>
    <row r="548" spans="1:5" ht="30" x14ac:dyDescent="0.25">
      <c r="A548" s="974">
        <v>547</v>
      </c>
      <c r="B548" s="974" t="s">
        <v>1516</v>
      </c>
      <c r="C548" s="1046" t="s">
        <v>1711</v>
      </c>
      <c r="D548" s="1046" t="s">
        <v>1544</v>
      </c>
      <c r="E548" s="1042" t="s">
        <v>1386</v>
      </c>
    </row>
    <row r="549" spans="1:5" ht="30" x14ac:dyDescent="0.25">
      <c r="A549" s="974">
        <v>548</v>
      </c>
      <c r="B549" s="974" t="s">
        <v>1516</v>
      </c>
      <c r="C549" s="1046" t="s">
        <v>1711</v>
      </c>
      <c r="D549" s="1046" t="s">
        <v>1544</v>
      </c>
      <c r="E549" s="1042" t="s">
        <v>1495</v>
      </c>
    </row>
    <row r="550" spans="1:5" x14ac:dyDescent="0.25">
      <c r="A550" s="974">
        <v>549</v>
      </c>
      <c r="B550" s="974" t="s">
        <v>1516</v>
      </c>
      <c r="C550" s="1046" t="s">
        <v>1711</v>
      </c>
      <c r="D550" s="1046" t="s">
        <v>1410</v>
      </c>
      <c r="E550" s="1042" t="s">
        <v>1492</v>
      </c>
    </row>
    <row r="551" spans="1:5" x14ac:dyDescent="0.25">
      <c r="A551" s="974">
        <v>550</v>
      </c>
      <c r="B551" s="974" t="s">
        <v>1516</v>
      </c>
      <c r="C551" s="1046" t="s">
        <v>1711</v>
      </c>
      <c r="D551" s="1046" t="s">
        <v>1543</v>
      </c>
      <c r="E551" s="1042" t="s">
        <v>1389</v>
      </c>
    </row>
    <row r="552" spans="1:5" x14ac:dyDescent="0.25">
      <c r="A552" s="974">
        <v>551</v>
      </c>
      <c r="B552" s="974" t="s">
        <v>1516</v>
      </c>
      <c r="C552" s="1046" t="s">
        <v>1546</v>
      </c>
      <c r="D552" s="1046" t="s">
        <v>1545</v>
      </c>
      <c r="E552" s="1042" t="s">
        <v>1491</v>
      </c>
    </row>
    <row r="553" spans="1:5" x14ac:dyDescent="0.25">
      <c r="A553" s="974">
        <v>552</v>
      </c>
      <c r="B553" s="974" t="s">
        <v>1516</v>
      </c>
      <c r="C553" s="1046" t="s">
        <v>1546</v>
      </c>
      <c r="D553" s="1046" t="s">
        <v>1410</v>
      </c>
      <c r="E553" s="1042" t="s">
        <v>1705</v>
      </c>
    </row>
    <row r="554" spans="1:5" x14ac:dyDescent="0.25">
      <c r="A554" s="974">
        <v>553</v>
      </c>
      <c r="B554" s="974" t="s">
        <v>1516</v>
      </c>
      <c r="C554" s="1046" t="s">
        <v>1546</v>
      </c>
      <c r="D554" s="1046" t="s">
        <v>1545</v>
      </c>
      <c r="E554" s="1042" t="s">
        <v>1383</v>
      </c>
    </row>
    <row r="555" spans="1:5" x14ac:dyDescent="0.25">
      <c r="A555" s="974">
        <v>554</v>
      </c>
      <c r="B555" s="974" t="s">
        <v>1516</v>
      </c>
      <c r="C555" s="1046" t="s">
        <v>1546</v>
      </c>
      <c r="D555" s="1046" t="s">
        <v>1545</v>
      </c>
      <c r="E555" s="1042" t="s">
        <v>1380</v>
      </c>
    </row>
    <row r="556" spans="1:5" x14ac:dyDescent="0.25">
      <c r="A556" s="974">
        <v>555</v>
      </c>
      <c r="B556" s="974" t="s">
        <v>1516</v>
      </c>
      <c r="C556" s="1046" t="s">
        <v>1546</v>
      </c>
      <c r="D556" s="1046" t="s">
        <v>1545</v>
      </c>
      <c r="E556" s="1042" t="s">
        <v>1381</v>
      </c>
    </row>
    <row r="557" spans="1:5" x14ac:dyDescent="0.25">
      <c r="A557" s="974">
        <v>556</v>
      </c>
      <c r="B557" s="974" t="s">
        <v>1516</v>
      </c>
      <c r="C557" s="1046" t="s">
        <v>1546</v>
      </c>
      <c r="D557" s="1046" t="s">
        <v>1545</v>
      </c>
      <c r="E557" s="1042" t="s">
        <v>1397</v>
      </c>
    </row>
    <row r="558" spans="1:5" x14ac:dyDescent="0.25">
      <c r="A558" s="974">
        <v>557</v>
      </c>
      <c r="B558" s="974" t="s">
        <v>1516</v>
      </c>
      <c r="C558" s="1046" t="s">
        <v>1546</v>
      </c>
      <c r="D558" s="1046" t="s">
        <v>1410</v>
      </c>
      <c r="E558" s="1042" t="s">
        <v>1382</v>
      </c>
    </row>
    <row r="559" spans="1:5" x14ac:dyDescent="0.25">
      <c r="A559" s="974">
        <v>558</v>
      </c>
      <c r="B559" s="974" t="s">
        <v>1516</v>
      </c>
      <c r="C559" s="1046" t="s">
        <v>1546</v>
      </c>
      <c r="D559" s="1046" t="s">
        <v>1545</v>
      </c>
      <c r="E559" s="1042" t="s">
        <v>1486</v>
      </c>
    </row>
    <row r="560" spans="1:5" x14ac:dyDescent="0.25">
      <c r="A560" s="974">
        <v>559</v>
      </c>
      <c r="B560" s="974" t="s">
        <v>1516</v>
      </c>
      <c r="C560" s="1046" t="s">
        <v>1546</v>
      </c>
      <c r="D560" s="1046" t="s">
        <v>1545</v>
      </c>
      <c r="E560" s="1042" t="s">
        <v>1487</v>
      </c>
    </row>
    <row r="561" spans="1:5" x14ac:dyDescent="0.25">
      <c r="A561" s="974">
        <v>560</v>
      </c>
      <c r="B561" s="974" t="s">
        <v>1516</v>
      </c>
      <c r="C561" s="1046" t="s">
        <v>1546</v>
      </c>
      <c r="D561" s="1046" t="s">
        <v>1410</v>
      </c>
      <c r="E561" s="1042" t="s">
        <v>1488</v>
      </c>
    </row>
    <row r="562" spans="1:5" ht="30" x14ac:dyDescent="0.25">
      <c r="A562" s="974">
        <v>561</v>
      </c>
      <c r="B562" s="974" t="s">
        <v>1516</v>
      </c>
      <c r="C562" s="1046" t="s">
        <v>1546</v>
      </c>
      <c r="D562" s="1046" t="s">
        <v>1544</v>
      </c>
      <c r="E562" s="1042" t="s">
        <v>1385</v>
      </c>
    </row>
    <row r="563" spans="1:5" ht="30" x14ac:dyDescent="0.25">
      <c r="A563" s="974">
        <v>562</v>
      </c>
      <c r="B563" s="974" t="s">
        <v>1516</v>
      </c>
      <c r="C563" s="1046" t="s">
        <v>1546</v>
      </c>
      <c r="D563" s="1046" t="s">
        <v>1544</v>
      </c>
      <c r="E563" s="1042" t="s">
        <v>1386</v>
      </c>
    </row>
    <row r="564" spans="1:5" ht="30" x14ac:dyDescent="0.25">
      <c r="A564" s="974">
        <v>563</v>
      </c>
      <c r="B564" s="974" t="s">
        <v>1516</v>
      </c>
      <c r="C564" s="1046" t="s">
        <v>1546</v>
      </c>
      <c r="D564" s="1046" t="s">
        <v>1544</v>
      </c>
      <c r="E564" s="1042" t="s">
        <v>1495</v>
      </c>
    </row>
    <row r="565" spans="1:5" x14ac:dyDescent="0.25">
      <c r="A565" s="974">
        <v>564</v>
      </c>
      <c r="B565" s="974" t="s">
        <v>1516</v>
      </c>
      <c r="C565" s="1046" t="s">
        <v>1546</v>
      </c>
      <c r="D565" s="1046" t="s">
        <v>1410</v>
      </c>
      <c r="E565" s="1042" t="s">
        <v>1492</v>
      </c>
    </row>
    <row r="566" spans="1:5" x14ac:dyDescent="0.25">
      <c r="A566" s="974">
        <v>565</v>
      </c>
      <c r="B566" s="974" t="s">
        <v>1516</v>
      </c>
      <c r="C566" s="1046" t="s">
        <v>1546</v>
      </c>
      <c r="D566" s="1046" t="s">
        <v>1545</v>
      </c>
      <c r="E566" s="1042" t="s">
        <v>1506</v>
      </c>
    </row>
    <row r="567" spans="1:5" x14ac:dyDescent="0.25">
      <c r="A567" s="974">
        <v>566</v>
      </c>
      <c r="B567" s="974" t="s">
        <v>1516</v>
      </c>
      <c r="C567" s="1046" t="s">
        <v>1547</v>
      </c>
      <c r="D567" s="1046" t="s">
        <v>1545</v>
      </c>
      <c r="E567" s="1042" t="s">
        <v>1387</v>
      </c>
    </row>
    <row r="568" spans="1:5" x14ac:dyDescent="0.25">
      <c r="A568" s="974">
        <v>567</v>
      </c>
      <c r="B568" s="974" t="s">
        <v>1516</v>
      </c>
      <c r="C568" s="1046" t="s">
        <v>1547</v>
      </c>
      <c r="D568" s="1046" t="s">
        <v>1545</v>
      </c>
      <c r="E568" s="1042" t="s">
        <v>1388</v>
      </c>
    </row>
    <row r="569" spans="1:5" x14ac:dyDescent="0.25">
      <c r="A569" s="974">
        <v>568</v>
      </c>
      <c r="B569" s="974" t="s">
        <v>1516</v>
      </c>
      <c r="C569" s="1046" t="s">
        <v>1547</v>
      </c>
      <c r="D569" s="1046" t="s">
        <v>1545</v>
      </c>
      <c r="E569" s="1042" t="s">
        <v>1104</v>
      </c>
    </row>
    <row r="570" spans="1:5" x14ac:dyDescent="0.25">
      <c r="A570" s="974">
        <v>569</v>
      </c>
      <c r="B570" s="974" t="s">
        <v>1516</v>
      </c>
      <c r="C570" s="1046" t="s">
        <v>1546</v>
      </c>
      <c r="D570" s="1046" t="s">
        <v>1545</v>
      </c>
      <c r="E570" s="1042" t="s">
        <v>1508</v>
      </c>
    </row>
    <row r="571" spans="1:5" x14ac:dyDescent="0.25">
      <c r="A571" s="974">
        <v>570</v>
      </c>
      <c r="B571" s="974" t="s">
        <v>1516</v>
      </c>
      <c r="C571" s="1046" t="s">
        <v>1548</v>
      </c>
      <c r="D571" s="1046" t="s">
        <v>1545</v>
      </c>
      <c r="E571" s="1042" t="s">
        <v>1491</v>
      </c>
    </row>
    <row r="572" spans="1:5" x14ac:dyDescent="0.25">
      <c r="A572" s="974">
        <v>571</v>
      </c>
      <c r="B572" s="974" t="s">
        <v>1516</v>
      </c>
      <c r="C572" s="1046" t="s">
        <v>1548</v>
      </c>
      <c r="D572" s="1046" t="s">
        <v>1410</v>
      </c>
      <c r="E572" s="1042" t="s">
        <v>1705</v>
      </c>
    </row>
    <row r="573" spans="1:5" x14ac:dyDescent="0.25">
      <c r="A573" s="974">
        <v>572</v>
      </c>
      <c r="B573" s="974" t="s">
        <v>1516</v>
      </c>
      <c r="C573" s="1046" t="s">
        <v>1548</v>
      </c>
      <c r="D573" s="1046" t="s">
        <v>1545</v>
      </c>
      <c r="E573" s="1042" t="s">
        <v>1383</v>
      </c>
    </row>
    <row r="574" spans="1:5" x14ac:dyDescent="0.25">
      <c r="A574" s="974">
        <v>573</v>
      </c>
      <c r="B574" s="974" t="s">
        <v>1516</v>
      </c>
      <c r="C574" s="1046" t="s">
        <v>1548</v>
      </c>
      <c r="D574" s="1046" t="s">
        <v>1545</v>
      </c>
      <c r="E574" s="1042" t="s">
        <v>1380</v>
      </c>
    </row>
    <row r="575" spans="1:5" x14ac:dyDescent="0.25">
      <c r="A575" s="974">
        <v>574</v>
      </c>
      <c r="B575" s="974" t="s">
        <v>1516</v>
      </c>
      <c r="C575" s="1046" t="s">
        <v>1548</v>
      </c>
      <c r="D575" s="1046" t="s">
        <v>1545</v>
      </c>
      <c r="E575" s="1042" t="s">
        <v>1381</v>
      </c>
    </row>
    <row r="576" spans="1:5" x14ac:dyDescent="0.25">
      <c r="A576" s="974">
        <v>575</v>
      </c>
      <c r="B576" s="974" t="s">
        <v>1516</v>
      </c>
      <c r="C576" s="1046" t="s">
        <v>1548</v>
      </c>
      <c r="D576" s="1046" t="s">
        <v>1545</v>
      </c>
      <c r="E576" s="1042" t="s">
        <v>1397</v>
      </c>
    </row>
    <row r="577" spans="1:5" x14ac:dyDescent="0.25">
      <c r="A577" s="974">
        <v>576</v>
      </c>
      <c r="B577" s="974" t="s">
        <v>1516</v>
      </c>
      <c r="C577" s="1046" t="s">
        <v>1548</v>
      </c>
      <c r="D577" s="1046" t="s">
        <v>1410</v>
      </c>
      <c r="E577" s="1042" t="s">
        <v>1382</v>
      </c>
    </row>
    <row r="578" spans="1:5" x14ac:dyDescent="0.25">
      <c r="A578" s="974">
        <v>577</v>
      </c>
      <c r="B578" s="974" t="s">
        <v>1516</v>
      </c>
      <c r="C578" s="1046" t="s">
        <v>1548</v>
      </c>
      <c r="D578" s="1046" t="s">
        <v>1545</v>
      </c>
      <c r="E578" s="1042" t="s">
        <v>1486</v>
      </c>
    </row>
    <row r="579" spans="1:5" x14ac:dyDescent="0.25">
      <c r="A579" s="974">
        <v>578</v>
      </c>
      <c r="B579" s="974" t="s">
        <v>1516</v>
      </c>
      <c r="C579" s="1046" t="s">
        <v>1548</v>
      </c>
      <c r="D579" s="1046" t="s">
        <v>1545</v>
      </c>
      <c r="E579" s="1042" t="s">
        <v>1487</v>
      </c>
    </row>
    <row r="580" spans="1:5" x14ac:dyDescent="0.25">
      <c r="A580" s="974">
        <v>579</v>
      </c>
      <c r="B580" s="974" t="s">
        <v>1516</v>
      </c>
      <c r="C580" s="1046" t="s">
        <v>1548</v>
      </c>
      <c r="D580" s="1046" t="s">
        <v>1410</v>
      </c>
      <c r="E580" s="1042" t="s">
        <v>1488</v>
      </c>
    </row>
    <row r="581" spans="1:5" ht="30" x14ac:dyDescent="0.25">
      <c r="A581" s="974">
        <v>580</v>
      </c>
      <c r="B581" s="974" t="s">
        <v>1516</v>
      </c>
      <c r="C581" s="1046" t="s">
        <v>1548</v>
      </c>
      <c r="D581" s="1046" t="s">
        <v>1544</v>
      </c>
      <c r="E581" s="1042" t="s">
        <v>1385</v>
      </c>
    </row>
    <row r="582" spans="1:5" ht="30" x14ac:dyDescent="0.25">
      <c r="A582" s="974">
        <v>581</v>
      </c>
      <c r="B582" s="974" t="s">
        <v>1516</v>
      </c>
      <c r="C582" s="1046" t="s">
        <v>1548</v>
      </c>
      <c r="D582" s="1046" t="s">
        <v>1544</v>
      </c>
      <c r="E582" s="1042" t="s">
        <v>1386</v>
      </c>
    </row>
    <row r="583" spans="1:5" ht="30" x14ac:dyDescent="0.25">
      <c r="A583" s="974">
        <v>582</v>
      </c>
      <c r="B583" s="974" t="s">
        <v>1516</v>
      </c>
      <c r="C583" s="1046" t="s">
        <v>1548</v>
      </c>
      <c r="D583" s="1046" t="s">
        <v>1544</v>
      </c>
      <c r="E583" s="1042" t="s">
        <v>1495</v>
      </c>
    </row>
    <row r="584" spans="1:5" x14ac:dyDescent="0.25">
      <c r="A584" s="974">
        <v>583</v>
      </c>
      <c r="B584" s="974" t="s">
        <v>1516</v>
      </c>
      <c r="C584" s="1046" t="s">
        <v>1548</v>
      </c>
      <c r="D584" s="1046" t="s">
        <v>1410</v>
      </c>
      <c r="E584" s="1042" t="s">
        <v>1492</v>
      </c>
    </row>
    <row r="585" spans="1:5" x14ac:dyDescent="0.25">
      <c r="A585" s="974">
        <v>584</v>
      </c>
      <c r="B585" s="974" t="s">
        <v>1516</v>
      </c>
      <c r="C585" s="1046" t="s">
        <v>1548</v>
      </c>
      <c r="D585" s="1046" t="s">
        <v>1545</v>
      </c>
      <c r="E585" s="1042" t="s">
        <v>1506</v>
      </c>
    </row>
    <row r="586" spans="1:5" x14ac:dyDescent="0.25">
      <c r="A586" s="974">
        <v>585</v>
      </c>
      <c r="B586" s="974" t="s">
        <v>1516</v>
      </c>
      <c r="C586" s="1046" t="s">
        <v>1549</v>
      </c>
      <c r="D586" s="1046" t="s">
        <v>1545</v>
      </c>
      <c r="E586" s="1042" t="s">
        <v>1387</v>
      </c>
    </row>
    <row r="587" spans="1:5" x14ac:dyDescent="0.25">
      <c r="A587" s="974">
        <v>586</v>
      </c>
      <c r="B587" s="974" t="s">
        <v>1516</v>
      </c>
      <c r="C587" s="1046" t="s">
        <v>1549</v>
      </c>
      <c r="D587" s="1046" t="s">
        <v>1545</v>
      </c>
      <c r="E587" s="1042" t="s">
        <v>1388</v>
      </c>
    </row>
    <row r="588" spans="1:5" x14ac:dyDescent="0.25">
      <c r="A588" s="974">
        <v>587</v>
      </c>
      <c r="B588" s="974" t="s">
        <v>1516</v>
      </c>
      <c r="C588" s="1046" t="s">
        <v>1549</v>
      </c>
      <c r="D588" s="1046" t="s">
        <v>1545</v>
      </c>
      <c r="E588" s="1042" t="s">
        <v>1389</v>
      </c>
    </row>
    <row r="589" spans="1:5" x14ac:dyDescent="0.25">
      <c r="A589" s="974">
        <v>588</v>
      </c>
      <c r="B589" s="974" t="s">
        <v>1516</v>
      </c>
      <c r="C589" s="1046" t="s">
        <v>1548</v>
      </c>
      <c r="D589" s="1046" t="s">
        <v>1545</v>
      </c>
      <c r="E589" s="1042" t="s">
        <v>1508</v>
      </c>
    </row>
    <row r="590" spans="1:5" x14ac:dyDescent="0.25">
      <c r="A590" s="974">
        <v>589</v>
      </c>
      <c r="B590" s="974" t="s">
        <v>1516</v>
      </c>
      <c r="C590" s="1046" t="s">
        <v>1550</v>
      </c>
      <c r="D590" s="1046" t="s">
        <v>1513</v>
      </c>
      <c r="E590" s="1042" t="s">
        <v>1491</v>
      </c>
    </row>
    <row r="591" spans="1:5" x14ac:dyDescent="0.25">
      <c r="A591" s="974">
        <v>590</v>
      </c>
      <c r="B591" s="974" t="s">
        <v>1516</v>
      </c>
      <c r="C591" s="1046" t="s">
        <v>1550</v>
      </c>
      <c r="D591" s="1046" t="s">
        <v>1410</v>
      </c>
      <c r="E591" s="1042" t="s">
        <v>1705</v>
      </c>
    </row>
    <row r="592" spans="1:5" x14ac:dyDescent="0.25">
      <c r="A592" s="974">
        <v>591</v>
      </c>
      <c r="B592" s="974" t="s">
        <v>1516</v>
      </c>
      <c r="C592" s="1046" t="s">
        <v>1550</v>
      </c>
      <c r="D592" s="1046" t="s">
        <v>1513</v>
      </c>
      <c r="E592" s="1042" t="s">
        <v>1383</v>
      </c>
    </row>
    <row r="593" spans="1:5" x14ac:dyDescent="0.25">
      <c r="A593" s="974">
        <v>592</v>
      </c>
      <c r="B593" s="974" t="s">
        <v>1516</v>
      </c>
      <c r="C593" s="1046" t="s">
        <v>1550</v>
      </c>
      <c r="D593" s="1046" t="s">
        <v>1513</v>
      </c>
      <c r="E593" s="1042" t="s">
        <v>1380</v>
      </c>
    </row>
    <row r="594" spans="1:5" x14ac:dyDescent="0.25">
      <c r="A594" s="974">
        <v>593</v>
      </c>
      <c r="B594" s="974" t="s">
        <v>1516</v>
      </c>
      <c r="C594" s="1046" t="s">
        <v>1550</v>
      </c>
      <c r="D594" s="1046" t="s">
        <v>1513</v>
      </c>
      <c r="E594" s="1042" t="s">
        <v>1381</v>
      </c>
    </row>
    <row r="595" spans="1:5" x14ac:dyDescent="0.25">
      <c r="A595" s="974">
        <v>594</v>
      </c>
      <c r="B595" s="974" t="s">
        <v>1516</v>
      </c>
      <c r="C595" s="1046" t="s">
        <v>1550</v>
      </c>
      <c r="D595" s="1046" t="s">
        <v>1513</v>
      </c>
      <c r="E595" s="1042" t="s">
        <v>1397</v>
      </c>
    </row>
    <row r="596" spans="1:5" x14ac:dyDescent="0.25">
      <c r="A596" s="974">
        <v>595</v>
      </c>
      <c r="B596" s="974" t="s">
        <v>1516</v>
      </c>
      <c r="C596" s="1046" t="s">
        <v>1550</v>
      </c>
      <c r="D596" s="1046" t="s">
        <v>1513</v>
      </c>
      <c r="E596" s="1042" t="s">
        <v>1382</v>
      </c>
    </row>
    <row r="597" spans="1:5" x14ac:dyDescent="0.25">
      <c r="A597" s="974">
        <v>596</v>
      </c>
      <c r="B597" s="974" t="s">
        <v>1516</v>
      </c>
      <c r="C597" s="1046" t="s">
        <v>1550</v>
      </c>
      <c r="D597" s="1046" t="s">
        <v>1513</v>
      </c>
      <c r="E597" s="1042" t="s">
        <v>1486</v>
      </c>
    </row>
    <row r="598" spans="1:5" x14ac:dyDescent="0.25">
      <c r="A598" s="974">
        <v>597</v>
      </c>
      <c r="B598" s="974" t="s">
        <v>1516</v>
      </c>
      <c r="C598" s="1046" t="s">
        <v>1550</v>
      </c>
      <c r="D598" s="1046" t="s">
        <v>1513</v>
      </c>
      <c r="E598" s="1042" t="s">
        <v>1487</v>
      </c>
    </row>
    <row r="599" spans="1:5" x14ac:dyDescent="0.25">
      <c r="A599" s="974">
        <v>598</v>
      </c>
      <c r="B599" s="974" t="s">
        <v>1516</v>
      </c>
      <c r="C599" s="1046" t="s">
        <v>1550</v>
      </c>
      <c r="D599" s="1046" t="s">
        <v>1410</v>
      </c>
      <c r="E599" s="1042" t="s">
        <v>1488</v>
      </c>
    </row>
    <row r="600" spans="1:5" ht="30" x14ac:dyDescent="0.25">
      <c r="A600" s="974">
        <v>599</v>
      </c>
      <c r="B600" s="974" t="s">
        <v>1516</v>
      </c>
      <c r="C600" s="1046" t="s">
        <v>1550</v>
      </c>
      <c r="D600" s="1046" t="s">
        <v>1544</v>
      </c>
      <c r="E600" s="1042" t="s">
        <v>1385</v>
      </c>
    </row>
    <row r="601" spans="1:5" ht="30" x14ac:dyDescent="0.25">
      <c r="A601" s="974">
        <v>600</v>
      </c>
      <c r="B601" s="974" t="s">
        <v>1516</v>
      </c>
      <c r="C601" s="1046" t="s">
        <v>1550</v>
      </c>
      <c r="D601" s="1046" t="s">
        <v>1544</v>
      </c>
      <c r="E601" s="1042" t="s">
        <v>1386</v>
      </c>
    </row>
    <row r="602" spans="1:5" ht="30" x14ac:dyDescent="0.25">
      <c r="A602" s="974">
        <v>601</v>
      </c>
      <c r="B602" s="974" t="s">
        <v>1516</v>
      </c>
      <c r="C602" s="1046" t="s">
        <v>1550</v>
      </c>
      <c r="D602" s="1046" t="s">
        <v>1544</v>
      </c>
      <c r="E602" s="1042" t="s">
        <v>1495</v>
      </c>
    </row>
    <row r="603" spans="1:5" x14ac:dyDescent="0.25">
      <c r="A603" s="974">
        <v>602</v>
      </c>
      <c r="B603" s="974" t="s">
        <v>1516</v>
      </c>
      <c r="C603" s="1046" t="s">
        <v>1550</v>
      </c>
      <c r="D603" s="1046" t="s">
        <v>1410</v>
      </c>
      <c r="E603" s="1042" t="s">
        <v>1492</v>
      </c>
    </row>
    <row r="604" spans="1:5" x14ac:dyDescent="0.25">
      <c r="A604" s="974">
        <v>603</v>
      </c>
      <c r="B604" s="974" t="s">
        <v>1516</v>
      </c>
      <c r="C604" s="1046" t="s">
        <v>1550</v>
      </c>
      <c r="D604" s="1046" t="s">
        <v>1513</v>
      </c>
      <c r="E604" s="1042" t="s">
        <v>1506</v>
      </c>
    </row>
    <row r="605" spans="1:5" x14ac:dyDescent="0.25">
      <c r="A605" s="974">
        <v>604</v>
      </c>
      <c r="B605" s="974" t="s">
        <v>1516</v>
      </c>
      <c r="C605" s="1046" t="s">
        <v>1551</v>
      </c>
      <c r="D605" s="1046" t="s">
        <v>1513</v>
      </c>
      <c r="E605" s="1042" t="s">
        <v>1387</v>
      </c>
    </row>
    <row r="606" spans="1:5" x14ac:dyDescent="0.25">
      <c r="A606" s="974">
        <v>605</v>
      </c>
      <c r="B606" s="974" t="s">
        <v>1516</v>
      </c>
      <c r="C606" s="1046" t="s">
        <v>1551</v>
      </c>
      <c r="D606" s="1046" t="s">
        <v>1513</v>
      </c>
      <c r="E606" s="1042" t="s">
        <v>1388</v>
      </c>
    </row>
    <row r="607" spans="1:5" x14ac:dyDescent="0.25">
      <c r="A607" s="974">
        <v>606</v>
      </c>
      <c r="B607" s="974" t="s">
        <v>1516</v>
      </c>
      <c r="C607" s="1046" t="s">
        <v>1551</v>
      </c>
      <c r="D607" s="1046" t="s">
        <v>1513</v>
      </c>
      <c r="E607" s="1042" t="s">
        <v>1389</v>
      </c>
    </row>
    <row r="608" spans="1:5" x14ac:dyDescent="0.25">
      <c r="A608" s="974">
        <v>607</v>
      </c>
      <c r="B608" s="974" t="s">
        <v>1516</v>
      </c>
      <c r="C608" s="1046" t="s">
        <v>1552</v>
      </c>
      <c r="D608" s="1046" t="s">
        <v>1513</v>
      </c>
      <c r="E608" s="1042" t="s">
        <v>1387</v>
      </c>
    </row>
    <row r="609" spans="1:5" x14ac:dyDescent="0.25">
      <c r="A609" s="974">
        <v>608</v>
      </c>
      <c r="B609" s="974" t="s">
        <v>1516</v>
      </c>
      <c r="C609" s="1046" t="s">
        <v>1552</v>
      </c>
      <c r="D609" s="1046" t="s">
        <v>1513</v>
      </c>
      <c r="E609" s="1042" t="s">
        <v>1388</v>
      </c>
    </row>
    <row r="610" spans="1:5" x14ac:dyDescent="0.25">
      <c r="A610" s="974">
        <v>609</v>
      </c>
      <c r="B610" s="974" t="s">
        <v>1516</v>
      </c>
      <c r="C610" s="1046" t="s">
        <v>1552</v>
      </c>
      <c r="D610" s="1046" t="s">
        <v>1513</v>
      </c>
      <c r="E610" s="1042" t="s">
        <v>1389</v>
      </c>
    </row>
    <row r="611" spans="1:5" x14ac:dyDescent="0.25">
      <c r="A611" s="974">
        <v>610</v>
      </c>
      <c r="B611" s="974" t="s">
        <v>1516</v>
      </c>
      <c r="C611" s="1046" t="s">
        <v>1553</v>
      </c>
      <c r="D611" s="1046" t="s">
        <v>1513</v>
      </c>
      <c r="E611" s="1042" t="s">
        <v>1387</v>
      </c>
    </row>
    <row r="612" spans="1:5" x14ac:dyDescent="0.25">
      <c r="A612" s="974">
        <v>611</v>
      </c>
      <c r="B612" s="974" t="s">
        <v>1516</v>
      </c>
      <c r="C612" s="1046" t="s">
        <v>1553</v>
      </c>
      <c r="D612" s="1046" t="s">
        <v>1513</v>
      </c>
      <c r="E612" s="1042" t="s">
        <v>1388</v>
      </c>
    </row>
    <row r="613" spans="1:5" x14ac:dyDescent="0.25">
      <c r="A613" s="974">
        <v>612</v>
      </c>
      <c r="B613" s="974" t="s">
        <v>1516</v>
      </c>
      <c r="C613" s="1046" t="s">
        <v>1553</v>
      </c>
      <c r="D613" s="1046" t="s">
        <v>1513</v>
      </c>
      <c r="E613" s="1042" t="s">
        <v>1389</v>
      </c>
    </row>
    <row r="614" spans="1:5" x14ac:dyDescent="0.25">
      <c r="A614" s="974">
        <v>613</v>
      </c>
      <c r="B614" s="974" t="s">
        <v>1516</v>
      </c>
      <c r="C614" s="1046" t="s">
        <v>1554</v>
      </c>
      <c r="D614" s="1046" t="s">
        <v>1513</v>
      </c>
      <c r="E614" s="1042" t="s">
        <v>1387</v>
      </c>
    </row>
    <row r="615" spans="1:5" x14ac:dyDescent="0.25">
      <c r="A615" s="974">
        <v>614</v>
      </c>
      <c r="B615" s="974" t="s">
        <v>1516</v>
      </c>
      <c r="C615" s="1046" t="s">
        <v>1554</v>
      </c>
      <c r="D615" s="1046" t="s">
        <v>1513</v>
      </c>
      <c r="E615" s="1042" t="s">
        <v>1388</v>
      </c>
    </row>
    <row r="616" spans="1:5" x14ac:dyDescent="0.25">
      <c r="A616" s="974">
        <v>615</v>
      </c>
      <c r="B616" s="974" t="s">
        <v>1516</v>
      </c>
      <c r="C616" s="1046" t="s">
        <v>1554</v>
      </c>
      <c r="D616" s="1046" t="s">
        <v>1513</v>
      </c>
      <c r="E616" s="1042" t="s">
        <v>1389</v>
      </c>
    </row>
    <row r="617" spans="1:5" x14ac:dyDescent="0.25">
      <c r="A617" s="974">
        <v>616</v>
      </c>
      <c r="B617" s="974" t="s">
        <v>1516</v>
      </c>
      <c r="C617" s="1046" t="s">
        <v>1555</v>
      </c>
      <c r="D617" s="1046" t="s">
        <v>1513</v>
      </c>
      <c r="E617" s="1042" t="s">
        <v>1387</v>
      </c>
    </row>
    <row r="618" spans="1:5" x14ac:dyDescent="0.25">
      <c r="A618" s="974">
        <v>617</v>
      </c>
      <c r="B618" s="974" t="s">
        <v>1516</v>
      </c>
      <c r="C618" s="1046" t="s">
        <v>1555</v>
      </c>
      <c r="D618" s="1046" t="s">
        <v>1513</v>
      </c>
      <c r="E618" s="1042" t="s">
        <v>1388</v>
      </c>
    </row>
    <row r="619" spans="1:5" x14ac:dyDescent="0.25">
      <c r="A619" s="974">
        <v>618</v>
      </c>
      <c r="B619" s="974" t="s">
        <v>1516</v>
      </c>
      <c r="C619" s="1046" t="s">
        <v>1555</v>
      </c>
      <c r="D619" s="1046" t="s">
        <v>1513</v>
      </c>
      <c r="E619" s="1042" t="s">
        <v>1389</v>
      </c>
    </row>
    <row r="620" spans="1:5" x14ac:dyDescent="0.25">
      <c r="A620" s="974">
        <v>619</v>
      </c>
      <c r="B620" s="974" t="s">
        <v>1516</v>
      </c>
      <c r="C620" s="1046" t="s">
        <v>1550</v>
      </c>
      <c r="D620" s="1046" t="s">
        <v>1508</v>
      </c>
      <c r="E620" s="1042" t="s">
        <v>1508</v>
      </c>
    </row>
    <row r="621" spans="1:5" x14ac:dyDescent="0.25">
      <c r="A621" s="974">
        <v>620</v>
      </c>
      <c r="B621" s="974" t="s">
        <v>1516</v>
      </c>
      <c r="C621" s="1046" t="s">
        <v>1556</v>
      </c>
      <c r="D621" s="1046" t="s">
        <v>1513</v>
      </c>
      <c r="E621" s="1042" t="s">
        <v>1491</v>
      </c>
    </row>
    <row r="622" spans="1:5" x14ac:dyDescent="0.25">
      <c r="A622" s="974">
        <v>621</v>
      </c>
      <c r="B622" s="974" t="s">
        <v>1516</v>
      </c>
      <c r="C622" s="1046" t="s">
        <v>1556</v>
      </c>
      <c r="D622" s="1046" t="s">
        <v>1410</v>
      </c>
      <c r="E622" s="1042" t="s">
        <v>1705</v>
      </c>
    </row>
    <row r="623" spans="1:5" x14ac:dyDescent="0.25">
      <c r="A623" s="974">
        <v>622</v>
      </c>
      <c r="B623" s="974" t="s">
        <v>1516</v>
      </c>
      <c r="C623" s="1046" t="s">
        <v>1556</v>
      </c>
      <c r="D623" s="1046" t="s">
        <v>1513</v>
      </c>
      <c r="E623" s="1042" t="s">
        <v>1383</v>
      </c>
    </row>
    <row r="624" spans="1:5" x14ac:dyDescent="0.25">
      <c r="A624" s="974">
        <v>623</v>
      </c>
      <c r="B624" s="974" t="s">
        <v>1516</v>
      </c>
      <c r="C624" s="1046" t="s">
        <v>1556</v>
      </c>
      <c r="D624" s="1046" t="s">
        <v>1513</v>
      </c>
      <c r="E624" s="1042" t="s">
        <v>1380</v>
      </c>
    </row>
    <row r="625" spans="1:5" x14ac:dyDescent="0.25">
      <c r="A625" s="974">
        <v>624</v>
      </c>
      <c r="B625" s="974" t="s">
        <v>1516</v>
      </c>
      <c r="C625" s="1046" t="s">
        <v>1556</v>
      </c>
      <c r="D625" s="1046" t="s">
        <v>1513</v>
      </c>
      <c r="E625" s="1042" t="s">
        <v>1381</v>
      </c>
    </row>
    <row r="626" spans="1:5" x14ac:dyDescent="0.25">
      <c r="A626" s="974">
        <v>625</v>
      </c>
      <c r="B626" s="974" t="s">
        <v>1516</v>
      </c>
      <c r="C626" s="1046" t="s">
        <v>1556</v>
      </c>
      <c r="D626" s="1046" t="s">
        <v>1513</v>
      </c>
      <c r="E626" s="1042" t="s">
        <v>1397</v>
      </c>
    </row>
    <row r="627" spans="1:5" x14ac:dyDescent="0.25">
      <c r="A627" s="974">
        <v>626</v>
      </c>
      <c r="B627" s="974" t="s">
        <v>1516</v>
      </c>
      <c r="C627" s="1046" t="s">
        <v>1556</v>
      </c>
      <c r="D627" s="1046" t="s">
        <v>1513</v>
      </c>
      <c r="E627" s="1042" t="s">
        <v>1382</v>
      </c>
    </row>
    <row r="628" spans="1:5" x14ac:dyDescent="0.25">
      <c r="A628" s="974">
        <v>627</v>
      </c>
      <c r="B628" s="974" t="s">
        <v>1516</v>
      </c>
      <c r="C628" s="1046" t="s">
        <v>1556</v>
      </c>
      <c r="D628" s="1046" t="s">
        <v>1513</v>
      </c>
      <c r="E628" s="1042" t="s">
        <v>1486</v>
      </c>
    </row>
    <row r="629" spans="1:5" x14ac:dyDescent="0.25">
      <c r="A629" s="974">
        <v>628</v>
      </c>
      <c r="B629" s="974" t="s">
        <v>1516</v>
      </c>
      <c r="C629" s="1046" t="s">
        <v>1556</v>
      </c>
      <c r="D629" s="1046" t="s">
        <v>1513</v>
      </c>
      <c r="E629" s="1042" t="s">
        <v>1487</v>
      </c>
    </row>
    <row r="630" spans="1:5" x14ac:dyDescent="0.25">
      <c r="A630" s="974">
        <v>629</v>
      </c>
      <c r="B630" s="974" t="s">
        <v>1516</v>
      </c>
      <c r="C630" s="1046" t="s">
        <v>1556</v>
      </c>
      <c r="D630" s="1046" t="s">
        <v>1410</v>
      </c>
      <c r="E630" s="1042" t="s">
        <v>1488</v>
      </c>
    </row>
    <row r="631" spans="1:5" ht="30" x14ac:dyDescent="0.25">
      <c r="A631" s="974">
        <v>630</v>
      </c>
      <c r="B631" s="974" t="s">
        <v>1516</v>
      </c>
      <c r="C631" s="1046" t="s">
        <v>1556</v>
      </c>
      <c r="D631" s="1046" t="s">
        <v>1544</v>
      </c>
      <c r="E631" s="1042" t="s">
        <v>1385</v>
      </c>
    </row>
    <row r="632" spans="1:5" ht="30" x14ac:dyDescent="0.25">
      <c r="A632" s="974">
        <v>631</v>
      </c>
      <c r="B632" s="974" t="s">
        <v>1516</v>
      </c>
      <c r="C632" s="1046" t="s">
        <v>1556</v>
      </c>
      <c r="D632" s="1046" t="s">
        <v>1544</v>
      </c>
      <c r="E632" s="1042" t="s">
        <v>1386</v>
      </c>
    </row>
    <row r="633" spans="1:5" ht="30" x14ac:dyDescent="0.25">
      <c r="A633" s="974">
        <v>632</v>
      </c>
      <c r="B633" s="974" t="s">
        <v>1516</v>
      </c>
      <c r="C633" s="1046" t="s">
        <v>1556</v>
      </c>
      <c r="D633" s="1046" t="s">
        <v>1544</v>
      </c>
      <c r="E633" s="1042" t="s">
        <v>1495</v>
      </c>
    </row>
    <row r="634" spans="1:5" x14ac:dyDescent="0.25">
      <c r="A634" s="974">
        <v>633</v>
      </c>
      <c r="B634" s="974" t="s">
        <v>1516</v>
      </c>
      <c r="C634" s="1046" t="s">
        <v>1556</v>
      </c>
      <c r="D634" s="1046" t="s">
        <v>1410</v>
      </c>
      <c r="E634" s="1042" t="s">
        <v>1492</v>
      </c>
    </row>
    <row r="635" spans="1:5" x14ac:dyDescent="0.25">
      <c r="A635" s="974">
        <v>634</v>
      </c>
      <c r="B635" s="974" t="s">
        <v>1516</v>
      </c>
      <c r="C635" s="1046" t="s">
        <v>1556</v>
      </c>
      <c r="D635" s="1046" t="s">
        <v>1513</v>
      </c>
      <c r="E635" s="1042" t="s">
        <v>1506</v>
      </c>
    </row>
    <row r="636" spans="1:5" x14ac:dyDescent="0.25">
      <c r="A636" s="974">
        <v>635</v>
      </c>
      <c r="B636" s="974" t="s">
        <v>1516</v>
      </c>
      <c r="C636" s="1046" t="s">
        <v>1557</v>
      </c>
      <c r="D636" s="1046" t="s">
        <v>1513</v>
      </c>
      <c r="E636" s="1042" t="s">
        <v>1387</v>
      </c>
    </row>
    <row r="637" spans="1:5" x14ac:dyDescent="0.25">
      <c r="A637" s="974">
        <v>636</v>
      </c>
      <c r="B637" s="974" t="s">
        <v>1516</v>
      </c>
      <c r="C637" s="1046" t="s">
        <v>1557</v>
      </c>
      <c r="D637" s="1046" t="s">
        <v>1513</v>
      </c>
      <c r="E637" s="1042" t="s">
        <v>1388</v>
      </c>
    </row>
    <row r="638" spans="1:5" x14ac:dyDescent="0.25">
      <c r="A638" s="974">
        <v>637</v>
      </c>
      <c r="B638" s="974" t="s">
        <v>1516</v>
      </c>
      <c r="C638" s="1046" t="s">
        <v>1557</v>
      </c>
      <c r="D638" s="1046" t="s">
        <v>1513</v>
      </c>
      <c r="E638" s="1042" t="s">
        <v>1389</v>
      </c>
    </row>
    <row r="639" spans="1:5" x14ac:dyDescent="0.25">
      <c r="A639" s="974">
        <v>638</v>
      </c>
      <c r="B639" s="974" t="s">
        <v>1516</v>
      </c>
      <c r="C639" s="1046" t="s">
        <v>1558</v>
      </c>
      <c r="D639" s="1046" t="s">
        <v>1513</v>
      </c>
      <c r="E639" s="1042" t="s">
        <v>1387</v>
      </c>
    </row>
    <row r="640" spans="1:5" x14ac:dyDescent="0.25">
      <c r="A640" s="974">
        <v>639</v>
      </c>
      <c r="B640" s="974" t="s">
        <v>1516</v>
      </c>
      <c r="C640" s="1046" t="s">
        <v>1558</v>
      </c>
      <c r="D640" s="1046" t="s">
        <v>1513</v>
      </c>
      <c r="E640" s="1042" t="s">
        <v>1388</v>
      </c>
    </row>
    <row r="641" spans="1:5" x14ac:dyDescent="0.25">
      <c r="A641" s="974">
        <v>640</v>
      </c>
      <c r="B641" s="974" t="s">
        <v>1516</v>
      </c>
      <c r="C641" s="1046" t="s">
        <v>1558</v>
      </c>
      <c r="D641" s="1046" t="s">
        <v>1513</v>
      </c>
      <c r="E641" s="1042" t="s">
        <v>1389</v>
      </c>
    </row>
    <row r="642" spans="1:5" x14ac:dyDescent="0.25">
      <c r="A642" s="974">
        <v>641</v>
      </c>
      <c r="B642" s="974" t="s">
        <v>1516</v>
      </c>
      <c r="C642" s="1046" t="s">
        <v>1559</v>
      </c>
      <c r="D642" s="1046" t="s">
        <v>1513</v>
      </c>
      <c r="E642" s="1042" t="s">
        <v>1387</v>
      </c>
    </row>
    <row r="643" spans="1:5" x14ac:dyDescent="0.25">
      <c r="A643" s="974">
        <v>642</v>
      </c>
      <c r="B643" s="974" t="s">
        <v>1516</v>
      </c>
      <c r="C643" s="1046" t="s">
        <v>1559</v>
      </c>
      <c r="D643" s="1046" t="s">
        <v>1513</v>
      </c>
      <c r="E643" s="1042" t="s">
        <v>1388</v>
      </c>
    </row>
    <row r="644" spans="1:5" x14ac:dyDescent="0.25">
      <c r="A644" s="974">
        <v>643</v>
      </c>
      <c r="B644" s="974" t="s">
        <v>1516</v>
      </c>
      <c r="C644" s="1046" t="s">
        <v>1559</v>
      </c>
      <c r="D644" s="1046" t="s">
        <v>1513</v>
      </c>
      <c r="E644" s="1042" t="s">
        <v>1389</v>
      </c>
    </row>
    <row r="645" spans="1:5" x14ac:dyDescent="0.25">
      <c r="A645" s="974">
        <v>644</v>
      </c>
      <c r="B645" s="974" t="s">
        <v>1516</v>
      </c>
      <c r="C645" s="1046" t="s">
        <v>1560</v>
      </c>
      <c r="D645" s="1046" t="s">
        <v>1513</v>
      </c>
      <c r="E645" s="1042" t="s">
        <v>1387</v>
      </c>
    </row>
    <row r="646" spans="1:5" x14ac:dyDescent="0.25">
      <c r="A646" s="974">
        <v>645</v>
      </c>
      <c r="B646" s="974" t="s">
        <v>1516</v>
      </c>
      <c r="C646" s="1046" t="s">
        <v>1560</v>
      </c>
      <c r="D646" s="1046" t="s">
        <v>1513</v>
      </c>
      <c r="E646" s="1042" t="s">
        <v>1388</v>
      </c>
    </row>
    <row r="647" spans="1:5" x14ac:dyDescent="0.25">
      <c r="A647" s="974">
        <v>646</v>
      </c>
      <c r="B647" s="974" t="s">
        <v>1516</v>
      </c>
      <c r="C647" s="1046" t="s">
        <v>1560</v>
      </c>
      <c r="D647" s="1046" t="s">
        <v>1513</v>
      </c>
      <c r="E647" s="1042" t="s">
        <v>1389</v>
      </c>
    </row>
    <row r="648" spans="1:5" x14ac:dyDescent="0.25">
      <c r="A648" s="974">
        <v>647</v>
      </c>
      <c r="B648" s="974" t="s">
        <v>1516</v>
      </c>
      <c r="C648" s="1046" t="s">
        <v>1561</v>
      </c>
      <c r="D648" s="1046" t="s">
        <v>1513</v>
      </c>
      <c r="E648" s="1042" t="s">
        <v>1387</v>
      </c>
    </row>
    <row r="649" spans="1:5" x14ac:dyDescent="0.25">
      <c r="A649" s="974">
        <v>648</v>
      </c>
      <c r="B649" s="974" t="s">
        <v>1516</v>
      </c>
      <c r="C649" s="1046" t="s">
        <v>1561</v>
      </c>
      <c r="D649" s="1046" t="s">
        <v>1513</v>
      </c>
      <c r="E649" s="1042" t="s">
        <v>1388</v>
      </c>
    </row>
    <row r="650" spans="1:5" x14ac:dyDescent="0.25">
      <c r="A650" s="974">
        <v>649</v>
      </c>
      <c r="B650" s="974" t="s">
        <v>1516</v>
      </c>
      <c r="C650" s="1046" t="s">
        <v>1561</v>
      </c>
      <c r="D650" s="1046" t="s">
        <v>1513</v>
      </c>
      <c r="E650" s="1042" t="s">
        <v>1389</v>
      </c>
    </row>
    <row r="651" spans="1:5" x14ac:dyDescent="0.25">
      <c r="A651" s="974">
        <v>650</v>
      </c>
      <c r="B651" s="974" t="s">
        <v>1516</v>
      </c>
      <c r="C651" s="1046" t="s">
        <v>1556</v>
      </c>
      <c r="D651" s="1046" t="s">
        <v>1508</v>
      </c>
      <c r="E651" s="1042" t="s">
        <v>1508</v>
      </c>
    </row>
    <row r="652" spans="1:5" x14ac:dyDescent="0.25">
      <c r="A652" s="974">
        <v>651</v>
      </c>
      <c r="B652" s="974" t="s">
        <v>1516</v>
      </c>
      <c r="C652" s="1046" t="s">
        <v>1562</v>
      </c>
      <c r="D652" s="1046" t="s">
        <v>1522</v>
      </c>
      <c r="E652" s="1042" t="s">
        <v>1491</v>
      </c>
    </row>
    <row r="653" spans="1:5" x14ac:dyDescent="0.25">
      <c r="A653" s="974">
        <v>652</v>
      </c>
      <c r="B653" s="974" t="s">
        <v>1516</v>
      </c>
      <c r="C653" s="1046" t="s">
        <v>1562</v>
      </c>
      <c r="D653" s="1046" t="s">
        <v>1410</v>
      </c>
      <c r="E653" s="1042" t="s">
        <v>1705</v>
      </c>
    </row>
    <row r="654" spans="1:5" x14ac:dyDescent="0.25">
      <c r="A654" s="974">
        <v>653</v>
      </c>
      <c r="B654" s="974" t="s">
        <v>1516</v>
      </c>
      <c r="C654" s="1046" t="s">
        <v>1562</v>
      </c>
      <c r="D654" s="1046" t="s">
        <v>1522</v>
      </c>
      <c r="E654" s="1042" t="s">
        <v>1383</v>
      </c>
    </row>
    <row r="655" spans="1:5" x14ac:dyDescent="0.25">
      <c r="A655" s="974">
        <v>654</v>
      </c>
      <c r="B655" s="974" t="s">
        <v>1516</v>
      </c>
      <c r="C655" s="1046" t="s">
        <v>1562</v>
      </c>
      <c r="D655" s="1046" t="s">
        <v>1522</v>
      </c>
      <c r="E655" s="1042" t="s">
        <v>1380</v>
      </c>
    </row>
    <row r="656" spans="1:5" x14ac:dyDescent="0.25">
      <c r="A656" s="974">
        <v>655</v>
      </c>
      <c r="B656" s="974" t="s">
        <v>1516</v>
      </c>
      <c r="C656" s="1046" t="s">
        <v>1562</v>
      </c>
      <c r="D656" s="1046" t="s">
        <v>1522</v>
      </c>
      <c r="E656" s="1042" t="s">
        <v>1381</v>
      </c>
    </row>
    <row r="657" spans="1:5" x14ac:dyDescent="0.25">
      <c r="A657" s="974">
        <v>656</v>
      </c>
      <c r="B657" s="974" t="s">
        <v>1516</v>
      </c>
      <c r="C657" s="1046" t="s">
        <v>1562</v>
      </c>
      <c r="D657" s="1046" t="s">
        <v>1522</v>
      </c>
      <c r="E657" s="1042" t="s">
        <v>1397</v>
      </c>
    </row>
    <row r="658" spans="1:5" x14ac:dyDescent="0.25">
      <c r="A658" s="974">
        <v>657</v>
      </c>
      <c r="B658" s="974" t="s">
        <v>1516</v>
      </c>
      <c r="C658" s="1046" t="s">
        <v>1562</v>
      </c>
      <c r="D658" s="1046" t="s">
        <v>1522</v>
      </c>
      <c r="E658" s="1042" t="s">
        <v>1382</v>
      </c>
    </row>
    <row r="659" spans="1:5" x14ac:dyDescent="0.25">
      <c r="A659" s="974">
        <v>658</v>
      </c>
      <c r="B659" s="974" t="s">
        <v>1516</v>
      </c>
      <c r="C659" s="1046" t="s">
        <v>1562</v>
      </c>
      <c r="D659" s="1046" t="s">
        <v>1522</v>
      </c>
      <c r="E659" s="1042" t="s">
        <v>1486</v>
      </c>
    </row>
    <row r="660" spans="1:5" x14ac:dyDescent="0.25">
      <c r="A660" s="974">
        <v>659</v>
      </c>
      <c r="B660" s="974" t="s">
        <v>1516</v>
      </c>
      <c r="C660" s="1046" t="s">
        <v>1562</v>
      </c>
      <c r="D660" s="1046" t="s">
        <v>1522</v>
      </c>
      <c r="E660" s="1042" t="s">
        <v>1487</v>
      </c>
    </row>
    <row r="661" spans="1:5" x14ac:dyDescent="0.25">
      <c r="A661" s="974">
        <v>660</v>
      </c>
      <c r="B661" s="974" t="s">
        <v>1516</v>
      </c>
      <c r="C661" s="1046" t="s">
        <v>1562</v>
      </c>
      <c r="D661" s="1046" t="s">
        <v>1410</v>
      </c>
      <c r="E661" s="1042" t="s">
        <v>1488</v>
      </c>
    </row>
    <row r="662" spans="1:5" ht="30" x14ac:dyDescent="0.25">
      <c r="A662" s="974">
        <v>661</v>
      </c>
      <c r="B662" s="974" t="s">
        <v>1516</v>
      </c>
      <c r="C662" s="1046" t="s">
        <v>1562</v>
      </c>
      <c r="D662" s="1046" t="s">
        <v>1544</v>
      </c>
      <c r="E662" s="1042" t="s">
        <v>1385</v>
      </c>
    </row>
    <row r="663" spans="1:5" ht="30" x14ac:dyDescent="0.25">
      <c r="A663" s="974">
        <v>662</v>
      </c>
      <c r="B663" s="974" t="s">
        <v>1516</v>
      </c>
      <c r="C663" s="1046" t="s">
        <v>1562</v>
      </c>
      <c r="D663" s="1046" t="s">
        <v>1544</v>
      </c>
      <c r="E663" s="1042" t="s">
        <v>1386</v>
      </c>
    </row>
    <row r="664" spans="1:5" ht="30" x14ac:dyDescent="0.25">
      <c r="A664" s="974">
        <v>663</v>
      </c>
      <c r="B664" s="974" t="s">
        <v>1516</v>
      </c>
      <c r="C664" s="1046" t="s">
        <v>1562</v>
      </c>
      <c r="D664" s="1046" t="s">
        <v>1544</v>
      </c>
      <c r="E664" s="1042" t="s">
        <v>1495</v>
      </c>
    </row>
    <row r="665" spans="1:5" x14ac:dyDescent="0.25">
      <c r="A665" s="974">
        <v>664</v>
      </c>
      <c r="B665" s="974" t="s">
        <v>1516</v>
      </c>
      <c r="C665" s="1046" t="s">
        <v>1562</v>
      </c>
      <c r="D665" s="1046" t="s">
        <v>1410</v>
      </c>
      <c r="E665" s="1042" t="s">
        <v>1492</v>
      </c>
    </row>
    <row r="666" spans="1:5" x14ac:dyDescent="0.25">
      <c r="A666" s="974">
        <v>665</v>
      </c>
      <c r="B666" s="974" t="s">
        <v>1516</v>
      </c>
      <c r="C666" s="1046" t="s">
        <v>1562</v>
      </c>
      <c r="D666" s="1046" t="s">
        <v>1522</v>
      </c>
      <c r="E666" s="1042" t="s">
        <v>1506</v>
      </c>
    </row>
    <row r="667" spans="1:5" x14ac:dyDescent="0.25">
      <c r="A667" s="974">
        <v>666</v>
      </c>
      <c r="B667" s="974" t="s">
        <v>1516</v>
      </c>
      <c r="C667" s="1046" t="s">
        <v>1563</v>
      </c>
      <c r="D667" s="1046" t="s">
        <v>1522</v>
      </c>
      <c r="E667" s="1042" t="s">
        <v>1387</v>
      </c>
    </row>
    <row r="668" spans="1:5" x14ac:dyDescent="0.25">
      <c r="A668" s="974">
        <v>667</v>
      </c>
      <c r="B668" s="974" t="s">
        <v>1516</v>
      </c>
      <c r="C668" s="1046" t="s">
        <v>1563</v>
      </c>
      <c r="D668" s="1046" t="s">
        <v>1522</v>
      </c>
      <c r="E668" s="1042" t="s">
        <v>1388</v>
      </c>
    </row>
    <row r="669" spans="1:5" x14ac:dyDescent="0.25">
      <c r="A669" s="974">
        <v>668</v>
      </c>
      <c r="B669" s="974" t="s">
        <v>1516</v>
      </c>
      <c r="C669" s="1046" t="s">
        <v>1563</v>
      </c>
      <c r="D669" s="1046" t="s">
        <v>1522</v>
      </c>
      <c r="E669" s="1042" t="s">
        <v>1389</v>
      </c>
    </row>
    <row r="670" spans="1:5" x14ac:dyDescent="0.25">
      <c r="A670" s="974">
        <v>669</v>
      </c>
      <c r="B670" s="974" t="s">
        <v>1516</v>
      </c>
      <c r="C670" s="1046" t="s">
        <v>1564</v>
      </c>
      <c r="D670" s="1046" t="s">
        <v>1522</v>
      </c>
      <c r="E670" s="1042" t="s">
        <v>1491</v>
      </c>
    </row>
    <row r="671" spans="1:5" x14ac:dyDescent="0.25">
      <c r="A671" s="974">
        <v>670</v>
      </c>
      <c r="B671" s="974" t="s">
        <v>1516</v>
      </c>
      <c r="C671" s="1046" t="s">
        <v>1564</v>
      </c>
      <c r="D671" s="1046" t="s">
        <v>1410</v>
      </c>
      <c r="E671" s="1042" t="s">
        <v>1705</v>
      </c>
    </row>
    <row r="672" spans="1:5" x14ac:dyDescent="0.25">
      <c r="A672" s="974">
        <v>671</v>
      </c>
      <c r="B672" s="974" t="s">
        <v>1516</v>
      </c>
      <c r="C672" s="1046" t="s">
        <v>1564</v>
      </c>
      <c r="D672" s="1046" t="s">
        <v>1522</v>
      </c>
      <c r="E672" s="1042" t="s">
        <v>1383</v>
      </c>
    </row>
    <row r="673" spans="1:5" x14ac:dyDescent="0.25">
      <c r="A673" s="974">
        <v>672</v>
      </c>
      <c r="B673" s="974" t="s">
        <v>1516</v>
      </c>
      <c r="C673" s="1046" t="s">
        <v>1564</v>
      </c>
      <c r="D673" s="1046" t="s">
        <v>1522</v>
      </c>
      <c r="E673" s="1042" t="s">
        <v>1380</v>
      </c>
    </row>
    <row r="674" spans="1:5" x14ac:dyDescent="0.25">
      <c r="A674" s="974">
        <v>673</v>
      </c>
      <c r="B674" s="974" t="s">
        <v>1516</v>
      </c>
      <c r="C674" s="1046" t="s">
        <v>1564</v>
      </c>
      <c r="D674" s="1046" t="s">
        <v>1522</v>
      </c>
      <c r="E674" s="1042" t="s">
        <v>1381</v>
      </c>
    </row>
    <row r="675" spans="1:5" x14ac:dyDescent="0.25">
      <c r="A675" s="974">
        <v>674</v>
      </c>
      <c r="B675" s="974" t="s">
        <v>1516</v>
      </c>
      <c r="C675" s="1046" t="s">
        <v>1564</v>
      </c>
      <c r="D675" s="1046" t="s">
        <v>1522</v>
      </c>
      <c r="E675" s="1042" t="s">
        <v>1397</v>
      </c>
    </row>
    <row r="676" spans="1:5" x14ac:dyDescent="0.25">
      <c r="A676" s="974">
        <v>675</v>
      </c>
      <c r="B676" s="974" t="s">
        <v>1516</v>
      </c>
      <c r="C676" s="1046" t="s">
        <v>1564</v>
      </c>
      <c r="D676" s="1046" t="s">
        <v>1522</v>
      </c>
      <c r="E676" s="1042" t="s">
        <v>1382</v>
      </c>
    </row>
    <row r="677" spans="1:5" x14ac:dyDescent="0.25">
      <c r="A677" s="974">
        <v>676</v>
      </c>
      <c r="B677" s="974" t="s">
        <v>1516</v>
      </c>
      <c r="C677" s="1046" t="s">
        <v>1564</v>
      </c>
      <c r="D677" s="1046" t="s">
        <v>1522</v>
      </c>
      <c r="E677" s="1042" t="s">
        <v>1486</v>
      </c>
    </row>
    <row r="678" spans="1:5" x14ac:dyDescent="0.25">
      <c r="A678" s="974">
        <v>677</v>
      </c>
      <c r="B678" s="974" t="s">
        <v>1516</v>
      </c>
      <c r="C678" s="1046" t="s">
        <v>1564</v>
      </c>
      <c r="D678" s="1046" t="s">
        <v>1522</v>
      </c>
      <c r="E678" s="1042" t="s">
        <v>1487</v>
      </c>
    </row>
    <row r="679" spans="1:5" x14ac:dyDescent="0.25">
      <c r="A679" s="974">
        <v>678</v>
      </c>
      <c r="B679" s="974" t="s">
        <v>1516</v>
      </c>
      <c r="C679" s="1046" t="s">
        <v>1564</v>
      </c>
      <c r="D679" s="1046" t="s">
        <v>1410</v>
      </c>
      <c r="E679" s="1042" t="s">
        <v>1488</v>
      </c>
    </row>
    <row r="680" spans="1:5" ht="30" x14ac:dyDescent="0.25">
      <c r="A680" s="974">
        <v>679</v>
      </c>
      <c r="B680" s="974" t="s">
        <v>1516</v>
      </c>
      <c r="C680" s="1046" t="s">
        <v>1564</v>
      </c>
      <c r="D680" s="1046" t="s">
        <v>1544</v>
      </c>
      <c r="E680" s="1042" t="s">
        <v>1385</v>
      </c>
    </row>
    <row r="681" spans="1:5" ht="30" x14ac:dyDescent="0.25">
      <c r="A681" s="974">
        <v>680</v>
      </c>
      <c r="B681" s="974" t="s">
        <v>1516</v>
      </c>
      <c r="C681" s="1046" t="s">
        <v>1564</v>
      </c>
      <c r="D681" s="1046" t="s">
        <v>1544</v>
      </c>
      <c r="E681" s="1042" t="s">
        <v>1386</v>
      </c>
    </row>
    <row r="682" spans="1:5" ht="30" x14ac:dyDescent="0.25">
      <c r="A682" s="974">
        <v>681</v>
      </c>
      <c r="B682" s="974" t="s">
        <v>1516</v>
      </c>
      <c r="C682" s="1046" t="s">
        <v>1564</v>
      </c>
      <c r="D682" s="1046" t="s">
        <v>1544</v>
      </c>
      <c r="E682" s="1042" t="s">
        <v>1495</v>
      </c>
    </row>
    <row r="683" spans="1:5" x14ac:dyDescent="0.25">
      <c r="A683" s="974">
        <v>682</v>
      </c>
      <c r="B683" s="974" t="s">
        <v>1516</v>
      </c>
      <c r="C683" s="1046" t="s">
        <v>1564</v>
      </c>
      <c r="D683" s="1046" t="s">
        <v>1410</v>
      </c>
      <c r="E683" s="1042" t="s">
        <v>1492</v>
      </c>
    </row>
    <row r="684" spans="1:5" x14ac:dyDescent="0.25">
      <c r="A684" s="974">
        <v>683</v>
      </c>
      <c r="B684" s="974" t="s">
        <v>1516</v>
      </c>
      <c r="C684" s="1046" t="s">
        <v>1564</v>
      </c>
      <c r="D684" s="1046" t="s">
        <v>1522</v>
      </c>
      <c r="E684" s="1042" t="s">
        <v>1506</v>
      </c>
    </row>
    <row r="685" spans="1:5" x14ac:dyDescent="0.25">
      <c r="A685" s="974">
        <v>684</v>
      </c>
      <c r="B685" s="974" t="s">
        <v>1516</v>
      </c>
      <c r="C685" s="1046" t="s">
        <v>1565</v>
      </c>
      <c r="D685" s="1046" t="s">
        <v>1522</v>
      </c>
      <c r="E685" s="1042" t="s">
        <v>1387</v>
      </c>
    </row>
    <row r="686" spans="1:5" x14ac:dyDescent="0.25">
      <c r="A686" s="974">
        <v>685</v>
      </c>
      <c r="B686" s="974" t="s">
        <v>1516</v>
      </c>
      <c r="C686" s="1046" t="s">
        <v>1565</v>
      </c>
      <c r="D686" s="1046" t="s">
        <v>1522</v>
      </c>
      <c r="E686" s="1042" t="s">
        <v>1388</v>
      </c>
    </row>
    <row r="687" spans="1:5" x14ac:dyDescent="0.25">
      <c r="A687" s="974">
        <v>686</v>
      </c>
      <c r="B687" s="974" t="s">
        <v>1516</v>
      </c>
      <c r="C687" s="1046" t="s">
        <v>1565</v>
      </c>
      <c r="D687" s="1046" t="s">
        <v>1522</v>
      </c>
      <c r="E687" s="1042" t="s">
        <v>1389</v>
      </c>
    </row>
    <row r="688" spans="1:5" x14ac:dyDescent="0.25">
      <c r="A688" s="974">
        <v>687</v>
      </c>
      <c r="B688" s="974" t="s">
        <v>1516</v>
      </c>
      <c r="C688" s="1046" t="s">
        <v>1566</v>
      </c>
      <c r="D688" s="1046" t="s">
        <v>1523</v>
      </c>
      <c r="E688" s="1042" t="s">
        <v>1491</v>
      </c>
    </row>
    <row r="689" spans="1:5" x14ac:dyDescent="0.25">
      <c r="A689" s="974">
        <v>688</v>
      </c>
      <c r="B689" s="974" t="s">
        <v>1516</v>
      </c>
      <c r="C689" s="1046" t="s">
        <v>1566</v>
      </c>
      <c r="D689" s="1046" t="s">
        <v>1410</v>
      </c>
      <c r="E689" s="1042" t="s">
        <v>1705</v>
      </c>
    </row>
    <row r="690" spans="1:5" x14ac:dyDescent="0.25">
      <c r="A690" s="974">
        <v>689</v>
      </c>
      <c r="B690" s="974" t="s">
        <v>1516</v>
      </c>
      <c r="C690" s="1046" t="s">
        <v>1566</v>
      </c>
      <c r="D690" s="1046" t="s">
        <v>1523</v>
      </c>
      <c r="E690" s="1042" t="s">
        <v>1383</v>
      </c>
    </row>
    <row r="691" spans="1:5" x14ac:dyDescent="0.25">
      <c r="A691" s="974">
        <v>690</v>
      </c>
      <c r="B691" s="974" t="s">
        <v>1516</v>
      </c>
      <c r="C691" s="1046" t="s">
        <v>1566</v>
      </c>
      <c r="D691" s="1046" t="s">
        <v>1523</v>
      </c>
      <c r="E691" s="1042" t="s">
        <v>1380</v>
      </c>
    </row>
    <row r="692" spans="1:5" x14ac:dyDescent="0.25">
      <c r="A692" s="974">
        <v>691</v>
      </c>
      <c r="B692" s="974" t="s">
        <v>1516</v>
      </c>
      <c r="C692" s="1046" t="s">
        <v>1566</v>
      </c>
      <c r="D692" s="1046" t="s">
        <v>1523</v>
      </c>
      <c r="E692" s="1042" t="s">
        <v>1381</v>
      </c>
    </row>
    <row r="693" spans="1:5" x14ac:dyDescent="0.25">
      <c r="A693" s="974">
        <v>692</v>
      </c>
      <c r="B693" s="974" t="s">
        <v>1516</v>
      </c>
      <c r="C693" s="1046" t="s">
        <v>1566</v>
      </c>
      <c r="D693" s="1046" t="s">
        <v>1523</v>
      </c>
      <c r="E693" s="1042" t="s">
        <v>1397</v>
      </c>
    </row>
    <row r="694" spans="1:5" x14ac:dyDescent="0.25">
      <c r="A694" s="974">
        <v>693</v>
      </c>
      <c r="B694" s="974" t="s">
        <v>1516</v>
      </c>
      <c r="C694" s="1046" t="s">
        <v>1566</v>
      </c>
      <c r="D694" s="1046" t="s">
        <v>1523</v>
      </c>
      <c r="E694" s="1042" t="s">
        <v>1382</v>
      </c>
    </row>
    <row r="695" spans="1:5" x14ac:dyDescent="0.25">
      <c r="A695" s="974">
        <v>694</v>
      </c>
      <c r="B695" s="974" t="s">
        <v>1516</v>
      </c>
      <c r="C695" s="1046" t="s">
        <v>1566</v>
      </c>
      <c r="D695" s="1046" t="s">
        <v>1523</v>
      </c>
      <c r="E695" s="1042" t="s">
        <v>1486</v>
      </c>
    </row>
    <row r="696" spans="1:5" x14ac:dyDescent="0.25">
      <c r="A696" s="974">
        <v>695</v>
      </c>
      <c r="B696" s="974" t="s">
        <v>1516</v>
      </c>
      <c r="C696" s="1046" t="s">
        <v>1566</v>
      </c>
      <c r="D696" s="1046" t="s">
        <v>1523</v>
      </c>
      <c r="E696" s="1042" t="s">
        <v>1487</v>
      </c>
    </row>
    <row r="697" spans="1:5" x14ac:dyDescent="0.25">
      <c r="A697" s="974">
        <v>696</v>
      </c>
      <c r="B697" s="974" t="s">
        <v>1516</v>
      </c>
      <c r="C697" s="1046" t="s">
        <v>1566</v>
      </c>
      <c r="D697" s="1046" t="s">
        <v>1410</v>
      </c>
      <c r="E697" s="1042" t="s">
        <v>1488</v>
      </c>
    </row>
    <row r="698" spans="1:5" ht="30" x14ac:dyDescent="0.25">
      <c r="A698" s="974">
        <v>697</v>
      </c>
      <c r="B698" s="974" t="s">
        <v>1516</v>
      </c>
      <c r="C698" s="1046" t="s">
        <v>1566</v>
      </c>
      <c r="D698" s="1046" t="s">
        <v>1544</v>
      </c>
      <c r="E698" s="1042" t="s">
        <v>1385</v>
      </c>
    </row>
    <row r="699" spans="1:5" ht="30" x14ac:dyDescent="0.25">
      <c r="A699" s="974">
        <v>698</v>
      </c>
      <c r="B699" s="974" t="s">
        <v>1516</v>
      </c>
      <c r="C699" s="1046" t="s">
        <v>1566</v>
      </c>
      <c r="D699" s="1046" t="s">
        <v>1544</v>
      </c>
      <c r="E699" s="1042" t="s">
        <v>1386</v>
      </c>
    </row>
    <row r="700" spans="1:5" ht="30" x14ac:dyDescent="0.25">
      <c r="A700" s="974">
        <v>699</v>
      </c>
      <c r="B700" s="974" t="s">
        <v>1516</v>
      </c>
      <c r="C700" s="1046" t="s">
        <v>1566</v>
      </c>
      <c r="D700" s="1046" t="s">
        <v>1544</v>
      </c>
      <c r="E700" s="1042" t="s">
        <v>1495</v>
      </c>
    </row>
    <row r="701" spans="1:5" x14ac:dyDescent="0.25">
      <c r="A701" s="974">
        <v>700</v>
      </c>
      <c r="B701" s="974" t="s">
        <v>1516</v>
      </c>
      <c r="C701" s="1046" t="s">
        <v>1566</v>
      </c>
      <c r="D701" s="1046" t="s">
        <v>1410</v>
      </c>
      <c r="E701" s="1042" t="s">
        <v>1492</v>
      </c>
    </row>
    <row r="702" spans="1:5" x14ac:dyDescent="0.25">
      <c r="A702" s="974">
        <v>701</v>
      </c>
      <c r="B702" s="974" t="s">
        <v>1516</v>
      </c>
      <c r="C702" s="1046" t="s">
        <v>1566</v>
      </c>
      <c r="D702" s="1046" t="s">
        <v>1523</v>
      </c>
      <c r="E702" s="1042" t="s">
        <v>1506</v>
      </c>
    </row>
    <row r="703" spans="1:5" x14ac:dyDescent="0.25">
      <c r="A703" s="974">
        <v>702</v>
      </c>
      <c r="B703" s="974" t="s">
        <v>1516</v>
      </c>
      <c r="C703" s="1046" t="s">
        <v>1567</v>
      </c>
      <c r="D703" s="1046" t="s">
        <v>1523</v>
      </c>
      <c r="E703" s="1042" t="s">
        <v>1387</v>
      </c>
    </row>
    <row r="704" spans="1:5" x14ac:dyDescent="0.25">
      <c r="A704" s="974">
        <v>703</v>
      </c>
      <c r="B704" s="974" t="s">
        <v>1516</v>
      </c>
      <c r="C704" s="1046" t="s">
        <v>1567</v>
      </c>
      <c r="D704" s="1046" t="s">
        <v>1523</v>
      </c>
      <c r="E704" s="1042" t="s">
        <v>1388</v>
      </c>
    </row>
    <row r="705" spans="1:5" x14ac:dyDescent="0.25">
      <c r="A705" s="974">
        <v>704</v>
      </c>
      <c r="B705" s="974" t="s">
        <v>1516</v>
      </c>
      <c r="C705" s="1046" t="s">
        <v>1567</v>
      </c>
      <c r="D705" s="1046" t="s">
        <v>1523</v>
      </c>
      <c r="E705" s="1042" t="s">
        <v>1389</v>
      </c>
    </row>
    <row r="706" spans="1:5" x14ac:dyDescent="0.25">
      <c r="A706" s="974">
        <v>705</v>
      </c>
      <c r="B706" s="974" t="s">
        <v>1516</v>
      </c>
      <c r="C706" s="1046" t="s">
        <v>1568</v>
      </c>
      <c r="D706" s="1046" t="s">
        <v>1523</v>
      </c>
      <c r="E706" s="1042" t="s">
        <v>1387</v>
      </c>
    </row>
    <row r="707" spans="1:5" x14ac:dyDescent="0.25">
      <c r="A707" s="974">
        <v>706</v>
      </c>
      <c r="B707" s="974" t="s">
        <v>1516</v>
      </c>
      <c r="C707" s="1046" t="s">
        <v>1568</v>
      </c>
      <c r="D707" s="1046" t="s">
        <v>1523</v>
      </c>
      <c r="E707" s="1042" t="s">
        <v>1388</v>
      </c>
    </row>
    <row r="708" spans="1:5" x14ac:dyDescent="0.25">
      <c r="A708" s="974">
        <v>707</v>
      </c>
      <c r="B708" s="974" t="s">
        <v>1516</v>
      </c>
      <c r="C708" s="1046" t="s">
        <v>1568</v>
      </c>
      <c r="D708" s="1046" t="s">
        <v>1523</v>
      </c>
      <c r="E708" s="1042" t="s">
        <v>1389</v>
      </c>
    </row>
    <row r="709" spans="1:5" x14ac:dyDescent="0.25">
      <c r="A709" s="974">
        <v>708</v>
      </c>
      <c r="B709" s="974" t="s">
        <v>1516</v>
      </c>
      <c r="C709" s="1046" t="s">
        <v>1569</v>
      </c>
      <c r="D709" s="1046" t="s">
        <v>1523</v>
      </c>
      <c r="E709" s="1042" t="s">
        <v>1387</v>
      </c>
    </row>
    <row r="710" spans="1:5" x14ac:dyDescent="0.25">
      <c r="A710" s="974">
        <v>709</v>
      </c>
      <c r="B710" s="974" t="s">
        <v>1516</v>
      </c>
      <c r="C710" s="1046" t="s">
        <v>1569</v>
      </c>
      <c r="D710" s="1046" t="s">
        <v>1523</v>
      </c>
      <c r="E710" s="1042" t="s">
        <v>1388</v>
      </c>
    </row>
    <row r="711" spans="1:5" x14ac:dyDescent="0.25">
      <c r="A711" s="974">
        <v>710</v>
      </c>
      <c r="B711" s="974" t="s">
        <v>1516</v>
      </c>
      <c r="C711" s="1046" t="s">
        <v>1569</v>
      </c>
      <c r="D711" s="1046" t="s">
        <v>1523</v>
      </c>
      <c r="E711" s="1042" t="s">
        <v>1389</v>
      </c>
    </row>
    <row r="712" spans="1:5" x14ac:dyDescent="0.25">
      <c r="A712" s="974">
        <v>711</v>
      </c>
      <c r="B712" s="974" t="s">
        <v>1516</v>
      </c>
      <c r="C712" s="1046" t="s">
        <v>1570</v>
      </c>
      <c r="D712" s="1046" t="s">
        <v>1523</v>
      </c>
      <c r="E712" s="1042" t="s">
        <v>1387</v>
      </c>
    </row>
    <row r="713" spans="1:5" x14ac:dyDescent="0.25">
      <c r="A713" s="974">
        <v>712</v>
      </c>
      <c r="B713" s="974" t="s">
        <v>1516</v>
      </c>
      <c r="C713" s="1046" t="s">
        <v>1570</v>
      </c>
      <c r="D713" s="1046" t="s">
        <v>1523</v>
      </c>
      <c r="E713" s="1042" t="s">
        <v>1388</v>
      </c>
    </row>
    <row r="714" spans="1:5" x14ac:dyDescent="0.25">
      <c r="A714" s="974">
        <v>713</v>
      </c>
      <c r="B714" s="974" t="s">
        <v>1516</v>
      </c>
      <c r="C714" s="1046" t="s">
        <v>1570</v>
      </c>
      <c r="D714" s="1046" t="s">
        <v>1523</v>
      </c>
      <c r="E714" s="1042" t="s">
        <v>1389</v>
      </c>
    </row>
    <row r="715" spans="1:5" x14ac:dyDescent="0.25">
      <c r="A715" s="974">
        <v>714</v>
      </c>
      <c r="B715" s="974" t="s">
        <v>1516</v>
      </c>
      <c r="C715" s="1046" t="s">
        <v>1571</v>
      </c>
      <c r="D715" s="1046" t="s">
        <v>1523</v>
      </c>
      <c r="E715" s="1042" t="s">
        <v>1387</v>
      </c>
    </row>
    <row r="716" spans="1:5" x14ac:dyDescent="0.25">
      <c r="A716" s="974">
        <v>715</v>
      </c>
      <c r="B716" s="974" t="s">
        <v>1516</v>
      </c>
      <c r="C716" s="1046" t="s">
        <v>1571</v>
      </c>
      <c r="D716" s="1046" t="s">
        <v>1523</v>
      </c>
      <c r="E716" s="1042" t="s">
        <v>1388</v>
      </c>
    </row>
    <row r="717" spans="1:5" x14ac:dyDescent="0.25">
      <c r="A717" s="974">
        <v>716</v>
      </c>
      <c r="B717" s="974" t="s">
        <v>1516</v>
      </c>
      <c r="C717" s="1046" t="s">
        <v>1571</v>
      </c>
      <c r="D717" s="1046" t="s">
        <v>1523</v>
      </c>
      <c r="E717" s="1042" t="s">
        <v>1389</v>
      </c>
    </row>
    <row r="718" spans="1:5" x14ac:dyDescent="0.25">
      <c r="A718" s="974">
        <v>717</v>
      </c>
      <c r="B718" s="974" t="s">
        <v>1516</v>
      </c>
      <c r="C718" s="1046" t="s">
        <v>1572</v>
      </c>
      <c r="D718" s="1046" t="s">
        <v>1523</v>
      </c>
      <c r="E718" s="1042" t="s">
        <v>1491</v>
      </c>
    </row>
    <row r="719" spans="1:5" x14ac:dyDescent="0.25">
      <c r="A719" s="974">
        <v>718</v>
      </c>
      <c r="B719" s="974" t="s">
        <v>1516</v>
      </c>
      <c r="C719" s="1046" t="s">
        <v>1572</v>
      </c>
      <c r="D719" s="1046" t="s">
        <v>1410</v>
      </c>
      <c r="E719" s="1042" t="s">
        <v>1705</v>
      </c>
    </row>
    <row r="720" spans="1:5" x14ac:dyDescent="0.25">
      <c r="A720" s="974">
        <v>719</v>
      </c>
      <c r="B720" s="974" t="s">
        <v>1516</v>
      </c>
      <c r="C720" s="1046" t="s">
        <v>1572</v>
      </c>
      <c r="D720" s="1046" t="s">
        <v>1523</v>
      </c>
      <c r="E720" s="1042" t="s">
        <v>1383</v>
      </c>
    </row>
    <row r="721" spans="1:5" x14ac:dyDescent="0.25">
      <c r="A721" s="974">
        <v>720</v>
      </c>
      <c r="B721" s="974" t="s">
        <v>1516</v>
      </c>
      <c r="C721" s="1046" t="s">
        <v>1572</v>
      </c>
      <c r="D721" s="1046" t="s">
        <v>1523</v>
      </c>
      <c r="E721" s="1042" t="s">
        <v>1380</v>
      </c>
    </row>
    <row r="722" spans="1:5" x14ac:dyDescent="0.25">
      <c r="A722" s="974">
        <v>721</v>
      </c>
      <c r="B722" s="974" t="s">
        <v>1516</v>
      </c>
      <c r="C722" s="1046" t="s">
        <v>1572</v>
      </c>
      <c r="D722" s="1046" t="s">
        <v>1523</v>
      </c>
      <c r="E722" s="1042" t="s">
        <v>1381</v>
      </c>
    </row>
    <row r="723" spans="1:5" x14ac:dyDescent="0.25">
      <c r="A723" s="974">
        <v>722</v>
      </c>
      <c r="B723" s="974" t="s">
        <v>1516</v>
      </c>
      <c r="C723" s="1046" t="s">
        <v>1572</v>
      </c>
      <c r="D723" s="1046" t="s">
        <v>1523</v>
      </c>
      <c r="E723" s="1042" t="s">
        <v>1397</v>
      </c>
    </row>
    <row r="724" spans="1:5" x14ac:dyDescent="0.25">
      <c r="A724" s="974">
        <v>723</v>
      </c>
      <c r="B724" s="974" t="s">
        <v>1516</v>
      </c>
      <c r="C724" s="1046" t="s">
        <v>1572</v>
      </c>
      <c r="D724" s="1046" t="s">
        <v>1523</v>
      </c>
      <c r="E724" s="1042" t="s">
        <v>1382</v>
      </c>
    </row>
    <row r="725" spans="1:5" x14ac:dyDescent="0.25">
      <c r="A725" s="974">
        <v>724</v>
      </c>
      <c r="B725" s="974" t="s">
        <v>1516</v>
      </c>
      <c r="C725" s="1046" t="s">
        <v>1572</v>
      </c>
      <c r="D725" s="1046" t="s">
        <v>1523</v>
      </c>
      <c r="E725" s="1042" t="s">
        <v>1486</v>
      </c>
    </row>
    <row r="726" spans="1:5" x14ac:dyDescent="0.25">
      <c r="A726" s="974">
        <v>725</v>
      </c>
      <c r="B726" s="974" t="s">
        <v>1516</v>
      </c>
      <c r="C726" s="1046" t="s">
        <v>1572</v>
      </c>
      <c r="D726" s="1046" t="s">
        <v>1523</v>
      </c>
      <c r="E726" s="1042" t="s">
        <v>1487</v>
      </c>
    </row>
    <row r="727" spans="1:5" x14ac:dyDescent="0.25">
      <c r="A727" s="974">
        <v>726</v>
      </c>
      <c r="B727" s="974" t="s">
        <v>1516</v>
      </c>
      <c r="C727" s="1046" t="s">
        <v>1572</v>
      </c>
      <c r="D727" s="1046" t="s">
        <v>1410</v>
      </c>
      <c r="E727" s="1042" t="s">
        <v>1488</v>
      </c>
    </row>
    <row r="728" spans="1:5" ht="30" x14ac:dyDescent="0.25">
      <c r="A728" s="974">
        <v>727</v>
      </c>
      <c r="B728" s="974" t="s">
        <v>1516</v>
      </c>
      <c r="C728" s="1046" t="s">
        <v>1572</v>
      </c>
      <c r="D728" s="1046" t="s">
        <v>1544</v>
      </c>
      <c r="E728" s="1042" t="s">
        <v>1385</v>
      </c>
    </row>
    <row r="729" spans="1:5" ht="30" x14ac:dyDescent="0.25">
      <c r="A729" s="974">
        <v>728</v>
      </c>
      <c r="B729" s="974" t="s">
        <v>1516</v>
      </c>
      <c r="C729" s="1046" t="s">
        <v>1572</v>
      </c>
      <c r="D729" s="1046" t="s">
        <v>1544</v>
      </c>
      <c r="E729" s="1042" t="s">
        <v>1386</v>
      </c>
    </row>
    <row r="730" spans="1:5" ht="30" x14ac:dyDescent="0.25">
      <c r="A730" s="974">
        <v>729</v>
      </c>
      <c r="B730" s="974" t="s">
        <v>1516</v>
      </c>
      <c r="C730" s="1046" t="s">
        <v>1572</v>
      </c>
      <c r="D730" s="1046" t="s">
        <v>1544</v>
      </c>
      <c r="E730" s="1042" t="s">
        <v>1495</v>
      </c>
    </row>
    <row r="731" spans="1:5" x14ac:dyDescent="0.25">
      <c r="A731" s="974">
        <v>730</v>
      </c>
      <c r="B731" s="974" t="s">
        <v>1516</v>
      </c>
      <c r="C731" s="1046" t="s">
        <v>1572</v>
      </c>
      <c r="D731" s="1046" t="s">
        <v>1410</v>
      </c>
      <c r="E731" s="1042" t="s">
        <v>1492</v>
      </c>
    </row>
    <row r="732" spans="1:5" x14ac:dyDescent="0.25">
      <c r="A732" s="974">
        <v>731</v>
      </c>
      <c r="B732" s="974" t="s">
        <v>1516</v>
      </c>
      <c r="C732" s="1046" t="s">
        <v>1572</v>
      </c>
      <c r="D732" s="1046" t="s">
        <v>1523</v>
      </c>
      <c r="E732" s="1042" t="s">
        <v>1506</v>
      </c>
    </row>
    <row r="733" spans="1:5" x14ac:dyDescent="0.25">
      <c r="A733" s="974">
        <v>732</v>
      </c>
      <c r="B733" s="974" t="s">
        <v>1516</v>
      </c>
      <c r="C733" s="1046" t="s">
        <v>1573</v>
      </c>
      <c r="D733" s="1046" t="s">
        <v>1523</v>
      </c>
      <c r="E733" s="1042" t="s">
        <v>1387</v>
      </c>
    </row>
    <row r="734" spans="1:5" x14ac:dyDescent="0.25">
      <c r="A734" s="974">
        <v>733</v>
      </c>
      <c r="B734" s="974" t="s">
        <v>1516</v>
      </c>
      <c r="C734" s="1046" t="s">
        <v>1573</v>
      </c>
      <c r="D734" s="1046" t="s">
        <v>1523</v>
      </c>
      <c r="E734" s="1042" t="s">
        <v>1388</v>
      </c>
    </row>
    <row r="735" spans="1:5" x14ac:dyDescent="0.25">
      <c r="A735" s="974">
        <v>734</v>
      </c>
      <c r="B735" s="974" t="s">
        <v>1516</v>
      </c>
      <c r="C735" s="1046" t="s">
        <v>1573</v>
      </c>
      <c r="D735" s="1046" t="s">
        <v>1523</v>
      </c>
      <c r="E735" s="1042" t="s">
        <v>1389</v>
      </c>
    </row>
    <row r="736" spans="1:5" x14ac:dyDescent="0.25">
      <c r="A736" s="974">
        <v>735</v>
      </c>
      <c r="B736" s="974" t="s">
        <v>1516</v>
      </c>
      <c r="C736" s="1046" t="s">
        <v>1574</v>
      </c>
      <c r="D736" s="1046" t="s">
        <v>1523</v>
      </c>
      <c r="E736" s="1042" t="s">
        <v>1387</v>
      </c>
    </row>
    <row r="737" spans="1:5" x14ac:dyDescent="0.25">
      <c r="A737" s="974">
        <v>736</v>
      </c>
      <c r="B737" s="974" t="s">
        <v>1516</v>
      </c>
      <c r="C737" s="1046" t="s">
        <v>1574</v>
      </c>
      <c r="D737" s="1046" t="s">
        <v>1523</v>
      </c>
      <c r="E737" s="1042" t="s">
        <v>1388</v>
      </c>
    </row>
    <row r="738" spans="1:5" x14ac:dyDescent="0.25">
      <c r="A738" s="974">
        <v>737</v>
      </c>
      <c r="B738" s="974" t="s">
        <v>1516</v>
      </c>
      <c r="C738" s="1046" t="s">
        <v>1574</v>
      </c>
      <c r="D738" s="1046" t="s">
        <v>1523</v>
      </c>
      <c r="E738" s="1042" t="s">
        <v>1389</v>
      </c>
    </row>
    <row r="739" spans="1:5" x14ac:dyDescent="0.25">
      <c r="A739" s="974">
        <v>738</v>
      </c>
      <c r="B739" s="974" t="s">
        <v>1516</v>
      </c>
      <c r="C739" s="1046" t="s">
        <v>1575</v>
      </c>
      <c r="D739" s="1046" t="s">
        <v>1523</v>
      </c>
      <c r="E739" s="1042" t="s">
        <v>1387</v>
      </c>
    </row>
    <row r="740" spans="1:5" x14ac:dyDescent="0.25">
      <c r="A740" s="974">
        <v>739</v>
      </c>
      <c r="B740" s="974" t="s">
        <v>1516</v>
      </c>
      <c r="C740" s="1046" t="s">
        <v>1575</v>
      </c>
      <c r="D740" s="1046" t="s">
        <v>1523</v>
      </c>
      <c r="E740" s="1042" t="s">
        <v>1388</v>
      </c>
    </row>
    <row r="741" spans="1:5" x14ac:dyDescent="0.25">
      <c r="A741" s="974">
        <v>740</v>
      </c>
      <c r="B741" s="974" t="s">
        <v>1516</v>
      </c>
      <c r="C741" s="1046" t="s">
        <v>1575</v>
      </c>
      <c r="D741" s="1046" t="s">
        <v>1523</v>
      </c>
      <c r="E741" s="1042" t="s">
        <v>1389</v>
      </c>
    </row>
    <row r="742" spans="1:5" x14ac:dyDescent="0.25">
      <c r="A742" s="974">
        <v>741</v>
      </c>
      <c r="B742" s="974" t="s">
        <v>1516</v>
      </c>
      <c r="C742" s="1046" t="s">
        <v>1576</v>
      </c>
      <c r="D742" s="1046" t="s">
        <v>1523</v>
      </c>
      <c r="E742" s="1042" t="s">
        <v>1387</v>
      </c>
    </row>
    <row r="743" spans="1:5" x14ac:dyDescent="0.25">
      <c r="A743" s="974">
        <v>742</v>
      </c>
      <c r="B743" s="974" t="s">
        <v>1516</v>
      </c>
      <c r="C743" s="1046" t="s">
        <v>1576</v>
      </c>
      <c r="D743" s="1046" t="s">
        <v>1523</v>
      </c>
      <c r="E743" s="1042" t="s">
        <v>1388</v>
      </c>
    </row>
    <row r="744" spans="1:5" x14ac:dyDescent="0.25">
      <c r="A744" s="974">
        <v>743</v>
      </c>
      <c r="B744" s="974" t="s">
        <v>1516</v>
      </c>
      <c r="C744" s="1046" t="s">
        <v>1576</v>
      </c>
      <c r="D744" s="1046" t="s">
        <v>1523</v>
      </c>
      <c r="E744" s="1042" t="s">
        <v>1389</v>
      </c>
    </row>
    <row r="745" spans="1:5" x14ac:dyDescent="0.25">
      <c r="A745" s="974">
        <v>744</v>
      </c>
      <c r="B745" s="974" t="s">
        <v>1516</v>
      </c>
      <c r="C745" s="1046" t="s">
        <v>1577</v>
      </c>
      <c r="D745" s="1046" t="s">
        <v>1523</v>
      </c>
      <c r="E745" s="1042" t="s">
        <v>1387</v>
      </c>
    </row>
    <row r="746" spans="1:5" x14ac:dyDescent="0.25">
      <c r="A746" s="974">
        <v>745</v>
      </c>
      <c r="B746" s="974" t="s">
        <v>1516</v>
      </c>
      <c r="C746" s="1046" t="s">
        <v>1577</v>
      </c>
      <c r="D746" s="1046" t="s">
        <v>1523</v>
      </c>
      <c r="E746" s="1042" t="s">
        <v>1388</v>
      </c>
    </row>
    <row r="747" spans="1:5" x14ac:dyDescent="0.25">
      <c r="A747" s="974">
        <v>746</v>
      </c>
      <c r="B747" s="974" t="s">
        <v>1516</v>
      </c>
      <c r="C747" s="1046" t="s">
        <v>1577</v>
      </c>
      <c r="D747" s="1046" t="s">
        <v>1523</v>
      </c>
      <c r="E747" s="1042" t="s">
        <v>1389</v>
      </c>
    </row>
    <row r="748" spans="1:5" x14ac:dyDescent="0.25">
      <c r="A748" s="974">
        <v>747</v>
      </c>
      <c r="B748" s="974" t="s">
        <v>1516</v>
      </c>
      <c r="C748" s="1046" t="s">
        <v>1712</v>
      </c>
      <c r="D748" s="1046" t="s">
        <v>1578</v>
      </c>
      <c r="E748" s="1042" t="s">
        <v>1491</v>
      </c>
    </row>
    <row r="749" spans="1:5" x14ac:dyDescent="0.25">
      <c r="A749" s="974">
        <v>748</v>
      </c>
      <c r="B749" s="974" t="s">
        <v>1516</v>
      </c>
      <c r="C749" s="1046" t="s">
        <v>1712</v>
      </c>
      <c r="D749" s="1046" t="s">
        <v>1410</v>
      </c>
      <c r="E749" s="1042" t="s">
        <v>1705</v>
      </c>
    </row>
    <row r="750" spans="1:5" x14ac:dyDescent="0.25">
      <c r="A750" s="974">
        <v>749</v>
      </c>
      <c r="B750" s="974" t="s">
        <v>1516</v>
      </c>
      <c r="C750" s="1046" t="s">
        <v>1712</v>
      </c>
      <c r="D750" s="1046" t="s">
        <v>1578</v>
      </c>
      <c r="E750" s="1042" t="s">
        <v>1383</v>
      </c>
    </row>
    <row r="751" spans="1:5" x14ac:dyDescent="0.25">
      <c r="A751" s="974">
        <v>750</v>
      </c>
      <c r="B751" s="974" t="s">
        <v>1516</v>
      </c>
      <c r="C751" s="1046" t="s">
        <v>1712</v>
      </c>
      <c r="D751" s="1046" t="s">
        <v>1578</v>
      </c>
      <c r="E751" s="1042" t="s">
        <v>1380</v>
      </c>
    </row>
    <row r="752" spans="1:5" x14ac:dyDescent="0.25">
      <c r="A752" s="974">
        <v>751</v>
      </c>
      <c r="B752" s="974" t="s">
        <v>1516</v>
      </c>
      <c r="C752" s="1046" t="s">
        <v>1712</v>
      </c>
      <c r="D752" s="1046" t="s">
        <v>1578</v>
      </c>
      <c r="E752" s="1042" t="s">
        <v>1381</v>
      </c>
    </row>
    <row r="753" spans="1:5" x14ac:dyDescent="0.25">
      <c r="A753" s="974">
        <v>752</v>
      </c>
      <c r="B753" s="974" t="s">
        <v>1516</v>
      </c>
      <c r="C753" s="1046" t="s">
        <v>1712</v>
      </c>
      <c r="D753" s="1046" t="s">
        <v>1578</v>
      </c>
      <c r="E753" s="1042" t="s">
        <v>1397</v>
      </c>
    </row>
    <row r="754" spans="1:5" x14ac:dyDescent="0.25">
      <c r="A754" s="974">
        <v>753</v>
      </c>
      <c r="B754" s="974" t="s">
        <v>1516</v>
      </c>
      <c r="C754" s="1046" t="s">
        <v>1712</v>
      </c>
      <c r="D754" s="1046" t="s">
        <v>1410</v>
      </c>
      <c r="E754" s="1042" t="s">
        <v>1382</v>
      </c>
    </row>
    <row r="755" spans="1:5" x14ac:dyDescent="0.25">
      <c r="A755" s="974">
        <v>754</v>
      </c>
      <c r="B755" s="974" t="s">
        <v>1516</v>
      </c>
      <c r="C755" s="1046" t="s">
        <v>1712</v>
      </c>
      <c r="D755" s="1046" t="s">
        <v>1578</v>
      </c>
      <c r="E755" s="1042" t="s">
        <v>1486</v>
      </c>
    </row>
    <row r="756" spans="1:5" x14ac:dyDescent="0.25">
      <c r="A756" s="974">
        <v>755</v>
      </c>
      <c r="B756" s="974" t="s">
        <v>1516</v>
      </c>
      <c r="C756" s="1046" t="s">
        <v>1712</v>
      </c>
      <c r="D756" s="1046" t="s">
        <v>1578</v>
      </c>
      <c r="E756" s="1042" t="s">
        <v>1487</v>
      </c>
    </row>
    <row r="757" spans="1:5" x14ac:dyDescent="0.25">
      <c r="A757" s="974">
        <v>756</v>
      </c>
      <c r="B757" s="974" t="s">
        <v>1516</v>
      </c>
      <c r="C757" s="1046" t="s">
        <v>1712</v>
      </c>
      <c r="D757" s="1046" t="s">
        <v>1410</v>
      </c>
      <c r="E757" s="1042" t="s">
        <v>1488</v>
      </c>
    </row>
    <row r="758" spans="1:5" ht="30" x14ac:dyDescent="0.25">
      <c r="A758" s="974">
        <v>757</v>
      </c>
      <c r="B758" s="974" t="s">
        <v>1516</v>
      </c>
      <c r="C758" s="1046" t="s">
        <v>1712</v>
      </c>
      <c r="D758" s="1046" t="s">
        <v>1544</v>
      </c>
      <c r="E758" s="1042" t="s">
        <v>1385</v>
      </c>
    </row>
    <row r="759" spans="1:5" ht="30" x14ac:dyDescent="0.25">
      <c r="A759" s="974">
        <v>758</v>
      </c>
      <c r="B759" s="974" t="s">
        <v>1516</v>
      </c>
      <c r="C759" s="1046" t="s">
        <v>1712</v>
      </c>
      <c r="D759" s="1046" t="s">
        <v>1544</v>
      </c>
      <c r="E759" s="1042" t="s">
        <v>1386</v>
      </c>
    </row>
    <row r="760" spans="1:5" ht="30" x14ac:dyDescent="0.25">
      <c r="A760" s="974">
        <v>759</v>
      </c>
      <c r="B760" s="974" t="s">
        <v>1516</v>
      </c>
      <c r="C760" s="1046" t="s">
        <v>1712</v>
      </c>
      <c r="D760" s="1046" t="s">
        <v>1544</v>
      </c>
      <c r="E760" s="1042" t="s">
        <v>1495</v>
      </c>
    </row>
    <row r="761" spans="1:5" x14ac:dyDescent="0.25">
      <c r="A761" s="974">
        <v>760</v>
      </c>
      <c r="B761" s="974" t="s">
        <v>1516</v>
      </c>
      <c r="C761" s="1046" t="s">
        <v>1712</v>
      </c>
      <c r="D761" s="1046" t="s">
        <v>1410</v>
      </c>
      <c r="E761" s="1042" t="s">
        <v>1492</v>
      </c>
    </row>
    <row r="762" spans="1:5" x14ac:dyDescent="0.25">
      <c r="A762" s="974">
        <v>761</v>
      </c>
      <c r="B762" s="974" t="s">
        <v>1516</v>
      </c>
      <c r="C762" s="1046" t="s">
        <v>1712</v>
      </c>
      <c r="D762" s="1046" t="s">
        <v>1578</v>
      </c>
      <c r="E762" s="1042" t="s">
        <v>1389</v>
      </c>
    </row>
    <row r="763" spans="1:5" x14ac:dyDescent="0.25">
      <c r="A763" s="974">
        <v>762</v>
      </c>
      <c r="B763" s="974" t="s">
        <v>1516</v>
      </c>
      <c r="C763" s="1046" t="s">
        <v>1713</v>
      </c>
      <c r="D763" s="1046" t="s">
        <v>1578</v>
      </c>
      <c r="E763" s="1042" t="s">
        <v>1491</v>
      </c>
    </row>
    <row r="764" spans="1:5" x14ac:dyDescent="0.25">
      <c r="A764" s="974">
        <v>763</v>
      </c>
      <c r="B764" s="974" t="s">
        <v>1516</v>
      </c>
      <c r="C764" s="1046" t="s">
        <v>1713</v>
      </c>
      <c r="D764" s="1046" t="s">
        <v>1410</v>
      </c>
      <c r="E764" s="1042" t="s">
        <v>1705</v>
      </c>
    </row>
    <row r="765" spans="1:5" x14ac:dyDescent="0.25">
      <c r="A765" s="974">
        <v>764</v>
      </c>
      <c r="B765" s="974" t="s">
        <v>1516</v>
      </c>
      <c r="C765" s="1046" t="s">
        <v>1713</v>
      </c>
      <c r="D765" s="1046" t="s">
        <v>1578</v>
      </c>
      <c r="E765" s="1042" t="s">
        <v>1383</v>
      </c>
    </row>
    <row r="766" spans="1:5" x14ac:dyDescent="0.25">
      <c r="A766" s="974">
        <v>765</v>
      </c>
      <c r="B766" s="974" t="s">
        <v>1516</v>
      </c>
      <c r="C766" s="1046" t="s">
        <v>1713</v>
      </c>
      <c r="D766" s="1046" t="s">
        <v>1578</v>
      </c>
      <c r="E766" s="1042" t="s">
        <v>1380</v>
      </c>
    </row>
    <row r="767" spans="1:5" x14ac:dyDescent="0.25">
      <c r="A767" s="974">
        <v>766</v>
      </c>
      <c r="B767" s="974" t="s">
        <v>1516</v>
      </c>
      <c r="C767" s="1046" t="s">
        <v>1713</v>
      </c>
      <c r="D767" s="1046" t="s">
        <v>1578</v>
      </c>
      <c r="E767" s="1042" t="s">
        <v>1381</v>
      </c>
    </row>
    <row r="768" spans="1:5" x14ac:dyDescent="0.25">
      <c r="A768" s="974">
        <v>767</v>
      </c>
      <c r="B768" s="974" t="s">
        <v>1516</v>
      </c>
      <c r="C768" s="1046" t="s">
        <v>1713</v>
      </c>
      <c r="D768" s="1046" t="s">
        <v>1578</v>
      </c>
      <c r="E768" s="1042" t="s">
        <v>1397</v>
      </c>
    </row>
    <row r="769" spans="1:5" x14ac:dyDescent="0.25">
      <c r="A769" s="974">
        <v>768</v>
      </c>
      <c r="B769" s="974" t="s">
        <v>1516</v>
      </c>
      <c r="C769" s="1046" t="s">
        <v>1713</v>
      </c>
      <c r="D769" s="1046" t="s">
        <v>1410</v>
      </c>
      <c r="E769" s="1042" t="s">
        <v>1382</v>
      </c>
    </row>
    <row r="770" spans="1:5" x14ac:dyDescent="0.25">
      <c r="A770" s="974">
        <v>769</v>
      </c>
      <c r="B770" s="974" t="s">
        <v>1516</v>
      </c>
      <c r="C770" s="1046" t="s">
        <v>1713</v>
      </c>
      <c r="D770" s="1046" t="s">
        <v>1578</v>
      </c>
      <c r="E770" s="1042" t="s">
        <v>1486</v>
      </c>
    </row>
    <row r="771" spans="1:5" x14ac:dyDescent="0.25">
      <c r="A771" s="974">
        <v>770</v>
      </c>
      <c r="B771" s="974" t="s">
        <v>1516</v>
      </c>
      <c r="C771" s="1046" t="s">
        <v>1713</v>
      </c>
      <c r="D771" s="1046" t="s">
        <v>1578</v>
      </c>
      <c r="E771" s="1042" t="s">
        <v>1487</v>
      </c>
    </row>
    <row r="772" spans="1:5" x14ac:dyDescent="0.25">
      <c r="A772" s="974">
        <v>771</v>
      </c>
      <c r="B772" s="974" t="s">
        <v>1516</v>
      </c>
      <c r="C772" s="1046" t="s">
        <v>1713</v>
      </c>
      <c r="D772" s="1046" t="s">
        <v>1410</v>
      </c>
      <c r="E772" s="1042" t="s">
        <v>1488</v>
      </c>
    </row>
    <row r="773" spans="1:5" ht="30" x14ac:dyDescent="0.25">
      <c r="A773" s="974">
        <v>772</v>
      </c>
      <c r="B773" s="974" t="s">
        <v>1516</v>
      </c>
      <c r="C773" s="1046" t="s">
        <v>1713</v>
      </c>
      <c r="D773" s="1046" t="s">
        <v>1544</v>
      </c>
      <c r="E773" s="1042" t="s">
        <v>1385</v>
      </c>
    </row>
    <row r="774" spans="1:5" ht="30" x14ac:dyDescent="0.25">
      <c r="A774" s="974">
        <v>773</v>
      </c>
      <c r="B774" s="974" t="s">
        <v>1516</v>
      </c>
      <c r="C774" s="1046" t="s">
        <v>1713</v>
      </c>
      <c r="D774" s="1046" t="s">
        <v>1544</v>
      </c>
      <c r="E774" s="1042" t="s">
        <v>1386</v>
      </c>
    </row>
    <row r="775" spans="1:5" ht="30" x14ac:dyDescent="0.25">
      <c r="A775" s="974">
        <v>774</v>
      </c>
      <c r="B775" s="974" t="s">
        <v>1516</v>
      </c>
      <c r="C775" s="1046" t="s">
        <v>1713</v>
      </c>
      <c r="D775" s="1046" t="s">
        <v>1544</v>
      </c>
      <c r="E775" s="1042" t="s">
        <v>1495</v>
      </c>
    </row>
    <row r="776" spans="1:5" x14ac:dyDescent="0.25">
      <c r="A776" s="974">
        <v>775</v>
      </c>
      <c r="B776" s="974" t="s">
        <v>1516</v>
      </c>
      <c r="C776" s="1046" t="s">
        <v>1713</v>
      </c>
      <c r="D776" s="1046" t="s">
        <v>1410</v>
      </c>
      <c r="E776" s="1042" t="s">
        <v>1492</v>
      </c>
    </row>
    <row r="777" spans="1:5" x14ac:dyDescent="0.25">
      <c r="A777" s="974">
        <v>776</v>
      </c>
      <c r="B777" s="974" t="s">
        <v>1516</v>
      </c>
      <c r="C777" s="1046" t="s">
        <v>1713</v>
      </c>
      <c r="D777" s="1046" t="s">
        <v>1578</v>
      </c>
      <c r="E777" s="1042" t="s">
        <v>1389</v>
      </c>
    </row>
    <row r="778" spans="1:5" x14ac:dyDescent="0.25">
      <c r="A778" s="974">
        <v>777</v>
      </c>
      <c r="B778" s="974" t="s">
        <v>1516</v>
      </c>
      <c r="C778" s="1046" t="s">
        <v>1580</v>
      </c>
      <c r="D778" s="1046" t="s">
        <v>1579</v>
      </c>
      <c r="E778" s="1042" t="s">
        <v>1491</v>
      </c>
    </row>
    <row r="779" spans="1:5" x14ac:dyDescent="0.25">
      <c r="A779" s="974">
        <v>778</v>
      </c>
      <c r="B779" s="974" t="s">
        <v>1516</v>
      </c>
      <c r="C779" s="1046" t="s">
        <v>1580</v>
      </c>
      <c r="D779" s="1046" t="s">
        <v>1410</v>
      </c>
      <c r="E779" s="1042" t="s">
        <v>1705</v>
      </c>
    </row>
    <row r="780" spans="1:5" x14ac:dyDescent="0.25">
      <c r="A780" s="974">
        <v>779</v>
      </c>
      <c r="B780" s="974" t="s">
        <v>1516</v>
      </c>
      <c r="C780" s="1046" t="s">
        <v>1580</v>
      </c>
      <c r="D780" s="1046" t="s">
        <v>1579</v>
      </c>
      <c r="E780" s="1042" t="s">
        <v>1383</v>
      </c>
    </row>
    <row r="781" spans="1:5" x14ac:dyDescent="0.25">
      <c r="A781" s="974">
        <v>780</v>
      </c>
      <c r="B781" s="974" t="s">
        <v>1516</v>
      </c>
      <c r="C781" s="1046" t="s">
        <v>1580</v>
      </c>
      <c r="D781" s="1046" t="s">
        <v>1579</v>
      </c>
      <c r="E781" s="1042" t="s">
        <v>1380</v>
      </c>
    </row>
    <row r="782" spans="1:5" x14ac:dyDescent="0.25">
      <c r="A782" s="974">
        <v>781</v>
      </c>
      <c r="B782" s="974" t="s">
        <v>1516</v>
      </c>
      <c r="C782" s="1046" t="s">
        <v>1580</v>
      </c>
      <c r="D782" s="1046" t="s">
        <v>1579</v>
      </c>
      <c r="E782" s="1042" t="s">
        <v>1381</v>
      </c>
    </row>
    <row r="783" spans="1:5" x14ac:dyDescent="0.25">
      <c r="A783" s="974">
        <v>782</v>
      </c>
      <c r="B783" s="974" t="s">
        <v>1516</v>
      </c>
      <c r="C783" s="1046" t="s">
        <v>1580</v>
      </c>
      <c r="D783" s="1046" t="s">
        <v>1579</v>
      </c>
      <c r="E783" s="1042" t="s">
        <v>1397</v>
      </c>
    </row>
    <row r="784" spans="1:5" x14ac:dyDescent="0.25">
      <c r="A784" s="974">
        <v>783</v>
      </c>
      <c r="B784" s="974" t="s">
        <v>1516</v>
      </c>
      <c r="C784" s="1046" t="s">
        <v>1580</v>
      </c>
      <c r="D784" s="1046" t="s">
        <v>1410</v>
      </c>
      <c r="E784" s="1042" t="s">
        <v>1382</v>
      </c>
    </row>
    <row r="785" spans="1:5" x14ac:dyDescent="0.25">
      <c r="A785" s="974">
        <v>784</v>
      </c>
      <c r="B785" s="974" t="s">
        <v>1516</v>
      </c>
      <c r="C785" s="1046" t="s">
        <v>1580</v>
      </c>
      <c r="D785" s="1046" t="s">
        <v>1579</v>
      </c>
      <c r="E785" s="1042" t="s">
        <v>1486</v>
      </c>
    </row>
    <row r="786" spans="1:5" x14ac:dyDescent="0.25">
      <c r="A786" s="974">
        <v>785</v>
      </c>
      <c r="B786" s="974" t="s">
        <v>1516</v>
      </c>
      <c r="C786" s="1046" t="s">
        <v>1580</v>
      </c>
      <c r="D786" s="1046" t="s">
        <v>1579</v>
      </c>
      <c r="E786" s="1042" t="s">
        <v>1487</v>
      </c>
    </row>
    <row r="787" spans="1:5" x14ac:dyDescent="0.25">
      <c r="A787" s="974">
        <v>786</v>
      </c>
      <c r="B787" s="974" t="s">
        <v>1516</v>
      </c>
      <c r="C787" s="1046" t="s">
        <v>1580</v>
      </c>
      <c r="D787" s="1046" t="s">
        <v>1410</v>
      </c>
      <c r="E787" s="1042" t="s">
        <v>1488</v>
      </c>
    </row>
    <row r="788" spans="1:5" ht="30" x14ac:dyDescent="0.25">
      <c r="A788" s="974">
        <v>787</v>
      </c>
      <c r="B788" s="974" t="s">
        <v>1516</v>
      </c>
      <c r="C788" s="1046" t="s">
        <v>1580</v>
      </c>
      <c r="D788" s="1046" t="s">
        <v>1544</v>
      </c>
      <c r="E788" s="1042" t="s">
        <v>1385</v>
      </c>
    </row>
    <row r="789" spans="1:5" ht="30" x14ac:dyDescent="0.25">
      <c r="A789" s="974">
        <v>788</v>
      </c>
      <c r="B789" s="974" t="s">
        <v>1516</v>
      </c>
      <c r="C789" s="1046" t="s">
        <v>1580</v>
      </c>
      <c r="D789" s="1046" t="s">
        <v>1544</v>
      </c>
      <c r="E789" s="1042" t="s">
        <v>1386</v>
      </c>
    </row>
    <row r="790" spans="1:5" ht="30" x14ac:dyDescent="0.25">
      <c r="A790" s="974">
        <v>789</v>
      </c>
      <c r="B790" s="974" t="s">
        <v>1516</v>
      </c>
      <c r="C790" s="1046" t="s">
        <v>1580</v>
      </c>
      <c r="D790" s="1046" t="s">
        <v>1544</v>
      </c>
      <c r="E790" s="1042" t="s">
        <v>1495</v>
      </c>
    </row>
    <row r="791" spans="1:5" x14ac:dyDescent="0.25">
      <c r="A791" s="974">
        <v>790</v>
      </c>
      <c r="B791" s="974" t="s">
        <v>1516</v>
      </c>
      <c r="C791" s="1046" t="s">
        <v>1580</v>
      </c>
      <c r="D791" s="1046" t="s">
        <v>1410</v>
      </c>
      <c r="E791" s="1042" t="s">
        <v>1492</v>
      </c>
    </row>
    <row r="792" spans="1:5" x14ac:dyDescent="0.25">
      <c r="A792" s="974">
        <v>791</v>
      </c>
      <c r="B792" s="974" t="s">
        <v>1516</v>
      </c>
      <c r="C792" s="1046" t="s">
        <v>1580</v>
      </c>
      <c r="D792" s="1046" t="s">
        <v>1579</v>
      </c>
      <c r="E792" s="1042" t="s">
        <v>1506</v>
      </c>
    </row>
    <row r="793" spans="1:5" x14ac:dyDescent="0.25">
      <c r="A793" s="974">
        <v>792</v>
      </c>
      <c r="B793" s="974" t="s">
        <v>1516</v>
      </c>
      <c r="C793" s="1046" t="s">
        <v>1581</v>
      </c>
      <c r="D793" s="1046" t="s">
        <v>1579</v>
      </c>
      <c r="E793" s="1042" t="s">
        <v>1387</v>
      </c>
    </row>
    <row r="794" spans="1:5" x14ac:dyDescent="0.25">
      <c r="A794" s="974">
        <v>793</v>
      </c>
      <c r="B794" s="974" t="s">
        <v>1516</v>
      </c>
      <c r="C794" s="1046" t="s">
        <v>1581</v>
      </c>
      <c r="D794" s="1046" t="s">
        <v>1579</v>
      </c>
      <c r="E794" s="1042" t="s">
        <v>1388</v>
      </c>
    </row>
    <row r="795" spans="1:5" x14ac:dyDescent="0.25">
      <c r="A795" s="974">
        <v>794</v>
      </c>
      <c r="B795" s="974" t="s">
        <v>1516</v>
      </c>
      <c r="C795" s="1046" t="s">
        <v>1581</v>
      </c>
      <c r="D795" s="1046" t="s">
        <v>1579</v>
      </c>
      <c r="E795" s="1042" t="s">
        <v>1104</v>
      </c>
    </row>
    <row r="796" spans="1:5" x14ac:dyDescent="0.25">
      <c r="A796" s="974">
        <v>795</v>
      </c>
      <c r="B796" s="974" t="s">
        <v>1516</v>
      </c>
      <c r="C796" s="1046" t="s">
        <v>1582</v>
      </c>
      <c r="D796" s="1046" t="s">
        <v>1579</v>
      </c>
      <c r="E796" s="1042" t="s">
        <v>1491</v>
      </c>
    </row>
    <row r="797" spans="1:5" x14ac:dyDescent="0.25">
      <c r="A797" s="974">
        <v>796</v>
      </c>
      <c r="B797" s="974" t="s">
        <v>1516</v>
      </c>
      <c r="C797" s="1046" t="s">
        <v>1582</v>
      </c>
      <c r="D797" s="1046" t="s">
        <v>1410</v>
      </c>
      <c r="E797" s="1042" t="s">
        <v>1705</v>
      </c>
    </row>
    <row r="798" spans="1:5" x14ac:dyDescent="0.25">
      <c r="A798" s="974">
        <v>797</v>
      </c>
      <c r="B798" s="974" t="s">
        <v>1516</v>
      </c>
      <c r="C798" s="1046" t="s">
        <v>1582</v>
      </c>
      <c r="D798" s="1046" t="s">
        <v>1579</v>
      </c>
      <c r="E798" s="1042" t="s">
        <v>1383</v>
      </c>
    </row>
    <row r="799" spans="1:5" x14ac:dyDescent="0.25">
      <c r="A799" s="974">
        <v>798</v>
      </c>
      <c r="B799" s="974" t="s">
        <v>1516</v>
      </c>
      <c r="C799" s="1046" t="s">
        <v>1582</v>
      </c>
      <c r="D799" s="1046" t="s">
        <v>1579</v>
      </c>
      <c r="E799" s="1042" t="s">
        <v>1380</v>
      </c>
    </row>
    <row r="800" spans="1:5" x14ac:dyDescent="0.25">
      <c r="A800" s="974">
        <v>799</v>
      </c>
      <c r="B800" s="974" t="s">
        <v>1516</v>
      </c>
      <c r="C800" s="1046" t="s">
        <v>1582</v>
      </c>
      <c r="D800" s="1046" t="s">
        <v>1579</v>
      </c>
      <c r="E800" s="1042" t="s">
        <v>1381</v>
      </c>
    </row>
    <row r="801" spans="1:5" x14ac:dyDescent="0.25">
      <c r="A801" s="974">
        <v>800</v>
      </c>
      <c r="B801" s="974" t="s">
        <v>1516</v>
      </c>
      <c r="C801" s="1046" t="s">
        <v>1582</v>
      </c>
      <c r="D801" s="1046" t="s">
        <v>1579</v>
      </c>
      <c r="E801" s="1042" t="s">
        <v>1397</v>
      </c>
    </row>
    <row r="802" spans="1:5" x14ac:dyDescent="0.25">
      <c r="A802" s="974">
        <v>801</v>
      </c>
      <c r="B802" s="974" t="s">
        <v>1516</v>
      </c>
      <c r="C802" s="1046" t="s">
        <v>1582</v>
      </c>
      <c r="D802" s="1046" t="s">
        <v>1410</v>
      </c>
      <c r="E802" s="1042" t="s">
        <v>1382</v>
      </c>
    </row>
    <row r="803" spans="1:5" x14ac:dyDescent="0.25">
      <c r="A803" s="974">
        <v>802</v>
      </c>
      <c r="B803" s="974" t="s">
        <v>1516</v>
      </c>
      <c r="C803" s="1046" t="s">
        <v>1582</v>
      </c>
      <c r="D803" s="1046" t="s">
        <v>1579</v>
      </c>
      <c r="E803" s="1042" t="s">
        <v>1486</v>
      </c>
    </row>
    <row r="804" spans="1:5" x14ac:dyDescent="0.25">
      <c r="A804" s="974">
        <v>803</v>
      </c>
      <c r="B804" s="974" t="s">
        <v>1516</v>
      </c>
      <c r="C804" s="1046" t="s">
        <v>1582</v>
      </c>
      <c r="D804" s="1046" t="s">
        <v>1579</v>
      </c>
      <c r="E804" s="1042" t="s">
        <v>1487</v>
      </c>
    </row>
    <row r="805" spans="1:5" x14ac:dyDescent="0.25">
      <c r="A805" s="974">
        <v>804</v>
      </c>
      <c r="B805" s="974" t="s">
        <v>1516</v>
      </c>
      <c r="C805" s="1046" t="s">
        <v>1582</v>
      </c>
      <c r="D805" s="1046" t="s">
        <v>1410</v>
      </c>
      <c r="E805" s="1042" t="s">
        <v>1488</v>
      </c>
    </row>
    <row r="806" spans="1:5" ht="30" x14ac:dyDescent="0.25">
      <c r="A806" s="974">
        <v>805</v>
      </c>
      <c r="B806" s="974" t="s">
        <v>1516</v>
      </c>
      <c r="C806" s="1046" t="s">
        <v>1582</v>
      </c>
      <c r="D806" s="1046" t="s">
        <v>1544</v>
      </c>
      <c r="E806" s="1042" t="s">
        <v>1385</v>
      </c>
    </row>
    <row r="807" spans="1:5" ht="30" x14ac:dyDescent="0.25">
      <c r="A807" s="974">
        <v>806</v>
      </c>
      <c r="B807" s="974" t="s">
        <v>1516</v>
      </c>
      <c r="C807" s="1046" t="s">
        <v>1582</v>
      </c>
      <c r="D807" s="1046" t="s">
        <v>1544</v>
      </c>
      <c r="E807" s="1042" t="s">
        <v>1386</v>
      </c>
    </row>
    <row r="808" spans="1:5" ht="30" x14ac:dyDescent="0.25">
      <c r="A808" s="974">
        <v>807</v>
      </c>
      <c r="B808" s="974" t="s">
        <v>1516</v>
      </c>
      <c r="C808" s="1046" t="s">
        <v>1582</v>
      </c>
      <c r="D808" s="1046" t="s">
        <v>1544</v>
      </c>
      <c r="E808" s="1042" t="s">
        <v>1495</v>
      </c>
    </row>
    <row r="809" spans="1:5" x14ac:dyDescent="0.25">
      <c r="A809" s="974">
        <v>808</v>
      </c>
      <c r="B809" s="974" t="s">
        <v>1516</v>
      </c>
      <c r="C809" s="1046" t="s">
        <v>1582</v>
      </c>
      <c r="D809" s="1046" t="s">
        <v>1410</v>
      </c>
      <c r="E809" s="1042" t="s">
        <v>1492</v>
      </c>
    </row>
    <row r="810" spans="1:5" x14ac:dyDescent="0.25">
      <c r="A810" s="974">
        <v>809</v>
      </c>
      <c r="B810" s="974" t="s">
        <v>1516</v>
      </c>
      <c r="C810" s="1046" t="s">
        <v>1582</v>
      </c>
      <c r="D810" s="1046" t="s">
        <v>1579</v>
      </c>
      <c r="E810" s="1042" t="s">
        <v>1506</v>
      </c>
    </row>
    <row r="811" spans="1:5" x14ac:dyDescent="0.25">
      <c r="A811" s="974">
        <v>810</v>
      </c>
      <c r="B811" s="974" t="s">
        <v>1516</v>
      </c>
      <c r="C811" s="1046" t="s">
        <v>1583</v>
      </c>
      <c r="D811" s="1046" t="s">
        <v>1579</v>
      </c>
      <c r="E811" s="1042" t="s">
        <v>1387</v>
      </c>
    </row>
    <row r="812" spans="1:5" x14ac:dyDescent="0.25">
      <c r="A812" s="974">
        <v>811</v>
      </c>
      <c r="B812" s="974" t="s">
        <v>1516</v>
      </c>
      <c r="C812" s="1046" t="s">
        <v>1583</v>
      </c>
      <c r="D812" s="1046" t="s">
        <v>1579</v>
      </c>
      <c r="E812" s="1042" t="s">
        <v>1388</v>
      </c>
    </row>
    <row r="813" spans="1:5" x14ac:dyDescent="0.25">
      <c r="A813" s="974">
        <v>812</v>
      </c>
      <c r="B813" s="974" t="s">
        <v>1516</v>
      </c>
      <c r="C813" s="1046" t="s">
        <v>1583</v>
      </c>
      <c r="D813" s="1046" t="s">
        <v>1579</v>
      </c>
      <c r="E813" s="1042" t="s">
        <v>1389</v>
      </c>
    </row>
    <row r="814" spans="1:5" x14ac:dyDescent="0.25">
      <c r="A814" s="974">
        <v>813</v>
      </c>
      <c r="B814" s="974" t="s">
        <v>1516</v>
      </c>
      <c r="C814" s="1046" t="s">
        <v>1584</v>
      </c>
      <c r="D814" s="1046" t="s">
        <v>1537</v>
      </c>
      <c r="E814" s="1042" t="s">
        <v>1491</v>
      </c>
    </row>
    <row r="815" spans="1:5" x14ac:dyDescent="0.25">
      <c r="A815" s="974">
        <v>814</v>
      </c>
      <c r="B815" s="974" t="s">
        <v>1516</v>
      </c>
      <c r="C815" s="1046" t="s">
        <v>1584</v>
      </c>
      <c r="D815" s="1046" t="s">
        <v>1410</v>
      </c>
      <c r="E815" s="1042" t="s">
        <v>1705</v>
      </c>
    </row>
    <row r="816" spans="1:5" x14ac:dyDescent="0.25">
      <c r="A816" s="974">
        <v>815</v>
      </c>
      <c r="B816" s="974" t="s">
        <v>1516</v>
      </c>
      <c r="C816" s="1046" t="s">
        <v>1584</v>
      </c>
      <c r="D816" s="1046" t="s">
        <v>1537</v>
      </c>
      <c r="E816" s="1042" t="s">
        <v>1383</v>
      </c>
    </row>
    <row r="817" spans="1:5" x14ac:dyDescent="0.25">
      <c r="A817" s="974">
        <v>816</v>
      </c>
      <c r="B817" s="974" t="s">
        <v>1516</v>
      </c>
      <c r="C817" s="1046" t="s">
        <v>1584</v>
      </c>
      <c r="D817" s="1046" t="s">
        <v>1537</v>
      </c>
      <c r="E817" s="1042" t="s">
        <v>1380</v>
      </c>
    </row>
    <row r="818" spans="1:5" x14ac:dyDescent="0.25">
      <c r="A818" s="974">
        <v>817</v>
      </c>
      <c r="B818" s="974" t="s">
        <v>1516</v>
      </c>
      <c r="C818" s="1046" t="s">
        <v>1584</v>
      </c>
      <c r="D818" s="1046" t="s">
        <v>1537</v>
      </c>
      <c r="E818" s="1042" t="s">
        <v>1381</v>
      </c>
    </row>
    <row r="819" spans="1:5" x14ac:dyDescent="0.25">
      <c r="A819" s="974">
        <v>818</v>
      </c>
      <c r="B819" s="974" t="s">
        <v>1516</v>
      </c>
      <c r="C819" s="1046" t="s">
        <v>1584</v>
      </c>
      <c r="D819" s="1046" t="s">
        <v>1537</v>
      </c>
      <c r="E819" s="1042" t="s">
        <v>1397</v>
      </c>
    </row>
    <row r="820" spans="1:5" x14ac:dyDescent="0.25">
      <c r="A820" s="974">
        <v>819</v>
      </c>
      <c r="B820" s="974" t="s">
        <v>1516</v>
      </c>
      <c r="C820" s="1046" t="s">
        <v>1584</v>
      </c>
      <c r="D820" s="1046" t="s">
        <v>1537</v>
      </c>
      <c r="E820" s="1042" t="s">
        <v>1382</v>
      </c>
    </row>
    <row r="821" spans="1:5" x14ac:dyDescent="0.25">
      <c r="A821" s="974">
        <v>820</v>
      </c>
      <c r="B821" s="974" t="s">
        <v>1516</v>
      </c>
      <c r="C821" s="1046" t="s">
        <v>1584</v>
      </c>
      <c r="D821" s="1046" t="s">
        <v>1537</v>
      </c>
      <c r="E821" s="1042" t="s">
        <v>1486</v>
      </c>
    </row>
    <row r="822" spans="1:5" x14ac:dyDescent="0.25">
      <c r="A822" s="974">
        <v>821</v>
      </c>
      <c r="B822" s="974" t="s">
        <v>1516</v>
      </c>
      <c r="C822" s="1046" t="s">
        <v>1584</v>
      </c>
      <c r="D822" s="1046" t="s">
        <v>1537</v>
      </c>
      <c r="E822" s="1042" t="s">
        <v>1487</v>
      </c>
    </row>
    <row r="823" spans="1:5" x14ac:dyDescent="0.25">
      <c r="A823" s="974">
        <v>822</v>
      </c>
      <c r="B823" s="974" t="s">
        <v>1516</v>
      </c>
      <c r="C823" s="1046" t="s">
        <v>1584</v>
      </c>
      <c r="D823" s="1046" t="s">
        <v>1410</v>
      </c>
      <c r="E823" s="1042" t="s">
        <v>1488</v>
      </c>
    </row>
    <row r="824" spans="1:5" ht="30" x14ac:dyDescent="0.25">
      <c r="A824" s="974">
        <v>823</v>
      </c>
      <c r="B824" s="974" t="s">
        <v>1516</v>
      </c>
      <c r="C824" s="1046" t="s">
        <v>1584</v>
      </c>
      <c r="D824" s="1046" t="s">
        <v>1544</v>
      </c>
      <c r="E824" s="1042" t="s">
        <v>1385</v>
      </c>
    </row>
    <row r="825" spans="1:5" ht="30" x14ac:dyDescent="0.25">
      <c r="A825" s="974">
        <v>824</v>
      </c>
      <c r="B825" s="974" t="s">
        <v>1516</v>
      </c>
      <c r="C825" s="1046" t="s">
        <v>1584</v>
      </c>
      <c r="D825" s="1046" t="s">
        <v>1544</v>
      </c>
      <c r="E825" s="1042" t="s">
        <v>1386</v>
      </c>
    </row>
    <row r="826" spans="1:5" ht="30" x14ac:dyDescent="0.25">
      <c r="A826" s="974">
        <v>825</v>
      </c>
      <c r="B826" s="974" t="s">
        <v>1516</v>
      </c>
      <c r="C826" s="1046" t="s">
        <v>1584</v>
      </c>
      <c r="D826" s="1046" t="s">
        <v>1544</v>
      </c>
      <c r="E826" s="1042" t="s">
        <v>1495</v>
      </c>
    </row>
    <row r="827" spans="1:5" x14ac:dyDescent="0.25">
      <c r="A827" s="974">
        <v>826</v>
      </c>
      <c r="B827" s="974" t="s">
        <v>1516</v>
      </c>
      <c r="C827" s="1046" t="s">
        <v>1584</v>
      </c>
      <c r="D827" s="1046" t="s">
        <v>1410</v>
      </c>
      <c r="E827" s="1042" t="s">
        <v>1492</v>
      </c>
    </row>
    <row r="828" spans="1:5" x14ac:dyDescent="0.25">
      <c r="A828" s="974">
        <v>827</v>
      </c>
      <c r="B828" s="974" t="s">
        <v>1516</v>
      </c>
      <c r="C828" s="1046" t="s">
        <v>1584</v>
      </c>
      <c r="D828" s="1046" t="s">
        <v>1537</v>
      </c>
      <c r="E828" s="1042" t="s">
        <v>1506</v>
      </c>
    </row>
    <row r="829" spans="1:5" x14ac:dyDescent="0.25">
      <c r="A829" s="974">
        <v>828</v>
      </c>
      <c r="B829" s="974" t="s">
        <v>1516</v>
      </c>
      <c r="C829" s="1046" t="s">
        <v>1585</v>
      </c>
      <c r="D829" s="1046" t="s">
        <v>1537</v>
      </c>
      <c r="E829" s="1042" t="s">
        <v>1387</v>
      </c>
    </row>
    <row r="830" spans="1:5" x14ac:dyDescent="0.25">
      <c r="A830" s="974">
        <v>829</v>
      </c>
      <c r="B830" s="974" t="s">
        <v>1516</v>
      </c>
      <c r="C830" s="1046" t="s">
        <v>1585</v>
      </c>
      <c r="D830" s="1046" t="s">
        <v>1537</v>
      </c>
      <c r="E830" s="1042" t="s">
        <v>1388</v>
      </c>
    </row>
    <row r="831" spans="1:5" x14ac:dyDescent="0.25">
      <c r="A831" s="974">
        <v>830</v>
      </c>
      <c r="B831" s="974" t="s">
        <v>1516</v>
      </c>
      <c r="C831" s="1046" t="s">
        <v>1585</v>
      </c>
      <c r="D831" s="1046" t="s">
        <v>1537</v>
      </c>
      <c r="E831" s="1042" t="s">
        <v>1389</v>
      </c>
    </row>
    <row r="832" spans="1:5" x14ac:dyDescent="0.25">
      <c r="A832" s="974">
        <v>831</v>
      </c>
      <c r="B832" s="974" t="s">
        <v>1516</v>
      </c>
      <c r="C832" s="1046" t="s">
        <v>1586</v>
      </c>
      <c r="D832" s="1046" t="s">
        <v>1537</v>
      </c>
      <c r="E832" s="1042" t="s">
        <v>1387</v>
      </c>
    </row>
    <row r="833" spans="1:5" x14ac:dyDescent="0.25">
      <c r="A833" s="974">
        <v>832</v>
      </c>
      <c r="B833" s="974" t="s">
        <v>1516</v>
      </c>
      <c r="C833" s="1046" t="s">
        <v>1586</v>
      </c>
      <c r="D833" s="1046" t="s">
        <v>1537</v>
      </c>
      <c r="E833" s="1042" t="s">
        <v>1388</v>
      </c>
    </row>
    <row r="834" spans="1:5" x14ac:dyDescent="0.25">
      <c r="A834" s="974">
        <v>833</v>
      </c>
      <c r="B834" s="974" t="s">
        <v>1516</v>
      </c>
      <c r="C834" s="1046" t="s">
        <v>1586</v>
      </c>
      <c r="D834" s="1046" t="s">
        <v>1537</v>
      </c>
      <c r="E834" s="1042" t="s">
        <v>1389</v>
      </c>
    </row>
    <row r="835" spans="1:5" x14ac:dyDescent="0.25">
      <c r="A835" s="974">
        <v>834</v>
      </c>
      <c r="B835" s="974" t="s">
        <v>1516</v>
      </c>
      <c r="C835" s="1046" t="s">
        <v>1587</v>
      </c>
      <c r="D835" s="1046" t="s">
        <v>1537</v>
      </c>
      <c r="E835" s="1042" t="s">
        <v>1387</v>
      </c>
    </row>
    <row r="836" spans="1:5" x14ac:dyDescent="0.25">
      <c r="A836" s="974">
        <v>835</v>
      </c>
      <c r="B836" s="974" t="s">
        <v>1516</v>
      </c>
      <c r="C836" s="1046" t="s">
        <v>1587</v>
      </c>
      <c r="D836" s="1046" t="s">
        <v>1537</v>
      </c>
      <c r="E836" s="1042" t="s">
        <v>1388</v>
      </c>
    </row>
    <row r="837" spans="1:5" x14ac:dyDescent="0.25">
      <c r="A837" s="974">
        <v>836</v>
      </c>
      <c r="B837" s="974" t="s">
        <v>1516</v>
      </c>
      <c r="C837" s="1046" t="s">
        <v>1587</v>
      </c>
      <c r="D837" s="1046" t="s">
        <v>1537</v>
      </c>
      <c r="E837" s="1042" t="s">
        <v>1389</v>
      </c>
    </row>
    <row r="838" spans="1:5" x14ac:dyDescent="0.25">
      <c r="A838" s="974">
        <v>837</v>
      </c>
      <c r="B838" s="974" t="s">
        <v>1516</v>
      </c>
      <c r="C838" s="1046" t="s">
        <v>1588</v>
      </c>
      <c r="D838" s="1046" t="s">
        <v>1513</v>
      </c>
      <c r="E838" s="1042" t="s">
        <v>1387</v>
      </c>
    </row>
    <row r="839" spans="1:5" x14ac:dyDescent="0.25">
      <c r="A839" s="974">
        <v>838</v>
      </c>
      <c r="B839" s="974" t="s">
        <v>1516</v>
      </c>
      <c r="C839" s="1046" t="s">
        <v>1588</v>
      </c>
      <c r="D839" s="1046" t="s">
        <v>1537</v>
      </c>
      <c r="E839" s="1042" t="s">
        <v>1388</v>
      </c>
    </row>
    <row r="840" spans="1:5" x14ac:dyDescent="0.25">
      <c r="A840" s="974">
        <v>839</v>
      </c>
      <c r="B840" s="974" t="s">
        <v>1516</v>
      </c>
      <c r="C840" s="1046" t="s">
        <v>1588</v>
      </c>
      <c r="D840" s="1046" t="s">
        <v>1537</v>
      </c>
      <c r="E840" s="1042" t="s">
        <v>1389</v>
      </c>
    </row>
    <row r="841" spans="1:5" x14ac:dyDescent="0.25">
      <c r="A841" s="974">
        <v>840</v>
      </c>
      <c r="B841" s="974" t="s">
        <v>1516</v>
      </c>
      <c r="C841" s="1046" t="s">
        <v>1589</v>
      </c>
      <c r="D841" s="1046" t="s">
        <v>1537</v>
      </c>
      <c r="E841" s="1042" t="s">
        <v>1387</v>
      </c>
    </row>
    <row r="842" spans="1:5" x14ac:dyDescent="0.25">
      <c r="A842" s="974">
        <v>841</v>
      </c>
      <c r="B842" s="974" t="s">
        <v>1516</v>
      </c>
      <c r="C842" s="1046" t="s">
        <v>1589</v>
      </c>
      <c r="D842" s="1046" t="s">
        <v>1537</v>
      </c>
      <c r="E842" s="1042" t="s">
        <v>1388</v>
      </c>
    </row>
    <row r="843" spans="1:5" x14ac:dyDescent="0.25">
      <c r="A843" s="974">
        <v>842</v>
      </c>
      <c r="B843" s="974" t="s">
        <v>1516</v>
      </c>
      <c r="C843" s="1046" t="s">
        <v>1589</v>
      </c>
      <c r="D843" s="1046" t="s">
        <v>1537</v>
      </c>
      <c r="E843" s="1042" t="s">
        <v>1389</v>
      </c>
    </row>
    <row r="844" spans="1:5" x14ac:dyDescent="0.25">
      <c r="A844" s="974">
        <v>843</v>
      </c>
      <c r="B844" s="974" t="s">
        <v>1516</v>
      </c>
      <c r="C844" s="1046" t="s">
        <v>1590</v>
      </c>
      <c r="D844" s="1046" t="s">
        <v>1537</v>
      </c>
      <c r="E844" s="1042" t="s">
        <v>1491</v>
      </c>
    </row>
    <row r="845" spans="1:5" x14ac:dyDescent="0.25">
      <c r="A845" s="974">
        <v>844</v>
      </c>
      <c r="B845" s="974" t="s">
        <v>1516</v>
      </c>
      <c r="C845" s="1046" t="s">
        <v>1590</v>
      </c>
      <c r="D845" s="1046" t="s">
        <v>1537</v>
      </c>
      <c r="E845" s="1042" t="s">
        <v>1705</v>
      </c>
    </row>
    <row r="846" spans="1:5" x14ac:dyDescent="0.25">
      <c r="A846" s="974">
        <v>845</v>
      </c>
      <c r="B846" s="974" t="s">
        <v>1516</v>
      </c>
      <c r="C846" s="1046" t="s">
        <v>1590</v>
      </c>
      <c r="D846" s="1046" t="s">
        <v>1537</v>
      </c>
      <c r="E846" s="1042" t="s">
        <v>1383</v>
      </c>
    </row>
    <row r="847" spans="1:5" x14ac:dyDescent="0.25">
      <c r="A847" s="974">
        <v>846</v>
      </c>
      <c r="B847" s="974" t="s">
        <v>1516</v>
      </c>
      <c r="C847" s="1046" t="s">
        <v>1590</v>
      </c>
      <c r="D847" s="1046" t="s">
        <v>1537</v>
      </c>
      <c r="E847" s="1042" t="s">
        <v>1380</v>
      </c>
    </row>
    <row r="848" spans="1:5" x14ac:dyDescent="0.25">
      <c r="A848" s="974">
        <v>847</v>
      </c>
      <c r="B848" s="974" t="s">
        <v>1516</v>
      </c>
      <c r="C848" s="1046" t="s">
        <v>1590</v>
      </c>
      <c r="D848" s="1046" t="s">
        <v>1537</v>
      </c>
      <c r="E848" s="1042" t="s">
        <v>1381</v>
      </c>
    </row>
    <row r="849" spans="1:5" x14ac:dyDescent="0.25">
      <c r="A849" s="974">
        <v>848</v>
      </c>
      <c r="B849" s="974" t="s">
        <v>1516</v>
      </c>
      <c r="C849" s="1046" t="s">
        <v>1590</v>
      </c>
      <c r="D849" s="1046" t="s">
        <v>1537</v>
      </c>
      <c r="E849" s="1042" t="s">
        <v>1397</v>
      </c>
    </row>
    <row r="850" spans="1:5" x14ac:dyDescent="0.25">
      <c r="A850" s="974">
        <v>849</v>
      </c>
      <c r="B850" s="974" t="s">
        <v>1516</v>
      </c>
      <c r="C850" s="1046" t="s">
        <v>1590</v>
      </c>
      <c r="D850" s="1046" t="s">
        <v>1537</v>
      </c>
      <c r="E850" s="1042" t="s">
        <v>1382</v>
      </c>
    </row>
    <row r="851" spans="1:5" x14ac:dyDescent="0.25">
      <c r="A851" s="974">
        <v>850</v>
      </c>
      <c r="B851" s="974" t="s">
        <v>1516</v>
      </c>
      <c r="C851" s="1046" t="s">
        <v>1590</v>
      </c>
      <c r="D851" s="1046" t="s">
        <v>1537</v>
      </c>
      <c r="E851" s="1042" t="s">
        <v>1486</v>
      </c>
    </row>
    <row r="852" spans="1:5" x14ac:dyDescent="0.25">
      <c r="A852" s="974">
        <v>851</v>
      </c>
      <c r="B852" s="974" t="s">
        <v>1516</v>
      </c>
      <c r="C852" s="1046" t="s">
        <v>1590</v>
      </c>
      <c r="D852" s="1046" t="s">
        <v>1537</v>
      </c>
      <c r="E852" s="1042" t="s">
        <v>1487</v>
      </c>
    </row>
    <row r="853" spans="1:5" x14ac:dyDescent="0.25">
      <c r="A853" s="974">
        <v>852</v>
      </c>
      <c r="B853" s="974" t="s">
        <v>1516</v>
      </c>
      <c r="C853" s="1046" t="s">
        <v>1590</v>
      </c>
      <c r="D853" s="1046" t="s">
        <v>1410</v>
      </c>
      <c r="E853" s="1042" t="s">
        <v>1488</v>
      </c>
    </row>
    <row r="854" spans="1:5" ht="30" x14ac:dyDescent="0.25">
      <c r="A854" s="974">
        <v>853</v>
      </c>
      <c r="B854" s="974" t="s">
        <v>1516</v>
      </c>
      <c r="C854" s="1046" t="s">
        <v>1590</v>
      </c>
      <c r="D854" s="1046" t="s">
        <v>1544</v>
      </c>
      <c r="E854" s="1042" t="s">
        <v>1385</v>
      </c>
    </row>
    <row r="855" spans="1:5" ht="30" x14ac:dyDescent="0.25">
      <c r="A855" s="974">
        <v>854</v>
      </c>
      <c r="B855" s="974" t="s">
        <v>1516</v>
      </c>
      <c r="C855" s="1046" t="s">
        <v>1590</v>
      </c>
      <c r="D855" s="1046" t="s">
        <v>1544</v>
      </c>
      <c r="E855" s="1042" t="s">
        <v>1386</v>
      </c>
    </row>
    <row r="856" spans="1:5" ht="30" x14ac:dyDescent="0.25">
      <c r="A856" s="974">
        <v>855</v>
      </c>
      <c r="B856" s="974" t="s">
        <v>1516</v>
      </c>
      <c r="C856" s="1046" t="s">
        <v>1590</v>
      </c>
      <c r="D856" s="1046" t="s">
        <v>1544</v>
      </c>
      <c r="E856" s="1042" t="s">
        <v>1495</v>
      </c>
    </row>
    <row r="857" spans="1:5" x14ac:dyDescent="0.25">
      <c r="A857" s="974">
        <v>856</v>
      </c>
      <c r="B857" s="974" t="s">
        <v>1516</v>
      </c>
      <c r="C857" s="1046" t="s">
        <v>1590</v>
      </c>
      <c r="D857" s="1046" t="s">
        <v>1410</v>
      </c>
      <c r="E857" s="1042" t="s">
        <v>1492</v>
      </c>
    </row>
    <row r="858" spans="1:5" x14ac:dyDescent="0.25">
      <c r="A858" s="974">
        <v>857</v>
      </c>
      <c r="B858" s="974" t="s">
        <v>1516</v>
      </c>
      <c r="C858" s="1046" t="s">
        <v>1590</v>
      </c>
      <c r="D858" s="1046" t="s">
        <v>1537</v>
      </c>
      <c r="E858" s="1042" t="s">
        <v>1506</v>
      </c>
    </row>
    <row r="859" spans="1:5" x14ac:dyDescent="0.25">
      <c r="A859" s="974">
        <v>858</v>
      </c>
      <c r="B859" s="974" t="s">
        <v>1516</v>
      </c>
      <c r="C859" s="1046" t="s">
        <v>1591</v>
      </c>
      <c r="D859" s="1046" t="s">
        <v>1537</v>
      </c>
      <c r="E859" s="1042" t="s">
        <v>1387</v>
      </c>
    </row>
    <row r="860" spans="1:5" x14ac:dyDescent="0.25">
      <c r="A860" s="974">
        <v>859</v>
      </c>
      <c r="B860" s="974" t="s">
        <v>1516</v>
      </c>
      <c r="C860" s="1046" t="s">
        <v>1591</v>
      </c>
      <c r="D860" s="1046" t="s">
        <v>1537</v>
      </c>
      <c r="E860" s="1042" t="s">
        <v>1388</v>
      </c>
    </row>
    <row r="861" spans="1:5" x14ac:dyDescent="0.25">
      <c r="A861" s="974">
        <v>860</v>
      </c>
      <c r="B861" s="974" t="s">
        <v>1516</v>
      </c>
      <c r="C861" s="1046" t="s">
        <v>1591</v>
      </c>
      <c r="D861" s="1046" t="s">
        <v>1537</v>
      </c>
      <c r="E861" s="1042" t="s">
        <v>1389</v>
      </c>
    </row>
    <row r="862" spans="1:5" x14ac:dyDescent="0.25">
      <c r="A862" s="974">
        <v>861</v>
      </c>
      <c r="B862" s="974" t="s">
        <v>1516</v>
      </c>
      <c r="C862" s="1046" t="s">
        <v>1592</v>
      </c>
      <c r="D862" s="1046" t="s">
        <v>1537</v>
      </c>
      <c r="E862" s="1042" t="s">
        <v>1387</v>
      </c>
    </row>
    <row r="863" spans="1:5" x14ac:dyDescent="0.25">
      <c r="A863" s="974">
        <v>862</v>
      </c>
      <c r="B863" s="974" t="s">
        <v>1516</v>
      </c>
      <c r="C863" s="1046" t="s">
        <v>1592</v>
      </c>
      <c r="D863" s="1046" t="s">
        <v>1537</v>
      </c>
      <c r="E863" s="1042" t="s">
        <v>1388</v>
      </c>
    </row>
    <row r="864" spans="1:5" x14ac:dyDescent="0.25">
      <c r="A864" s="974">
        <v>863</v>
      </c>
      <c r="B864" s="974" t="s">
        <v>1516</v>
      </c>
      <c r="C864" s="1046" t="s">
        <v>1592</v>
      </c>
      <c r="D864" s="1046" t="s">
        <v>1537</v>
      </c>
      <c r="E864" s="1042" t="s">
        <v>1389</v>
      </c>
    </row>
    <row r="865" spans="1:5" x14ac:dyDescent="0.25">
      <c r="A865" s="974">
        <v>864</v>
      </c>
      <c r="B865" s="974" t="s">
        <v>1516</v>
      </c>
      <c r="C865" s="1046" t="s">
        <v>1593</v>
      </c>
      <c r="D865" s="1046" t="s">
        <v>1537</v>
      </c>
      <c r="E865" s="1042" t="s">
        <v>1387</v>
      </c>
    </row>
    <row r="866" spans="1:5" x14ac:dyDescent="0.25">
      <c r="A866" s="974">
        <v>865</v>
      </c>
      <c r="B866" s="974" t="s">
        <v>1516</v>
      </c>
      <c r="C866" s="1046" t="s">
        <v>1593</v>
      </c>
      <c r="D866" s="1046" t="s">
        <v>1537</v>
      </c>
      <c r="E866" s="1042" t="s">
        <v>1388</v>
      </c>
    </row>
    <row r="867" spans="1:5" x14ac:dyDescent="0.25">
      <c r="A867" s="974">
        <v>866</v>
      </c>
      <c r="B867" s="974" t="s">
        <v>1516</v>
      </c>
      <c r="C867" s="1046" t="s">
        <v>1593</v>
      </c>
      <c r="D867" s="1046" t="s">
        <v>1537</v>
      </c>
      <c r="E867" s="1042" t="s">
        <v>1389</v>
      </c>
    </row>
    <row r="868" spans="1:5" x14ac:dyDescent="0.25">
      <c r="A868" s="974">
        <v>867</v>
      </c>
      <c r="B868" s="974" t="s">
        <v>1516</v>
      </c>
      <c r="C868" s="1046" t="s">
        <v>1594</v>
      </c>
      <c r="D868" s="1046" t="s">
        <v>1537</v>
      </c>
      <c r="E868" s="1042" t="s">
        <v>1387</v>
      </c>
    </row>
    <row r="869" spans="1:5" x14ac:dyDescent="0.25">
      <c r="A869" s="974">
        <v>868</v>
      </c>
      <c r="B869" s="974" t="s">
        <v>1516</v>
      </c>
      <c r="C869" s="1046" t="s">
        <v>1594</v>
      </c>
      <c r="D869" s="1046" t="s">
        <v>1537</v>
      </c>
      <c r="E869" s="1042" t="s">
        <v>1388</v>
      </c>
    </row>
    <row r="870" spans="1:5" x14ac:dyDescent="0.25">
      <c r="A870" s="974">
        <v>869</v>
      </c>
      <c r="B870" s="974" t="s">
        <v>1516</v>
      </c>
      <c r="C870" s="1046" t="s">
        <v>1594</v>
      </c>
      <c r="D870" s="1046" t="s">
        <v>1537</v>
      </c>
      <c r="E870" s="1042" t="s">
        <v>1389</v>
      </c>
    </row>
    <row r="871" spans="1:5" x14ac:dyDescent="0.25">
      <c r="A871" s="974">
        <v>870</v>
      </c>
      <c r="B871" s="974" t="s">
        <v>1516</v>
      </c>
      <c r="C871" s="1046" t="s">
        <v>1595</v>
      </c>
      <c r="D871" s="1046" t="s">
        <v>1537</v>
      </c>
      <c r="E871" s="1042" t="s">
        <v>1387</v>
      </c>
    </row>
    <row r="872" spans="1:5" x14ac:dyDescent="0.25">
      <c r="A872" s="974">
        <v>871</v>
      </c>
      <c r="B872" s="974" t="s">
        <v>1516</v>
      </c>
      <c r="C872" s="1046" t="s">
        <v>1595</v>
      </c>
      <c r="D872" s="1046" t="s">
        <v>1537</v>
      </c>
      <c r="E872" s="1042" t="s">
        <v>1388</v>
      </c>
    </row>
    <row r="873" spans="1:5" x14ac:dyDescent="0.25">
      <c r="A873" s="974">
        <v>872</v>
      </c>
      <c r="B873" s="974" t="s">
        <v>1516</v>
      </c>
      <c r="C873" s="1046" t="s">
        <v>1595</v>
      </c>
      <c r="D873" s="1046" t="s">
        <v>1537</v>
      </c>
      <c r="E873" s="1042" t="s">
        <v>1389</v>
      </c>
    </row>
    <row r="874" spans="1:5" x14ac:dyDescent="0.25">
      <c r="A874" s="974">
        <v>873</v>
      </c>
      <c r="B874" s="974" t="s">
        <v>1516</v>
      </c>
      <c r="C874" s="1046" t="s">
        <v>1597</v>
      </c>
      <c r="D874" s="1046" t="s">
        <v>1596</v>
      </c>
      <c r="E874" s="1042" t="s">
        <v>1491</v>
      </c>
    </row>
    <row r="875" spans="1:5" x14ac:dyDescent="0.25">
      <c r="A875" s="974">
        <v>874</v>
      </c>
      <c r="B875" s="974" t="s">
        <v>1516</v>
      </c>
      <c r="C875" s="1046" t="s">
        <v>1597</v>
      </c>
      <c r="D875" s="1046" t="s">
        <v>1596</v>
      </c>
      <c r="E875" s="1042" t="s">
        <v>1705</v>
      </c>
    </row>
    <row r="876" spans="1:5" x14ac:dyDescent="0.25">
      <c r="A876" s="974">
        <v>875</v>
      </c>
      <c r="B876" s="974" t="s">
        <v>1516</v>
      </c>
      <c r="C876" s="1046" t="s">
        <v>1597</v>
      </c>
      <c r="D876" s="1046" t="s">
        <v>1596</v>
      </c>
      <c r="E876" s="1042" t="s">
        <v>1383</v>
      </c>
    </row>
    <row r="877" spans="1:5" x14ac:dyDescent="0.25">
      <c r="A877" s="974">
        <v>876</v>
      </c>
      <c r="B877" s="974" t="s">
        <v>1516</v>
      </c>
      <c r="C877" s="1046" t="s">
        <v>1597</v>
      </c>
      <c r="D877" s="1046" t="s">
        <v>1596</v>
      </c>
      <c r="E877" s="1042" t="s">
        <v>1380</v>
      </c>
    </row>
    <row r="878" spans="1:5" x14ac:dyDescent="0.25">
      <c r="A878" s="974">
        <v>877</v>
      </c>
      <c r="B878" s="974" t="s">
        <v>1516</v>
      </c>
      <c r="C878" s="1046" t="s">
        <v>1597</v>
      </c>
      <c r="D878" s="1046" t="s">
        <v>1596</v>
      </c>
      <c r="E878" s="1042" t="s">
        <v>1381</v>
      </c>
    </row>
    <row r="879" spans="1:5" x14ac:dyDescent="0.25">
      <c r="A879" s="974">
        <v>878</v>
      </c>
      <c r="B879" s="974" t="s">
        <v>1516</v>
      </c>
      <c r="C879" s="1046" t="s">
        <v>1597</v>
      </c>
      <c r="D879" s="1046" t="s">
        <v>1596</v>
      </c>
      <c r="E879" s="1042" t="s">
        <v>1397</v>
      </c>
    </row>
    <row r="880" spans="1:5" x14ac:dyDescent="0.25">
      <c r="A880" s="974">
        <v>879</v>
      </c>
      <c r="B880" s="974" t="s">
        <v>1516</v>
      </c>
      <c r="C880" s="1046" t="s">
        <v>1597</v>
      </c>
      <c r="D880" s="1046" t="s">
        <v>1410</v>
      </c>
      <c r="E880" s="1042" t="s">
        <v>1382</v>
      </c>
    </row>
    <row r="881" spans="1:5" x14ac:dyDescent="0.25">
      <c r="A881" s="974">
        <v>880</v>
      </c>
      <c r="B881" s="974" t="s">
        <v>1516</v>
      </c>
      <c r="C881" s="1046" t="s">
        <v>1597</v>
      </c>
      <c r="D881" s="1046" t="s">
        <v>1596</v>
      </c>
      <c r="E881" s="1042" t="s">
        <v>1486</v>
      </c>
    </row>
    <row r="882" spans="1:5" x14ac:dyDescent="0.25">
      <c r="A882" s="974">
        <v>881</v>
      </c>
      <c r="B882" s="974" t="s">
        <v>1516</v>
      </c>
      <c r="C882" s="1046" t="s">
        <v>1597</v>
      </c>
      <c r="D882" s="1046" t="s">
        <v>1596</v>
      </c>
      <c r="E882" s="1042" t="s">
        <v>1487</v>
      </c>
    </row>
    <row r="883" spans="1:5" x14ac:dyDescent="0.25">
      <c r="A883" s="974">
        <v>882</v>
      </c>
      <c r="B883" s="974" t="s">
        <v>1516</v>
      </c>
      <c r="C883" s="1046" t="s">
        <v>1597</v>
      </c>
      <c r="D883" s="1046" t="s">
        <v>1410</v>
      </c>
      <c r="E883" s="1042" t="s">
        <v>1488</v>
      </c>
    </row>
    <row r="884" spans="1:5" ht="30" x14ac:dyDescent="0.25">
      <c r="A884" s="974">
        <v>883</v>
      </c>
      <c r="B884" s="974" t="s">
        <v>1516</v>
      </c>
      <c r="C884" s="1046" t="s">
        <v>1597</v>
      </c>
      <c r="D884" s="1046" t="s">
        <v>1544</v>
      </c>
      <c r="E884" s="1042" t="s">
        <v>1385</v>
      </c>
    </row>
    <row r="885" spans="1:5" ht="30" x14ac:dyDescent="0.25">
      <c r="A885" s="974">
        <v>884</v>
      </c>
      <c r="B885" s="974" t="s">
        <v>1516</v>
      </c>
      <c r="C885" s="1046" t="s">
        <v>1597</v>
      </c>
      <c r="D885" s="1046" t="s">
        <v>1544</v>
      </c>
      <c r="E885" s="1042" t="s">
        <v>1386</v>
      </c>
    </row>
    <row r="886" spans="1:5" ht="30" x14ac:dyDescent="0.25">
      <c r="A886" s="974">
        <v>885</v>
      </c>
      <c r="B886" s="974" t="s">
        <v>1516</v>
      </c>
      <c r="C886" s="1046" t="s">
        <v>1597</v>
      </c>
      <c r="D886" s="1046" t="s">
        <v>1544</v>
      </c>
      <c r="E886" s="1042" t="s">
        <v>1495</v>
      </c>
    </row>
    <row r="887" spans="1:5" x14ac:dyDescent="0.25">
      <c r="A887" s="974">
        <v>886</v>
      </c>
      <c r="B887" s="974" t="s">
        <v>1516</v>
      </c>
      <c r="C887" s="1046" t="s">
        <v>1597</v>
      </c>
      <c r="D887" s="1046" t="s">
        <v>1410</v>
      </c>
      <c r="E887" s="1042" t="s">
        <v>1492</v>
      </c>
    </row>
    <row r="888" spans="1:5" x14ac:dyDescent="0.25">
      <c r="A888" s="974">
        <v>887</v>
      </c>
      <c r="B888" s="974" t="s">
        <v>1516</v>
      </c>
      <c r="C888" s="1046" t="s">
        <v>1597</v>
      </c>
      <c r="D888" s="1046" t="s">
        <v>1596</v>
      </c>
      <c r="E888" s="1042" t="s">
        <v>1506</v>
      </c>
    </row>
    <row r="889" spans="1:5" x14ac:dyDescent="0.25">
      <c r="A889" s="974">
        <v>888</v>
      </c>
      <c r="B889" s="974" t="s">
        <v>1516</v>
      </c>
      <c r="C889" s="1046" t="s">
        <v>1598</v>
      </c>
      <c r="D889" s="1046" t="s">
        <v>1596</v>
      </c>
      <c r="E889" s="1042" t="s">
        <v>1387</v>
      </c>
    </row>
    <row r="890" spans="1:5" x14ac:dyDescent="0.25">
      <c r="A890" s="974">
        <v>889</v>
      </c>
      <c r="B890" s="974" t="s">
        <v>1516</v>
      </c>
      <c r="C890" s="1046" t="s">
        <v>1598</v>
      </c>
      <c r="D890" s="1046" t="s">
        <v>1596</v>
      </c>
      <c r="E890" s="1042" t="s">
        <v>1388</v>
      </c>
    </row>
    <row r="891" spans="1:5" x14ac:dyDescent="0.25">
      <c r="A891" s="974">
        <v>890</v>
      </c>
      <c r="B891" s="974" t="s">
        <v>1516</v>
      </c>
      <c r="C891" s="1046" t="s">
        <v>1598</v>
      </c>
      <c r="D891" s="1046" t="s">
        <v>1596</v>
      </c>
      <c r="E891" s="1042" t="s">
        <v>1104</v>
      </c>
    </row>
    <row r="892" spans="1:5" x14ac:dyDescent="0.25">
      <c r="A892" s="974">
        <v>891</v>
      </c>
      <c r="B892" s="974" t="s">
        <v>1516</v>
      </c>
      <c r="C892" s="1046" t="s">
        <v>1597</v>
      </c>
      <c r="D892" s="1046" t="s">
        <v>1596</v>
      </c>
      <c r="E892" s="1042" t="s">
        <v>1508</v>
      </c>
    </row>
    <row r="893" spans="1:5" x14ac:dyDescent="0.25">
      <c r="A893" s="974">
        <v>892</v>
      </c>
      <c r="B893" s="974" t="s">
        <v>1516</v>
      </c>
      <c r="C893" s="1046" t="s">
        <v>1714</v>
      </c>
      <c r="D893" s="1046" t="s">
        <v>1596</v>
      </c>
      <c r="E893" s="1044" t="s">
        <v>1491</v>
      </c>
    </row>
    <row r="894" spans="1:5" x14ac:dyDescent="0.25">
      <c r="A894" s="974">
        <v>893</v>
      </c>
      <c r="B894" s="974" t="s">
        <v>1516</v>
      </c>
      <c r="C894" s="1046" t="s">
        <v>1714</v>
      </c>
      <c r="D894" s="1046" t="s">
        <v>1596</v>
      </c>
      <c r="E894" s="1044" t="s">
        <v>1705</v>
      </c>
    </row>
    <row r="895" spans="1:5" x14ac:dyDescent="0.25">
      <c r="A895" s="974">
        <v>894</v>
      </c>
      <c r="B895" s="974" t="s">
        <v>1516</v>
      </c>
      <c r="C895" s="1046" t="s">
        <v>1714</v>
      </c>
      <c r="D895" s="1046" t="s">
        <v>1596</v>
      </c>
      <c r="E895" s="1044" t="s">
        <v>1383</v>
      </c>
    </row>
    <row r="896" spans="1:5" x14ac:dyDescent="0.25">
      <c r="A896" s="974">
        <v>895</v>
      </c>
      <c r="B896" s="974" t="s">
        <v>1516</v>
      </c>
      <c r="C896" s="1046" t="s">
        <v>1714</v>
      </c>
      <c r="D896" s="1046" t="s">
        <v>1596</v>
      </c>
      <c r="E896" s="1044" t="s">
        <v>1380</v>
      </c>
    </row>
    <row r="897" spans="1:5" x14ac:dyDescent="0.25">
      <c r="A897" s="974">
        <v>896</v>
      </c>
      <c r="B897" s="974" t="s">
        <v>1516</v>
      </c>
      <c r="C897" s="1046" t="s">
        <v>1714</v>
      </c>
      <c r="D897" s="1046" t="s">
        <v>1596</v>
      </c>
      <c r="E897" s="1044" t="s">
        <v>1381</v>
      </c>
    </row>
    <row r="898" spans="1:5" x14ac:dyDescent="0.25">
      <c r="A898" s="974">
        <v>897</v>
      </c>
      <c r="B898" s="974" t="s">
        <v>1516</v>
      </c>
      <c r="C898" s="1046" t="s">
        <v>1714</v>
      </c>
      <c r="D898" s="1046" t="s">
        <v>1596</v>
      </c>
      <c r="E898" s="1044" t="s">
        <v>1397</v>
      </c>
    </row>
    <row r="899" spans="1:5" x14ac:dyDescent="0.25">
      <c r="A899" s="974">
        <v>898</v>
      </c>
      <c r="B899" s="974" t="s">
        <v>1516</v>
      </c>
      <c r="C899" s="1046" t="s">
        <v>1714</v>
      </c>
      <c r="D899" s="1046" t="s">
        <v>1410</v>
      </c>
      <c r="E899" s="1044" t="s">
        <v>1382</v>
      </c>
    </row>
    <row r="900" spans="1:5" x14ac:dyDescent="0.25">
      <c r="A900" s="974">
        <v>899</v>
      </c>
      <c r="B900" s="974" t="s">
        <v>1516</v>
      </c>
      <c r="C900" s="1046" t="s">
        <v>1714</v>
      </c>
      <c r="D900" s="1046" t="s">
        <v>1596</v>
      </c>
      <c r="E900" s="1044" t="s">
        <v>1486</v>
      </c>
    </row>
    <row r="901" spans="1:5" x14ac:dyDescent="0.25">
      <c r="A901" s="974">
        <v>900</v>
      </c>
      <c r="B901" s="974" t="s">
        <v>1516</v>
      </c>
      <c r="C901" s="1046" t="s">
        <v>1714</v>
      </c>
      <c r="D901" s="1046" t="s">
        <v>1596</v>
      </c>
      <c r="E901" s="1044" t="s">
        <v>1487</v>
      </c>
    </row>
    <row r="902" spans="1:5" x14ac:dyDescent="0.25">
      <c r="A902" s="974">
        <v>901</v>
      </c>
      <c r="B902" s="974" t="s">
        <v>1516</v>
      </c>
      <c r="C902" s="1046" t="s">
        <v>1714</v>
      </c>
      <c r="D902" s="1046" t="s">
        <v>1410</v>
      </c>
      <c r="E902" s="1044" t="s">
        <v>1488</v>
      </c>
    </row>
    <row r="903" spans="1:5" ht="30" x14ac:dyDescent="0.25">
      <c r="A903" s="974">
        <v>902</v>
      </c>
      <c r="B903" s="974" t="s">
        <v>1516</v>
      </c>
      <c r="C903" s="1046" t="s">
        <v>1714</v>
      </c>
      <c r="D903" s="1046" t="s">
        <v>1544</v>
      </c>
      <c r="E903" s="1044" t="s">
        <v>1385</v>
      </c>
    </row>
    <row r="904" spans="1:5" ht="30" x14ac:dyDescent="0.25">
      <c r="A904" s="974">
        <v>903</v>
      </c>
      <c r="B904" s="974" t="s">
        <v>1516</v>
      </c>
      <c r="C904" s="1046" t="s">
        <v>1714</v>
      </c>
      <c r="D904" s="1046" t="s">
        <v>1544</v>
      </c>
      <c r="E904" s="1044" t="s">
        <v>1386</v>
      </c>
    </row>
    <row r="905" spans="1:5" ht="30" x14ac:dyDescent="0.25">
      <c r="A905" s="974">
        <v>904</v>
      </c>
      <c r="B905" s="974" t="s">
        <v>1516</v>
      </c>
      <c r="C905" s="1046" t="s">
        <v>1714</v>
      </c>
      <c r="D905" s="1046" t="s">
        <v>1544</v>
      </c>
      <c r="E905" s="1044" t="s">
        <v>1495</v>
      </c>
    </row>
    <row r="906" spans="1:5" x14ac:dyDescent="0.25">
      <c r="A906" s="974">
        <v>905</v>
      </c>
      <c r="B906" s="974" t="s">
        <v>1516</v>
      </c>
      <c r="C906" s="1046" t="s">
        <v>1714</v>
      </c>
      <c r="D906" s="1046" t="s">
        <v>1410</v>
      </c>
      <c r="E906" s="1044" t="s">
        <v>1492</v>
      </c>
    </row>
    <row r="907" spans="1:5" x14ac:dyDescent="0.25">
      <c r="A907" s="974">
        <v>906</v>
      </c>
      <c r="B907" s="974" t="s">
        <v>1516</v>
      </c>
      <c r="C907" s="1046" t="s">
        <v>1714</v>
      </c>
      <c r="D907" s="1046" t="s">
        <v>1596</v>
      </c>
      <c r="E907" s="1044" t="s">
        <v>1506</v>
      </c>
    </row>
    <row r="908" spans="1:5" x14ac:dyDescent="0.25">
      <c r="A908" s="974">
        <v>907</v>
      </c>
      <c r="B908" s="974" t="s">
        <v>1516</v>
      </c>
      <c r="C908" s="1046" t="s">
        <v>1715</v>
      </c>
      <c r="D908" s="1046" t="s">
        <v>1596</v>
      </c>
      <c r="E908" s="1044" t="s">
        <v>1387</v>
      </c>
    </row>
    <row r="909" spans="1:5" x14ac:dyDescent="0.25">
      <c r="A909" s="974">
        <v>908</v>
      </c>
      <c r="B909" s="974" t="s">
        <v>1516</v>
      </c>
      <c r="C909" s="1046" t="s">
        <v>1715</v>
      </c>
      <c r="D909" s="1046" t="s">
        <v>1596</v>
      </c>
      <c r="E909" s="1044" t="s">
        <v>1388</v>
      </c>
    </row>
    <row r="910" spans="1:5" x14ac:dyDescent="0.25">
      <c r="A910" s="974">
        <v>909</v>
      </c>
      <c r="B910" s="974" t="s">
        <v>1516</v>
      </c>
      <c r="C910" s="1046" t="s">
        <v>1715</v>
      </c>
      <c r="D910" s="1046" t="s">
        <v>1596</v>
      </c>
      <c r="E910" s="1044" t="s">
        <v>1104</v>
      </c>
    </row>
    <row r="911" spans="1:5" x14ac:dyDescent="0.25">
      <c r="A911" s="974">
        <v>910</v>
      </c>
      <c r="B911" s="974" t="s">
        <v>1516</v>
      </c>
      <c r="C911" s="1046" t="s">
        <v>1714</v>
      </c>
      <c r="D911" s="1046" t="s">
        <v>1596</v>
      </c>
      <c r="E911" s="1044" t="s">
        <v>1508</v>
      </c>
    </row>
    <row r="912" spans="1:5" x14ac:dyDescent="0.25">
      <c r="A912" s="974">
        <v>911</v>
      </c>
      <c r="B912" s="974" t="s">
        <v>1516</v>
      </c>
      <c r="C912" s="1046" t="s">
        <v>1716</v>
      </c>
      <c r="D912" s="1046" t="s">
        <v>1596</v>
      </c>
      <c r="E912" s="1044" t="s">
        <v>1491</v>
      </c>
    </row>
    <row r="913" spans="1:5" x14ac:dyDescent="0.25">
      <c r="A913" s="974">
        <v>912</v>
      </c>
      <c r="B913" s="974" t="s">
        <v>1516</v>
      </c>
      <c r="C913" s="1046" t="s">
        <v>1716</v>
      </c>
      <c r="D913" s="1046" t="s">
        <v>1596</v>
      </c>
      <c r="E913" s="1044" t="s">
        <v>1705</v>
      </c>
    </row>
    <row r="914" spans="1:5" x14ac:dyDescent="0.25">
      <c r="A914" s="974">
        <v>913</v>
      </c>
      <c r="B914" s="974" t="s">
        <v>1516</v>
      </c>
      <c r="C914" s="1046" t="s">
        <v>1716</v>
      </c>
      <c r="D914" s="1046" t="s">
        <v>1596</v>
      </c>
      <c r="E914" s="1044" t="s">
        <v>1383</v>
      </c>
    </row>
    <row r="915" spans="1:5" x14ac:dyDescent="0.25">
      <c r="A915" s="974">
        <v>914</v>
      </c>
      <c r="B915" s="974" t="s">
        <v>1516</v>
      </c>
      <c r="C915" s="1046" t="s">
        <v>1716</v>
      </c>
      <c r="D915" s="1046" t="s">
        <v>1596</v>
      </c>
      <c r="E915" s="1044" t="s">
        <v>1380</v>
      </c>
    </row>
    <row r="916" spans="1:5" x14ac:dyDescent="0.25">
      <c r="A916" s="974">
        <v>915</v>
      </c>
      <c r="B916" s="974" t="s">
        <v>1516</v>
      </c>
      <c r="C916" s="1046" t="s">
        <v>1716</v>
      </c>
      <c r="D916" s="1046" t="s">
        <v>1596</v>
      </c>
      <c r="E916" s="1044" t="s">
        <v>1381</v>
      </c>
    </row>
    <row r="917" spans="1:5" x14ac:dyDescent="0.25">
      <c r="A917" s="974">
        <v>916</v>
      </c>
      <c r="B917" s="974" t="s">
        <v>1516</v>
      </c>
      <c r="C917" s="1046" t="s">
        <v>1716</v>
      </c>
      <c r="D917" s="1046" t="s">
        <v>1596</v>
      </c>
      <c r="E917" s="1044" t="s">
        <v>1397</v>
      </c>
    </row>
    <row r="918" spans="1:5" x14ac:dyDescent="0.25">
      <c r="A918" s="974">
        <v>917</v>
      </c>
      <c r="B918" s="974" t="s">
        <v>1516</v>
      </c>
      <c r="C918" s="1046" t="s">
        <v>1716</v>
      </c>
      <c r="D918" s="1046" t="s">
        <v>1410</v>
      </c>
      <c r="E918" s="1044" t="s">
        <v>1382</v>
      </c>
    </row>
    <row r="919" spans="1:5" x14ac:dyDescent="0.25">
      <c r="A919" s="974">
        <v>918</v>
      </c>
      <c r="B919" s="974" t="s">
        <v>1516</v>
      </c>
      <c r="C919" s="1046" t="s">
        <v>1716</v>
      </c>
      <c r="D919" s="1046" t="s">
        <v>1596</v>
      </c>
      <c r="E919" s="1044" t="s">
        <v>1486</v>
      </c>
    </row>
    <row r="920" spans="1:5" x14ac:dyDescent="0.25">
      <c r="A920" s="974">
        <v>919</v>
      </c>
      <c r="B920" s="974" t="s">
        <v>1516</v>
      </c>
      <c r="C920" s="1046" t="s">
        <v>1716</v>
      </c>
      <c r="D920" s="1046" t="s">
        <v>1596</v>
      </c>
      <c r="E920" s="1044" t="s">
        <v>1487</v>
      </c>
    </row>
    <row r="921" spans="1:5" x14ac:dyDescent="0.25">
      <c r="A921" s="974">
        <v>920</v>
      </c>
      <c r="B921" s="974" t="s">
        <v>1516</v>
      </c>
      <c r="C921" s="1046" t="s">
        <v>1716</v>
      </c>
      <c r="D921" s="1046" t="s">
        <v>1410</v>
      </c>
      <c r="E921" s="1044" t="s">
        <v>1488</v>
      </c>
    </row>
    <row r="922" spans="1:5" ht="30" x14ac:dyDescent="0.25">
      <c r="A922" s="974">
        <v>921</v>
      </c>
      <c r="B922" s="974" t="s">
        <v>1516</v>
      </c>
      <c r="C922" s="1046" t="s">
        <v>1716</v>
      </c>
      <c r="D922" s="1046" t="s">
        <v>1544</v>
      </c>
      <c r="E922" s="1044" t="s">
        <v>1385</v>
      </c>
    </row>
    <row r="923" spans="1:5" ht="30" x14ac:dyDescent="0.25">
      <c r="A923" s="974">
        <v>922</v>
      </c>
      <c r="B923" s="974" t="s">
        <v>1516</v>
      </c>
      <c r="C923" s="1046" t="s">
        <v>1716</v>
      </c>
      <c r="D923" s="1046" t="s">
        <v>1544</v>
      </c>
      <c r="E923" s="1044" t="s">
        <v>1386</v>
      </c>
    </row>
    <row r="924" spans="1:5" ht="30" x14ac:dyDescent="0.25">
      <c r="A924" s="974">
        <v>923</v>
      </c>
      <c r="B924" s="974" t="s">
        <v>1516</v>
      </c>
      <c r="C924" s="1046" t="s">
        <v>1716</v>
      </c>
      <c r="D924" s="1046" t="s">
        <v>1544</v>
      </c>
      <c r="E924" s="1044" t="s">
        <v>1495</v>
      </c>
    </row>
    <row r="925" spans="1:5" x14ac:dyDescent="0.25">
      <c r="A925" s="974">
        <v>924</v>
      </c>
      <c r="B925" s="974" t="s">
        <v>1516</v>
      </c>
      <c r="C925" s="1046" t="s">
        <v>1716</v>
      </c>
      <c r="D925" s="1046" t="s">
        <v>1410</v>
      </c>
      <c r="E925" s="1044" t="s">
        <v>1492</v>
      </c>
    </row>
    <row r="926" spans="1:5" x14ac:dyDescent="0.25">
      <c r="A926" s="974">
        <v>925</v>
      </c>
      <c r="B926" s="974" t="s">
        <v>1516</v>
      </c>
      <c r="C926" s="1046" t="s">
        <v>1716</v>
      </c>
      <c r="D926" s="1046" t="s">
        <v>1596</v>
      </c>
      <c r="E926" s="1044" t="s">
        <v>1506</v>
      </c>
    </row>
    <row r="927" spans="1:5" x14ac:dyDescent="0.25">
      <c r="A927" s="974">
        <v>926</v>
      </c>
      <c r="B927" s="974" t="s">
        <v>1516</v>
      </c>
      <c r="C927" s="1046" t="s">
        <v>1717</v>
      </c>
      <c r="D927" s="1046" t="s">
        <v>1596</v>
      </c>
      <c r="E927" s="1044" t="s">
        <v>1387</v>
      </c>
    </row>
    <row r="928" spans="1:5" x14ac:dyDescent="0.25">
      <c r="A928" s="974">
        <v>927</v>
      </c>
      <c r="B928" s="974" t="s">
        <v>1516</v>
      </c>
      <c r="C928" s="1046" t="s">
        <v>1717</v>
      </c>
      <c r="D928" s="1046" t="s">
        <v>1596</v>
      </c>
      <c r="E928" s="1044" t="s">
        <v>1388</v>
      </c>
    </row>
    <row r="929" spans="1:5" x14ac:dyDescent="0.25">
      <c r="A929" s="974">
        <v>928</v>
      </c>
      <c r="B929" s="974" t="s">
        <v>1516</v>
      </c>
      <c r="C929" s="1046" t="s">
        <v>1717</v>
      </c>
      <c r="D929" s="1046" t="s">
        <v>1596</v>
      </c>
      <c r="E929" s="1044" t="s">
        <v>1104</v>
      </c>
    </row>
    <row r="930" spans="1:5" x14ac:dyDescent="0.25">
      <c r="A930" s="974">
        <v>929</v>
      </c>
      <c r="B930" s="974" t="s">
        <v>1516</v>
      </c>
      <c r="C930" s="1046" t="s">
        <v>1716</v>
      </c>
      <c r="D930" s="1046" t="s">
        <v>1596</v>
      </c>
      <c r="E930" s="1044" t="s">
        <v>1508</v>
      </c>
    </row>
    <row r="931" spans="1:5" x14ac:dyDescent="0.25">
      <c r="A931" s="974">
        <v>930</v>
      </c>
      <c r="B931" s="974" t="s">
        <v>1516</v>
      </c>
      <c r="C931" s="1046" t="s">
        <v>1718</v>
      </c>
      <c r="D931" s="1046" t="s">
        <v>1596</v>
      </c>
      <c r="E931" s="1044" t="s">
        <v>1491</v>
      </c>
    </row>
    <row r="932" spans="1:5" x14ac:dyDescent="0.25">
      <c r="A932" s="974">
        <v>931</v>
      </c>
      <c r="B932" s="974" t="s">
        <v>1516</v>
      </c>
      <c r="C932" s="1046" t="s">
        <v>1718</v>
      </c>
      <c r="D932" s="1046" t="s">
        <v>1596</v>
      </c>
      <c r="E932" s="1044" t="s">
        <v>1705</v>
      </c>
    </row>
    <row r="933" spans="1:5" x14ac:dyDescent="0.25">
      <c r="A933" s="974">
        <v>932</v>
      </c>
      <c r="B933" s="974" t="s">
        <v>1516</v>
      </c>
      <c r="C933" s="1046" t="s">
        <v>1718</v>
      </c>
      <c r="D933" s="1046" t="s">
        <v>1596</v>
      </c>
      <c r="E933" s="1044" t="s">
        <v>1383</v>
      </c>
    </row>
    <row r="934" spans="1:5" x14ac:dyDescent="0.25">
      <c r="A934" s="974">
        <v>933</v>
      </c>
      <c r="B934" s="974" t="s">
        <v>1516</v>
      </c>
      <c r="C934" s="1046" t="s">
        <v>1718</v>
      </c>
      <c r="D934" s="1046" t="s">
        <v>1596</v>
      </c>
      <c r="E934" s="1044" t="s">
        <v>1380</v>
      </c>
    </row>
    <row r="935" spans="1:5" x14ac:dyDescent="0.25">
      <c r="A935" s="974">
        <v>934</v>
      </c>
      <c r="B935" s="974" t="s">
        <v>1516</v>
      </c>
      <c r="C935" s="1046" t="s">
        <v>1718</v>
      </c>
      <c r="D935" s="1046" t="s">
        <v>1596</v>
      </c>
      <c r="E935" s="1044" t="s">
        <v>1381</v>
      </c>
    </row>
    <row r="936" spans="1:5" x14ac:dyDescent="0.25">
      <c r="A936" s="974">
        <v>935</v>
      </c>
      <c r="B936" s="974" t="s">
        <v>1516</v>
      </c>
      <c r="C936" s="1046" t="s">
        <v>1718</v>
      </c>
      <c r="D936" s="1046" t="s">
        <v>1596</v>
      </c>
      <c r="E936" s="1044" t="s">
        <v>1397</v>
      </c>
    </row>
    <row r="937" spans="1:5" x14ac:dyDescent="0.25">
      <c r="A937" s="974">
        <v>936</v>
      </c>
      <c r="B937" s="974" t="s">
        <v>1516</v>
      </c>
      <c r="C937" s="1046" t="s">
        <v>1718</v>
      </c>
      <c r="D937" s="1046" t="s">
        <v>1410</v>
      </c>
      <c r="E937" s="1044" t="s">
        <v>1382</v>
      </c>
    </row>
    <row r="938" spans="1:5" x14ac:dyDescent="0.25">
      <c r="A938" s="974">
        <v>937</v>
      </c>
      <c r="B938" s="974" t="s">
        <v>1516</v>
      </c>
      <c r="C938" s="1046" t="s">
        <v>1718</v>
      </c>
      <c r="D938" s="1046" t="s">
        <v>1596</v>
      </c>
      <c r="E938" s="1044" t="s">
        <v>1486</v>
      </c>
    </row>
    <row r="939" spans="1:5" x14ac:dyDescent="0.25">
      <c r="A939" s="974">
        <v>938</v>
      </c>
      <c r="B939" s="974" t="s">
        <v>1516</v>
      </c>
      <c r="C939" s="1046" t="s">
        <v>1718</v>
      </c>
      <c r="D939" s="1046" t="s">
        <v>1596</v>
      </c>
      <c r="E939" s="1044" t="s">
        <v>1487</v>
      </c>
    </row>
    <row r="940" spans="1:5" x14ac:dyDescent="0.25">
      <c r="A940" s="974">
        <v>939</v>
      </c>
      <c r="B940" s="974" t="s">
        <v>1516</v>
      </c>
      <c r="C940" s="1046" t="s">
        <v>1718</v>
      </c>
      <c r="D940" s="1046" t="s">
        <v>1410</v>
      </c>
      <c r="E940" s="1044" t="s">
        <v>1488</v>
      </c>
    </row>
    <row r="941" spans="1:5" ht="30" x14ac:dyDescent="0.25">
      <c r="A941" s="974">
        <v>940</v>
      </c>
      <c r="B941" s="974" t="s">
        <v>1516</v>
      </c>
      <c r="C941" s="1046" t="s">
        <v>1718</v>
      </c>
      <c r="D941" s="1046" t="s">
        <v>1544</v>
      </c>
      <c r="E941" s="1044" t="s">
        <v>1385</v>
      </c>
    </row>
    <row r="942" spans="1:5" ht="30" x14ac:dyDescent="0.25">
      <c r="A942" s="974">
        <v>941</v>
      </c>
      <c r="B942" s="974" t="s">
        <v>1516</v>
      </c>
      <c r="C942" s="1046" t="s">
        <v>1718</v>
      </c>
      <c r="D942" s="1046" t="s">
        <v>1544</v>
      </c>
      <c r="E942" s="1044" t="s">
        <v>1386</v>
      </c>
    </row>
    <row r="943" spans="1:5" ht="30" x14ac:dyDescent="0.25">
      <c r="A943" s="974">
        <v>942</v>
      </c>
      <c r="B943" s="974" t="s">
        <v>1516</v>
      </c>
      <c r="C943" s="1046" t="s">
        <v>1718</v>
      </c>
      <c r="D943" s="1046" t="s">
        <v>1544</v>
      </c>
      <c r="E943" s="1044" t="s">
        <v>1495</v>
      </c>
    </row>
    <row r="944" spans="1:5" x14ac:dyDescent="0.25">
      <c r="A944" s="974">
        <v>943</v>
      </c>
      <c r="B944" s="974" t="s">
        <v>1516</v>
      </c>
      <c r="C944" s="1046" t="s">
        <v>1718</v>
      </c>
      <c r="D944" s="1046" t="s">
        <v>1410</v>
      </c>
      <c r="E944" s="1044" t="s">
        <v>1492</v>
      </c>
    </row>
    <row r="945" spans="1:5" x14ac:dyDescent="0.25">
      <c r="A945" s="974">
        <v>944</v>
      </c>
      <c r="B945" s="974" t="s">
        <v>1516</v>
      </c>
      <c r="C945" s="1046" t="s">
        <v>1718</v>
      </c>
      <c r="D945" s="1046" t="s">
        <v>1596</v>
      </c>
      <c r="E945" s="1044" t="s">
        <v>1506</v>
      </c>
    </row>
    <row r="946" spans="1:5" x14ac:dyDescent="0.25">
      <c r="A946" s="974">
        <v>945</v>
      </c>
      <c r="B946" s="974" t="s">
        <v>1516</v>
      </c>
      <c r="C946" s="1046" t="s">
        <v>1719</v>
      </c>
      <c r="D946" s="1046" t="s">
        <v>1596</v>
      </c>
      <c r="E946" s="1044" t="s">
        <v>1387</v>
      </c>
    </row>
    <row r="947" spans="1:5" x14ac:dyDescent="0.25">
      <c r="A947" s="974">
        <v>946</v>
      </c>
      <c r="B947" s="974" t="s">
        <v>1516</v>
      </c>
      <c r="C947" s="1046" t="s">
        <v>1719</v>
      </c>
      <c r="D947" s="1046" t="s">
        <v>1596</v>
      </c>
      <c r="E947" s="1044" t="s">
        <v>1388</v>
      </c>
    </row>
    <row r="948" spans="1:5" x14ac:dyDescent="0.25">
      <c r="A948" s="974">
        <v>947</v>
      </c>
      <c r="B948" s="974" t="s">
        <v>1516</v>
      </c>
      <c r="C948" s="1046" t="s">
        <v>1719</v>
      </c>
      <c r="D948" s="1046" t="s">
        <v>1596</v>
      </c>
      <c r="E948" s="1044" t="s">
        <v>1104</v>
      </c>
    </row>
    <row r="949" spans="1:5" x14ac:dyDescent="0.25">
      <c r="A949" s="974">
        <v>948</v>
      </c>
      <c r="B949" s="974" t="s">
        <v>1516</v>
      </c>
      <c r="C949" s="1046" t="s">
        <v>1718</v>
      </c>
      <c r="D949" s="1046" t="s">
        <v>1596</v>
      </c>
      <c r="E949" s="1044" t="s">
        <v>1508</v>
      </c>
    </row>
    <row r="950" spans="1:5" x14ac:dyDescent="0.25">
      <c r="A950" s="974">
        <v>949</v>
      </c>
      <c r="B950" s="974" t="s">
        <v>1516</v>
      </c>
      <c r="C950" s="1046" t="s">
        <v>1720</v>
      </c>
      <c r="D950" s="1046" t="s">
        <v>1596</v>
      </c>
      <c r="E950" s="1044" t="s">
        <v>1491</v>
      </c>
    </row>
    <row r="951" spans="1:5" x14ac:dyDescent="0.25">
      <c r="A951" s="974">
        <v>950</v>
      </c>
      <c r="B951" s="974" t="s">
        <v>1516</v>
      </c>
      <c r="C951" s="1046" t="s">
        <v>1720</v>
      </c>
      <c r="D951" s="1046" t="s">
        <v>1596</v>
      </c>
      <c r="E951" s="1044" t="s">
        <v>1705</v>
      </c>
    </row>
    <row r="952" spans="1:5" x14ac:dyDescent="0.25">
      <c r="A952" s="974">
        <v>951</v>
      </c>
      <c r="B952" s="974" t="s">
        <v>1516</v>
      </c>
      <c r="C952" s="1046" t="s">
        <v>1720</v>
      </c>
      <c r="D952" s="1046" t="s">
        <v>1596</v>
      </c>
      <c r="E952" s="1044" t="s">
        <v>1383</v>
      </c>
    </row>
    <row r="953" spans="1:5" x14ac:dyDescent="0.25">
      <c r="A953" s="974">
        <v>952</v>
      </c>
      <c r="B953" s="974" t="s">
        <v>1516</v>
      </c>
      <c r="C953" s="1046" t="s">
        <v>1720</v>
      </c>
      <c r="D953" s="1046" t="s">
        <v>1596</v>
      </c>
      <c r="E953" s="1044" t="s">
        <v>1380</v>
      </c>
    </row>
    <row r="954" spans="1:5" x14ac:dyDescent="0.25">
      <c r="A954" s="974">
        <v>953</v>
      </c>
      <c r="B954" s="974" t="s">
        <v>1516</v>
      </c>
      <c r="C954" s="1046" t="s">
        <v>1720</v>
      </c>
      <c r="D954" s="1046" t="s">
        <v>1596</v>
      </c>
      <c r="E954" s="1044" t="s">
        <v>1381</v>
      </c>
    </row>
    <row r="955" spans="1:5" x14ac:dyDescent="0.25">
      <c r="A955" s="974">
        <v>954</v>
      </c>
      <c r="B955" s="974" t="s">
        <v>1516</v>
      </c>
      <c r="C955" s="1046" t="s">
        <v>1720</v>
      </c>
      <c r="D955" s="1046" t="s">
        <v>1596</v>
      </c>
      <c r="E955" s="1044" t="s">
        <v>1397</v>
      </c>
    </row>
    <row r="956" spans="1:5" x14ac:dyDescent="0.25">
      <c r="A956" s="974">
        <v>955</v>
      </c>
      <c r="B956" s="974" t="s">
        <v>1516</v>
      </c>
      <c r="C956" s="1046" t="s">
        <v>1720</v>
      </c>
      <c r="D956" s="1046" t="s">
        <v>1410</v>
      </c>
      <c r="E956" s="1044" t="s">
        <v>1382</v>
      </c>
    </row>
    <row r="957" spans="1:5" x14ac:dyDescent="0.25">
      <c r="A957" s="974">
        <v>956</v>
      </c>
      <c r="B957" s="974" t="s">
        <v>1516</v>
      </c>
      <c r="C957" s="1046" t="s">
        <v>1720</v>
      </c>
      <c r="D957" s="1046" t="s">
        <v>1596</v>
      </c>
      <c r="E957" s="1044" t="s">
        <v>1486</v>
      </c>
    </row>
    <row r="958" spans="1:5" x14ac:dyDescent="0.25">
      <c r="A958" s="974">
        <v>957</v>
      </c>
      <c r="B958" s="974" t="s">
        <v>1516</v>
      </c>
      <c r="C958" s="1046" t="s">
        <v>1720</v>
      </c>
      <c r="D958" s="1046" t="s">
        <v>1596</v>
      </c>
      <c r="E958" s="1044" t="s">
        <v>1487</v>
      </c>
    </row>
    <row r="959" spans="1:5" x14ac:dyDescent="0.25">
      <c r="A959" s="974">
        <v>958</v>
      </c>
      <c r="B959" s="974" t="s">
        <v>1516</v>
      </c>
      <c r="C959" s="1046" t="s">
        <v>1720</v>
      </c>
      <c r="D959" s="1046" t="s">
        <v>1410</v>
      </c>
      <c r="E959" s="1044" t="s">
        <v>1488</v>
      </c>
    </row>
    <row r="960" spans="1:5" ht="30" x14ac:dyDescent="0.25">
      <c r="A960" s="974">
        <v>959</v>
      </c>
      <c r="B960" s="974" t="s">
        <v>1516</v>
      </c>
      <c r="C960" s="1046" t="s">
        <v>1720</v>
      </c>
      <c r="D960" s="1046" t="s">
        <v>1544</v>
      </c>
      <c r="E960" s="1044" t="s">
        <v>1385</v>
      </c>
    </row>
    <row r="961" spans="1:5" ht="30" x14ac:dyDescent="0.25">
      <c r="A961" s="974">
        <v>960</v>
      </c>
      <c r="B961" s="974" t="s">
        <v>1516</v>
      </c>
      <c r="C961" s="1046" t="s">
        <v>1720</v>
      </c>
      <c r="D961" s="1046" t="s">
        <v>1544</v>
      </c>
      <c r="E961" s="1044" t="s">
        <v>1386</v>
      </c>
    </row>
    <row r="962" spans="1:5" ht="30" x14ac:dyDescent="0.25">
      <c r="A962" s="974">
        <v>961</v>
      </c>
      <c r="B962" s="974" t="s">
        <v>1516</v>
      </c>
      <c r="C962" s="1046" t="s">
        <v>1720</v>
      </c>
      <c r="D962" s="1046" t="s">
        <v>1544</v>
      </c>
      <c r="E962" s="1044" t="s">
        <v>1495</v>
      </c>
    </row>
    <row r="963" spans="1:5" x14ac:dyDescent="0.25">
      <c r="A963" s="974">
        <v>962</v>
      </c>
      <c r="B963" s="974" t="s">
        <v>1516</v>
      </c>
      <c r="C963" s="1046" t="s">
        <v>1720</v>
      </c>
      <c r="D963" s="1046" t="s">
        <v>1410</v>
      </c>
      <c r="E963" s="1044" t="s">
        <v>1492</v>
      </c>
    </row>
    <row r="964" spans="1:5" x14ac:dyDescent="0.25">
      <c r="A964" s="974">
        <v>963</v>
      </c>
      <c r="B964" s="974" t="s">
        <v>1516</v>
      </c>
      <c r="C964" s="1046" t="s">
        <v>1720</v>
      </c>
      <c r="D964" s="1046" t="s">
        <v>1596</v>
      </c>
      <c r="E964" s="1044" t="s">
        <v>1506</v>
      </c>
    </row>
    <row r="965" spans="1:5" x14ac:dyDescent="0.25">
      <c r="A965" s="974">
        <v>964</v>
      </c>
      <c r="B965" s="974" t="s">
        <v>1516</v>
      </c>
      <c r="C965" s="1046" t="s">
        <v>1721</v>
      </c>
      <c r="D965" s="1046" t="s">
        <v>1596</v>
      </c>
      <c r="E965" s="1044" t="s">
        <v>1387</v>
      </c>
    </row>
    <row r="966" spans="1:5" x14ac:dyDescent="0.25">
      <c r="A966" s="974">
        <v>965</v>
      </c>
      <c r="B966" s="974" t="s">
        <v>1516</v>
      </c>
      <c r="C966" s="1046" t="s">
        <v>1721</v>
      </c>
      <c r="D966" s="1046" t="s">
        <v>1596</v>
      </c>
      <c r="E966" s="1044" t="s">
        <v>1388</v>
      </c>
    </row>
    <row r="967" spans="1:5" x14ac:dyDescent="0.25">
      <c r="A967" s="974">
        <v>966</v>
      </c>
      <c r="B967" s="974" t="s">
        <v>1516</v>
      </c>
      <c r="C967" s="1046" t="s">
        <v>1721</v>
      </c>
      <c r="D967" s="1046" t="s">
        <v>1596</v>
      </c>
      <c r="E967" s="1044" t="s">
        <v>1104</v>
      </c>
    </row>
    <row r="968" spans="1:5" x14ac:dyDescent="0.25">
      <c r="A968" s="974">
        <v>967</v>
      </c>
      <c r="B968" s="974" t="s">
        <v>1516</v>
      </c>
      <c r="C968" s="1046" t="s">
        <v>1720</v>
      </c>
      <c r="D968" s="1046" t="s">
        <v>1596</v>
      </c>
      <c r="E968" s="1044" t="s">
        <v>1508</v>
      </c>
    </row>
    <row r="969" spans="1:5" x14ac:dyDescent="0.25">
      <c r="A969" s="974">
        <v>968</v>
      </c>
      <c r="B969" s="974" t="s">
        <v>1516</v>
      </c>
      <c r="C969" s="1046" t="s">
        <v>1664</v>
      </c>
      <c r="D969" s="1046" t="s">
        <v>1663</v>
      </c>
      <c r="E969" s="974" t="s">
        <v>1491</v>
      </c>
    </row>
    <row r="970" spans="1:5" x14ac:dyDescent="0.25">
      <c r="A970" s="974">
        <v>969</v>
      </c>
      <c r="B970" s="974" t="s">
        <v>1516</v>
      </c>
      <c r="C970" s="1046" t="s">
        <v>1664</v>
      </c>
      <c r="D970" s="1046" t="s">
        <v>1663</v>
      </c>
      <c r="E970" s="974" t="s">
        <v>1705</v>
      </c>
    </row>
    <row r="971" spans="1:5" x14ac:dyDescent="0.25">
      <c r="A971" s="974">
        <v>970</v>
      </c>
      <c r="B971" s="974" t="s">
        <v>1516</v>
      </c>
      <c r="C971" s="1046" t="s">
        <v>1664</v>
      </c>
      <c r="D971" s="1046" t="s">
        <v>1663</v>
      </c>
      <c r="E971" s="974" t="s">
        <v>1383</v>
      </c>
    </row>
    <row r="972" spans="1:5" x14ac:dyDescent="0.25">
      <c r="A972" s="974">
        <v>971</v>
      </c>
      <c r="B972" s="974" t="s">
        <v>1516</v>
      </c>
      <c r="C972" s="1046" t="s">
        <v>1664</v>
      </c>
      <c r="D972" s="1046" t="s">
        <v>1663</v>
      </c>
      <c r="E972" s="974" t="s">
        <v>1380</v>
      </c>
    </row>
    <row r="973" spans="1:5" x14ac:dyDescent="0.25">
      <c r="A973" s="974">
        <v>972</v>
      </c>
      <c r="B973" s="974" t="s">
        <v>1516</v>
      </c>
      <c r="C973" s="1046" t="s">
        <v>1664</v>
      </c>
      <c r="D973" s="1046" t="s">
        <v>1663</v>
      </c>
      <c r="E973" s="974" t="s">
        <v>1381</v>
      </c>
    </row>
    <row r="974" spans="1:5" x14ac:dyDescent="0.25">
      <c r="A974" s="974">
        <v>973</v>
      </c>
      <c r="B974" s="974" t="s">
        <v>1516</v>
      </c>
      <c r="C974" s="1046" t="s">
        <v>1664</v>
      </c>
      <c r="D974" s="1046" t="s">
        <v>1663</v>
      </c>
      <c r="E974" s="974" t="s">
        <v>1397</v>
      </c>
    </row>
    <row r="975" spans="1:5" x14ac:dyDescent="0.25">
      <c r="A975" s="974">
        <v>974</v>
      </c>
      <c r="B975" s="974" t="s">
        <v>1516</v>
      </c>
      <c r="C975" s="1046" t="s">
        <v>1664</v>
      </c>
      <c r="D975" s="1046" t="s">
        <v>1410</v>
      </c>
      <c r="E975" s="974" t="s">
        <v>1382</v>
      </c>
    </row>
    <row r="976" spans="1:5" x14ac:dyDescent="0.25">
      <c r="A976" s="974">
        <v>975</v>
      </c>
      <c r="B976" s="974" t="s">
        <v>1516</v>
      </c>
      <c r="C976" s="1046" t="s">
        <v>1664</v>
      </c>
      <c r="D976" s="1046" t="s">
        <v>1663</v>
      </c>
      <c r="E976" s="974" t="s">
        <v>1486</v>
      </c>
    </row>
    <row r="977" spans="1:5" x14ac:dyDescent="0.25">
      <c r="A977" s="974">
        <v>976</v>
      </c>
      <c r="B977" s="974" t="s">
        <v>1516</v>
      </c>
      <c r="C977" s="1046" t="s">
        <v>1664</v>
      </c>
      <c r="D977" s="1046" t="s">
        <v>1663</v>
      </c>
      <c r="E977" s="974" t="s">
        <v>1487</v>
      </c>
    </row>
    <row r="978" spans="1:5" x14ac:dyDescent="0.25">
      <c r="A978" s="974">
        <v>977</v>
      </c>
      <c r="B978" s="974" t="s">
        <v>1516</v>
      </c>
      <c r="C978" s="1046" t="s">
        <v>1664</v>
      </c>
      <c r="D978" s="1046" t="s">
        <v>1410</v>
      </c>
      <c r="E978" s="974" t="s">
        <v>1488</v>
      </c>
    </row>
    <row r="979" spans="1:5" ht="30" x14ac:dyDescent="0.25">
      <c r="A979" s="974">
        <v>978</v>
      </c>
      <c r="B979" s="974" t="s">
        <v>1516</v>
      </c>
      <c r="C979" s="1046" t="s">
        <v>1664</v>
      </c>
      <c r="D979" s="1046" t="s">
        <v>1544</v>
      </c>
      <c r="E979" s="974" t="s">
        <v>1385</v>
      </c>
    </row>
    <row r="980" spans="1:5" ht="30" x14ac:dyDescent="0.25">
      <c r="A980" s="974">
        <v>979</v>
      </c>
      <c r="B980" s="974" t="s">
        <v>1516</v>
      </c>
      <c r="C980" s="1046" t="s">
        <v>1664</v>
      </c>
      <c r="D980" s="1046" t="s">
        <v>1544</v>
      </c>
      <c r="E980" s="974" t="s">
        <v>1386</v>
      </c>
    </row>
    <row r="981" spans="1:5" ht="30" x14ac:dyDescent="0.25">
      <c r="A981" s="974">
        <v>980</v>
      </c>
      <c r="B981" s="974" t="s">
        <v>1516</v>
      </c>
      <c r="C981" s="1046" t="s">
        <v>1664</v>
      </c>
      <c r="D981" s="1046" t="s">
        <v>1544</v>
      </c>
      <c r="E981" s="974" t="s">
        <v>1495</v>
      </c>
    </row>
    <row r="982" spans="1:5" x14ac:dyDescent="0.25">
      <c r="A982" s="974">
        <v>981</v>
      </c>
      <c r="B982" s="974" t="s">
        <v>1516</v>
      </c>
      <c r="C982" s="1046" t="s">
        <v>1664</v>
      </c>
      <c r="D982" s="1046" t="s">
        <v>1410</v>
      </c>
      <c r="E982" s="974" t="s">
        <v>1492</v>
      </c>
    </row>
    <row r="983" spans="1:5" x14ac:dyDescent="0.25">
      <c r="A983" s="974">
        <v>982</v>
      </c>
      <c r="B983" s="974" t="s">
        <v>1516</v>
      </c>
      <c r="C983" s="1046" t="s">
        <v>1664</v>
      </c>
      <c r="D983" s="1046" t="s">
        <v>1663</v>
      </c>
      <c r="E983" s="974" t="s">
        <v>1506</v>
      </c>
    </row>
    <row r="984" spans="1:5" x14ac:dyDescent="0.25">
      <c r="A984" s="974">
        <v>983</v>
      </c>
      <c r="B984" s="974" t="s">
        <v>1516</v>
      </c>
      <c r="C984" s="1046" t="s">
        <v>1665</v>
      </c>
      <c r="D984" s="1046" t="s">
        <v>1663</v>
      </c>
      <c r="E984" s="974" t="s">
        <v>1387</v>
      </c>
    </row>
    <row r="985" spans="1:5" x14ac:dyDescent="0.25">
      <c r="A985" s="974">
        <v>984</v>
      </c>
      <c r="B985" s="974" t="s">
        <v>1516</v>
      </c>
      <c r="C985" s="1046" t="s">
        <v>1665</v>
      </c>
      <c r="D985" s="1046" t="s">
        <v>1663</v>
      </c>
      <c r="E985" s="974" t="s">
        <v>1388</v>
      </c>
    </row>
    <row r="986" spans="1:5" x14ac:dyDescent="0.25">
      <c r="A986" s="974">
        <v>985</v>
      </c>
      <c r="B986" s="974" t="s">
        <v>1516</v>
      </c>
      <c r="C986" s="1046" t="s">
        <v>1665</v>
      </c>
      <c r="D986" s="1046" t="s">
        <v>1663</v>
      </c>
      <c r="E986" s="974" t="s">
        <v>1104</v>
      </c>
    </row>
    <row r="987" spans="1:5" x14ac:dyDescent="0.25">
      <c r="A987" s="974">
        <v>986</v>
      </c>
      <c r="B987" s="974" t="s">
        <v>1516</v>
      </c>
      <c r="C987" s="1046" t="s">
        <v>1667</v>
      </c>
      <c r="D987" s="1046" t="s">
        <v>1666</v>
      </c>
      <c r="E987" s="974" t="s">
        <v>1491</v>
      </c>
    </row>
    <row r="988" spans="1:5" x14ac:dyDescent="0.25">
      <c r="A988" s="974">
        <v>987</v>
      </c>
      <c r="B988" s="974" t="s">
        <v>1516</v>
      </c>
      <c r="C988" s="1046" t="s">
        <v>1667</v>
      </c>
      <c r="D988" s="1046" t="s">
        <v>1666</v>
      </c>
      <c r="E988" s="974" t="s">
        <v>1705</v>
      </c>
    </row>
    <row r="989" spans="1:5" x14ac:dyDescent="0.25">
      <c r="A989" s="974">
        <v>988</v>
      </c>
      <c r="B989" s="974" t="s">
        <v>1516</v>
      </c>
      <c r="C989" s="1046" t="s">
        <v>1667</v>
      </c>
      <c r="D989" s="1046" t="s">
        <v>1666</v>
      </c>
      <c r="E989" s="974" t="s">
        <v>1383</v>
      </c>
    </row>
    <row r="990" spans="1:5" x14ac:dyDescent="0.25">
      <c r="A990" s="974">
        <v>989</v>
      </c>
      <c r="B990" s="974" t="s">
        <v>1516</v>
      </c>
      <c r="C990" s="1046" t="s">
        <v>1667</v>
      </c>
      <c r="D990" s="1046" t="s">
        <v>1666</v>
      </c>
      <c r="E990" s="974" t="s">
        <v>1381</v>
      </c>
    </row>
    <row r="991" spans="1:5" x14ac:dyDescent="0.25">
      <c r="A991" s="974">
        <v>990</v>
      </c>
      <c r="B991" s="974" t="s">
        <v>1516</v>
      </c>
      <c r="C991" s="1046" t="s">
        <v>1667</v>
      </c>
      <c r="D991" s="1046" t="s">
        <v>1666</v>
      </c>
      <c r="E991" s="974" t="s">
        <v>1397</v>
      </c>
    </row>
    <row r="992" spans="1:5" x14ac:dyDescent="0.25">
      <c r="A992" s="974">
        <v>991</v>
      </c>
      <c r="B992" s="974" t="s">
        <v>1516</v>
      </c>
      <c r="C992" s="1046" t="s">
        <v>1667</v>
      </c>
      <c r="D992" s="1046" t="s">
        <v>1410</v>
      </c>
      <c r="E992" s="974" t="s">
        <v>1382</v>
      </c>
    </row>
    <row r="993" spans="1:5" ht="30" x14ac:dyDescent="0.25">
      <c r="A993" s="974">
        <v>992</v>
      </c>
      <c r="B993" s="974" t="s">
        <v>1516</v>
      </c>
      <c r="C993" s="1046" t="s">
        <v>1667</v>
      </c>
      <c r="D993" s="1046" t="s">
        <v>1544</v>
      </c>
      <c r="E993" s="974" t="s">
        <v>1385</v>
      </c>
    </row>
    <row r="994" spans="1:5" ht="30" x14ac:dyDescent="0.25">
      <c r="A994" s="974">
        <v>993</v>
      </c>
      <c r="B994" s="974" t="s">
        <v>1516</v>
      </c>
      <c r="C994" s="1046" t="s">
        <v>1667</v>
      </c>
      <c r="D994" s="1046" t="s">
        <v>1544</v>
      </c>
      <c r="E994" s="974" t="s">
        <v>1386</v>
      </c>
    </row>
    <row r="995" spans="1:5" ht="30" x14ac:dyDescent="0.25">
      <c r="A995" s="974">
        <v>994</v>
      </c>
      <c r="B995" s="974" t="s">
        <v>1516</v>
      </c>
      <c r="C995" s="1046" t="s">
        <v>1667</v>
      </c>
      <c r="D995" s="1046" t="s">
        <v>1544</v>
      </c>
      <c r="E995" s="974" t="s">
        <v>1495</v>
      </c>
    </row>
    <row r="996" spans="1:5" x14ac:dyDescent="0.25">
      <c r="A996" s="974">
        <v>995</v>
      </c>
      <c r="B996" s="974" t="s">
        <v>1516</v>
      </c>
      <c r="C996" s="1046" t="s">
        <v>1667</v>
      </c>
      <c r="D996" s="1046" t="s">
        <v>1410</v>
      </c>
      <c r="E996" s="974" t="s">
        <v>1492</v>
      </c>
    </row>
    <row r="997" spans="1:5" x14ac:dyDescent="0.25">
      <c r="A997" s="974">
        <v>996</v>
      </c>
      <c r="B997" s="974" t="s">
        <v>1516</v>
      </c>
      <c r="C997" s="1046" t="s">
        <v>1667</v>
      </c>
      <c r="D997" s="1046" t="s">
        <v>1410</v>
      </c>
      <c r="E997" s="974" t="s">
        <v>1396</v>
      </c>
    </row>
    <row r="998" spans="1:5" x14ac:dyDescent="0.25">
      <c r="A998" s="974">
        <v>997</v>
      </c>
      <c r="B998" s="974" t="s">
        <v>1516</v>
      </c>
      <c r="C998" s="1046" t="s">
        <v>1668</v>
      </c>
      <c r="D998" s="1046" t="s">
        <v>1666</v>
      </c>
      <c r="E998" s="974" t="s">
        <v>1491</v>
      </c>
    </row>
    <row r="999" spans="1:5" x14ac:dyDescent="0.25">
      <c r="A999" s="974">
        <v>998</v>
      </c>
      <c r="B999" s="974" t="s">
        <v>1516</v>
      </c>
      <c r="C999" s="1046" t="s">
        <v>1668</v>
      </c>
      <c r="D999" s="1046" t="s">
        <v>1666</v>
      </c>
      <c r="E999" s="974" t="s">
        <v>1705</v>
      </c>
    </row>
    <row r="1000" spans="1:5" x14ac:dyDescent="0.25">
      <c r="A1000" s="974">
        <v>999</v>
      </c>
      <c r="B1000" s="974" t="s">
        <v>1516</v>
      </c>
      <c r="C1000" s="1046" t="s">
        <v>1668</v>
      </c>
      <c r="D1000" s="1046" t="s">
        <v>1666</v>
      </c>
      <c r="E1000" s="974" t="s">
        <v>1383</v>
      </c>
    </row>
    <row r="1001" spans="1:5" x14ac:dyDescent="0.25">
      <c r="A1001" s="974">
        <v>1000</v>
      </c>
      <c r="B1001" s="974" t="s">
        <v>1516</v>
      </c>
      <c r="C1001" s="1046" t="s">
        <v>1668</v>
      </c>
      <c r="D1001" s="1046" t="s">
        <v>1666</v>
      </c>
      <c r="E1001" s="974" t="s">
        <v>1381</v>
      </c>
    </row>
    <row r="1002" spans="1:5" x14ac:dyDescent="0.25">
      <c r="A1002" s="974">
        <v>1001</v>
      </c>
      <c r="B1002" s="974" t="s">
        <v>1516</v>
      </c>
      <c r="C1002" s="1046" t="s">
        <v>1668</v>
      </c>
      <c r="D1002" s="1046" t="s">
        <v>1666</v>
      </c>
      <c r="E1002" s="974" t="s">
        <v>1397</v>
      </c>
    </row>
    <row r="1003" spans="1:5" x14ac:dyDescent="0.25">
      <c r="A1003" s="974">
        <v>1002</v>
      </c>
      <c r="B1003" s="974" t="s">
        <v>1516</v>
      </c>
      <c r="C1003" s="1046" t="s">
        <v>1668</v>
      </c>
      <c r="D1003" s="1046" t="s">
        <v>1410</v>
      </c>
      <c r="E1003" s="974" t="s">
        <v>1382</v>
      </c>
    </row>
    <row r="1004" spans="1:5" ht="30" x14ac:dyDescent="0.25">
      <c r="A1004" s="974">
        <v>1003</v>
      </c>
      <c r="B1004" s="974" t="s">
        <v>1516</v>
      </c>
      <c r="C1004" s="1046" t="s">
        <v>1668</v>
      </c>
      <c r="D1004" s="1046" t="s">
        <v>1544</v>
      </c>
      <c r="E1004" s="974" t="s">
        <v>1385</v>
      </c>
    </row>
    <row r="1005" spans="1:5" ht="30" x14ac:dyDescent="0.25">
      <c r="A1005" s="974">
        <v>1004</v>
      </c>
      <c r="B1005" s="974" t="s">
        <v>1516</v>
      </c>
      <c r="C1005" s="1046" t="s">
        <v>1668</v>
      </c>
      <c r="D1005" s="1046" t="s">
        <v>1544</v>
      </c>
      <c r="E1005" s="974" t="s">
        <v>1386</v>
      </c>
    </row>
    <row r="1006" spans="1:5" ht="30" x14ac:dyDescent="0.25">
      <c r="A1006" s="974">
        <v>1005</v>
      </c>
      <c r="B1006" s="974" t="s">
        <v>1516</v>
      </c>
      <c r="C1006" s="1046" t="s">
        <v>1668</v>
      </c>
      <c r="D1006" s="1046" t="s">
        <v>1544</v>
      </c>
      <c r="E1006" s="974" t="s">
        <v>1495</v>
      </c>
    </row>
    <row r="1007" spans="1:5" x14ac:dyDescent="0.25">
      <c r="A1007" s="974">
        <v>1006</v>
      </c>
      <c r="B1007" s="974" t="s">
        <v>1516</v>
      </c>
      <c r="C1007" s="1046" t="s">
        <v>1668</v>
      </c>
      <c r="D1007" s="1046" t="s">
        <v>1410</v>
      </c>
      <c r="E1007" s="974" t="s">
        <v>1492</v>
      </c>
    </row>
    <row r="1008" spans="1:5" x14ac:dyDescent="0.25">
      <c r="A1008" s="974">
        <v>1007</v>
      </c>
      <c r="B1008" s="974" t="s">
        <v>1516</v>
      </c>
      <c r="C1008" s="1046" t="s">
        <v>1668</v>
      </c>
      <c r="D1008" s="1046" t="s">
        <v>1410</v>
      </c>
      <c r="E1008" s="974" t="s">
        <v>1396</v>
      </c>
    </row>
    <row r="1009" spans="1:5" x14ac:dyDescent="0.25">
      <c r="A1009" s="974">
        <v>1008</v>
      </c>
      <c r="B1009" s="974" t="s">
        <v>1516</v>
      </c>
      <c r="C1009" s="1046" t="s">
        <v>1669</v>
      </c>
      <c r="D1009" s="1046" t="s">
        <v>2106</v>
      </c>
      <c r="E1009" s="974" t="s">
        <v>1491</v>
      </c>
    </row>
    <row r="1010" spans="1:5" x14ac:dyDescent="0.25">
      <c r="A1010" s="974">
        <v>1009</v>
      </c>
      <c r="B1010" s="974" t="s">
        <v>1516</v>
      </c>
      <c r="C1010" s="1046" t="s">
        <v>1669</v>
      </c>
      <c r="D1010" s="1046" t="s">
        <v>2106</v>
      </c>
      <c r="E1010" s="974" t="s">
        <v>1705</v>
      </c>
    </row>
    <row r="1011" spans="1:5" x14ac:dyDescent="0.25">
      <c r="A1011" s="974">
        <v>1010</v>
      </c>
      <c r="B1011" s="974" t="s">
        <v>1516</v>
      </c>
      <c r="C1011" s="1046" t="s">
        <v>1669</v>
      </c>
      <c r="D1011" s="1046" t="s">
        <v>2106</v>
      </c>
      <c r="E1011" s="974" t="s">
        <v>1383</v>
      </c>
    </row>
    <row r="1012" spans="1:5" x14ac:dyDescent="0.25">
      <c r="A1012" s="974">
        <v>1011</v>
      </c>
      <c r="B1012" s="974" t="s">
        <v>1516</v>
      </c>
      <c r="C1012" s="1046" t="s">
        <v>1669</v>
      </c>
      <c r="D1012" s="1046" t="s">
        <v>2106</v>
      </c>
      <c r="E1012" s="974" t="s">
        <v>1381</v>
      </c>
    </row>
    <row r="1013" spans="1:5" x14ac:dyDescent="0.25">
      <c r="A1013" s="974">
        <v>1012</v>
      </c>
      <c r="B1013" s="974" t="s">
        <v>1516</v>
      </c>
      <c r="C1013" s="1046" t="s">
        <v>1669</v>
      </c>
      <c r="D1013" s="1046" t="s">
        <v>2106</v>
      </c>
      <c r="E1013" s="974" t="s">
        <v>1397</v>
      </c>
    </row>
    <row r="1014" spans="1:5" x14ac:dyDescent="0.25">
      <c r="A1014" s="974">
        <v>1013</v>
      </c>
      <c r="B1014" s="974" t="s">
        <v>1516</v>
      </c>
      <c r="C1014" s="1046" t="s">
        <v>1669</v>
      </c>
      <c r="D1014" s="1046" t="s">
        <v>1410</v>
      </c>
      <c r="E1014" s="974" t="s">
        <v>1382</v>
      </c>
    </row>
    <row r="1015" spans="1:5" ht="30" x14ac:dyDescent="0.25">
      <c r="A1015" s="974">
        <v>1014</v>
      </c>
      <c r="B1015" s="974" t="s">
        <v>1516</v>
      </c>
      <c r="C1015" s="1046" t="s">
        <v>1669</v>
      </c>
      <c r="D1015" s="1046" t="s">
        <v>1544</v>
      </c>
      <c r="E1015" s="974" t="s">
        <v>1385</v>
      </c>
    </row>
    <row r="1016" spans="1:5" ht="30" x14ac:dyDescent="0.25">
      <c r="A1016" s="974">
        <v>1015</v>
      </c>
      <c r="B1016" s="974" t="s">
        <v>1516</v>
      </c>
      <c r="C1016" s="1046" t="s">
        <v>1669</v>
      </c>
      <c r="D1016" s="1046" t="s">
        <v>1544</v>
      </c>
      <c r="E1016" s="974" t="s">
        <v>1386</v>
      </c>
    </row>
    <row r="1017" spans="1:5" ht="30" x14ac:dyDescent="0.25">
      <c r="A1017" s="974">
        <v>1016</v>
      </c>
      <c r="B1017" s="974" t="s">
        <v>1516</v>
      </c>
      <c r="C1017" s="1046" t="s">
        <v>1669</v>
      </c>
      <c r="D1017" s="1046" t="s">
        <v>1544</v>
      </c>
      <c r="E1017" s="974" t="s">
        <v>1495</v>
      </c>
    </row>
    <row r="1018" spans="1:5" x14ac:dyDescent="0.25">
      <c r="A1018" s="974">
        <v>1017</v>
      </c>
      <c r="B1018" s="974" t="s">
        <v>1516</v>
      </c>
      <c r="C1018" s="1046" t="s">
        <v>1669</v>
      </c>
      <c r="D1018" s="1046" t="s">
        <v>1410</v>
      </c>
      <c r="E1018" s="974" t="s">
        <v>1492</v>
      </c>
    </row>
    <row r="1019" spans="1:5" x14ac:dyDescent="0.25">
      <c r="A1019" s="974">
        <v>1018</v>
      </c>
      <c r="B1019" s="974" t="s">
        <v>1516</v>
      </c>
      <c r="C1019" s="1046" t="s">
        <v>1669</v>
      </c>
      <c r="D1019" s="1046" t="s">
        <v>1410</v>
      </c>
      <c r="E1019" s="974" t="s">
        <v>1396</v>
      </c>
    </row>
    <row r="1020" spans="1:5" x14ac:dyDescent="0.25">
      <c r="A1020" s="974">
        <v>1019</v>
      </c>
      <c r="B1020" s="974" t="s">
        <v>1516</v>
      </c>
      <c r="C1020" s="1046" t="s">
        <v>2107</v>
      </c>
      <c r="D1020" s="1046" t="s">
        <v>1670</v>
      </c>
      <c r="E1020" s="974" t="s">
        <v>1491</v>
      </c>
    </row>
    <row r="1021" spans="1:5" x14ac:dyDescent="0.25">
      <c r="A1021" s="974">
        <v>1020</v>
      </c>
      <c r="B1021" s="974" t="s">
        <v>1516</v>
      </c>
      <c r="C1021" s="1046" t="s">
        <v>2107</v>
      </c>
      <c r="D1021" s="1046" t="s">
        <v>1670</v>
      </c>
      <c r="E1021" s="974" t="s">
        <v>1705</v>
      </c>
    </row>
    <row r="1022" spans="1:5" x14ac:dyDescent="0.25">
      <c r="A1022" s="974">
        <v>1021</v>
      </c>
      <c r="B1022" s="974" t="s">
        <v>1516</v>
      </c>
      <c r="C1022" s="1046" t="s">
        <v>2107</v>
      </c>
      <c r="D1022" s="1046" t="s">
        <v>1670</v>
      </c>
      <c r="E1022" s="974" t="s">
        <v>1383</v>
      </c>
    </row>
    <row r="1023" spans="1:5" x14ac:dyDescent="0.25">
      <c r="A1023" s="974">
        <v>1022</v>
      </c>
      <c r="B1023" s="974" t="s">
        <v>1516</v>
      </c>
      <c r="C1023" s="1046" t="s">
        <v>2107</v>
      </c>
      <c r="D1023" s="1046" t="s">
        <v>1670</v>
      </c>
      <c r="E1023" s="974" t="s">
        <v>1381</v>
      </c>
    </row>
    <row r="1024" spans="1:5" x14ac:dyDescent="0.25">
      <c r="A1024" s="974">
        <v>1023</v>
      </c>
      <c r="B1024" s="974" t="s">
        <v>1516</v>
      </c>
      <c r="C1024" s="1046" t="s">
        <v>2107</v>
      </c>
      <c r="D1024" s="1046" t="s">
        <v>1670</v>
      </c>
      <c r="E1024" s="974" t="s">
        <v>1397</v>
      </c>
    </row>
    <row r="1025" spans="1:5" x14ac:dyDescent="0.25">
      <c r="A1025" s="974">
        <v>1024</v>
      </c>
      <c r="B1025" s="974" t="s">
        <v>1516</v>
      </c>
      <c r="C1025" s="1046" t="s">
        <v>2107</v>
      </c>
      <c r="D1025" s="1046" t="s">
        <v>1410</v>
      </c>
      <c r="E1025" s="974" t="s">
        <v>1382</v>
      </c>
    </row>
    <row r="1026" spans="1:5" x14ac:dyDescent="0.25">
      <c r="A1026" s="974">
        <v>1025</v>
      </c>
      <c r="B1026" s="974" t="s">
        <v>1516</v>
      </c>
      <c r="C1026" s="1046" t="s">
        <v>2107</v>
      </c>
      <c r="D1026" s="1046" t="s">
        <v>1670</v>
      </c>
      <c r="E1026" s="974" t="s">
        <v>1486</v>
      </c>
    </row>
    <row r="1027" spans="1:5" x14ac:dyDescent="0.25">
      <c r="A1027" s="974">
        <v>1026</v>
      </c>
      <c r="B1027" s="974" t="s">
        <v>1516</v>
      </c>
      <c r="C1027" s="1046" t="s">
        <v>2107</v>
      </c>
      <c r="D1027" s="1046" t="s">
        <v>1670</v>
      </c>
      <c r="E1027" s="974" t="s">
        <v>1487</v>
      </c>
    </row>
    <row r="1028" spans="1:5" x14ac:dyDescent="0.25">
      <c r="A1028" s="974">
        <v>1027</v>
      </c>
      <c r="B1028" s="974" t="s">
        <v>1516</v>
      </c>
      <c r="C1028" s="1046" t="s">
        <v>2107</v>
      </c>
      <c r="D1028" s="1046" t="s">
        <v>1410</v>
      </c>
      <c r="E1028" s="974" t="s">
        <v>1488</v>
      </c>
    </row>
    <row r="1029" spans="1:5" ht="30" x14ac:dyDescent="0.25">
      <c r="A1029" s="974">
        <v>1028</v>
      </c>
      <c r="B1029" s="974" t="s">
        <v>1516</v>
      </c>
      <c r="C1029" s="1046" t="s">
        <v>2107</v>
      </c>
      <c r="D1029" s="1046" t="s">
        <v>1544</v>
      </c>
      <c r="E1029" s="974" t="s">
        <v>1385</v>
      </c>
    </row>
    <row r="1030" spans="1:5" ht="30" x14ac:dyDescent="0.25">
      <c r="A1030" s="974">
        <v>1029</v>
      </c>
      <c r="B1030" s="974" t="s">
        <v>1516</v>
      </c>
      <c r="C1030" s="1046" t="s">
        <v>2107</v>
      </c>
      <c r="D1030" s="1046" t="s">
        <v>1544</v>
      </c>
      <c r="E1030" s="974" t="s">
        <v>1386</v>
      </c>
    </row>
    <row r="1031" spans="1:5" ht="30" x14ac:dyDescent="0.25">
      <c r="A1031" s="974">
        <v>1030</v>
      </c>
      <c r="B1031" s="974" t="s">
        <v>1516</v>
      </c>
      <c r="C1031" s="1046" t="s">
        <v>2107</v>
      </c>
      <c r="D1031" s="1046" t="s">
        <v>1544</v>
      </c>
      <c r="E1031" s="974" t="s">
        <v>1495</v>
      </c>
    </row>
    <row r="1032" spans="1:5" x14ac:dyDescent="0.25">
      <c r="A1032" s="974">
        <v>1031</v>
      </c>
      <c r="B1032" s="974" t="s">
        <v>1516</v>
      </c>
      <c r="C1032" s="1046" t="s">
        <v>2107</v>
      </c>
      <c r="D1032" s="1046" t="s">
        <v>1410</v>
      </c>
      <c r="E1032" s="974" t="s">
        <v>1492</v>
      </c>
    </row>
    <row r="1033" spans="1:5" x14ac:dyDescent="0.25">
      <c r="A1033" s="974">
        <v>1032</v>
      </c>
      <c r="B1033" s="974" t="s">
        <v>1516</v>
      </c>
      <c r="C1033" s="1046" t="s">
        <v>2107</v>
      </c>
      <c r="D1033" s="1046" t="s">
        <v>1670</v>
      </c>
      <c r="E1033" s="974" t="s">
        <v>1389</v>
      </c>
    </row>
    <row r="1034" spans="1:5" x14ac:dyDescent="0.25">
      <c r="A1034" s="974">
        <v>1033</v>
      </c>
      <c r="B1034" s="974" t="s">
        <v>1516</v>
      </c>
      <c r="C1034" s="1046" t="s">
        <v>2108</v>
      </c>
      <c r="D1034" s="1046" t="s">
        <v>1671</v>
      </c>
      <c r="E1034" s="974" t="s">
        <v>1491</v>
      </c>
    </row>
    <row r="1035" spans="1:5" x14ac:dyDescent="0.25">
      <c r="A1035" s="974">
        <v>1034</v>
      </c>
      <c r="B1035" s="974" t="s">
        <v>1516</v>
      </c>
      <c r="C1035" s="1046" t="s">
        <v>2108</v>
      </c>
      <c r="D1035" s="1046" t="s">
        <v>1671</v>
      </c>
      <c r="E1035" s="974" t="s">
        <v>1705</v>
      </c>
    </row>
    <row r="1036" spans="1:5" x14ac:dyDescent="0.25">
      <c r="A1036" s="974">
        <v>1035</v>
      </c>
      <c r="B1036" s="974" t="s">
        <v>1516</v>
      </c>
      <c r="C1036" s="1046" t="s">
        <v>2108</v>
      </c>
      <c r="D1036" s="1046" t="s">
        <v>1671</v>
      </c>
      <c r="E1036" s="974" t="s">
        <v>1383</v>
      </c>
    </row>
    <row r="1037" spans="1:5" x14ac:dyDescent="0.25">
      <c r="A1037" s="974">
        <v>1036</v>
      </c>
      <c r="B1037" s="974" t="s">
        <v>1516</v>
      </c>
      <c r="C1037" s="1046" t="s">
        <v>2108</v>
      </c>
      <c r="D1037" s="1046" t="s">
        <v>1671</v>
      </c>
      <c r="E1037" s="974" t="s">
        <v>1381</v>
      </c>
    </row>
    <row r="1038" spans="1:5" x14ac:dyDescent="0.25">
      <c r="A1038" s="974">
        <v>1037</v>
      </c>
      <c r="B1038" s="974" t="s">
        <v>1516</v>
      </c>
      <c r="C1038" s="1046" t="s">
        <v>2108</v>
      </c>
      <c r="D1038" s="1046" t="s">
        <v>1410</v>
      </c>
      <c r="E1038" s="974" t="s">
        <v>1382</v>
      </c>
    </row>
    <row r="1039" spans="1:5" ht="30" x14ac:dyDescent="0.25">
      <c r="A1039" s="974">
        <v>1038</v>
      </c>
      <c r="B1039" s="974" t="s">
        <v>1516</v>
      </c>
      <c r="C1039" s="1046" t="s">
        <v>2108</v>
      </c>
      <c r="D1039" s="1046" t="s">
        <v>1544</v>
      </c>
      <c r="E1039" s="974" t="s">
        <v>1385</v>
      </c>
    </row>
    <row r="1040" spans="1:5" ht="30" x14ac:dyDescent="0.25">
      <c r="A1040" s="974">
        <v>1039</v>
      </c>
      <c r="B1040" s="974" t="s">
        <v>1516</v>
      </c>
      <c r="C1040" s="1046" t="s">
        <v>2108</v>
      </c>
      <c r="D1040" s="1046" t="s">
        <v>1544</v>
      </c>
      <c r="E1040" s="974" t="s">
        <v>1386</v>
      </c>
    </row>
    <row r="1041" spans="1:5" ht="30" x14ac:dyDescent="0.25">
      <c r="A1041" s="974">
        <v>1040</v>
      </c>
      <c r="B1041" s="974" t="s">
        <v>1516</v>
      </c>
      <c r="C1041" s="1046" t="s">
        <v>2108</v>
      </c>
      <c r="D1041" s="1046" t="s">
        <v>1544</v>
      </c>
      <c r="E1041" s="974" t="s">
        <v>1495</v>
      </c>
    </row>
    <row r="1042" spans="1:5" x14ac:dyDescent="0.25">
      <c r="A1042" s="974">
        <v>1041</v>
      </c>
      <c r="B1042" s="974" t="s">
        <v>1516</v>
      </c>
      <c r="C1042" s="1046" t="s">
        <v>2108</v>
      </c>
      <c r="D1042" s="1046" t="s">
        <v>1410</v>
      </c>
      <c r="E1042" s="974" t="s">
        <v>1492</v>
      </c>
    </row>
    <row r="1043" spans="1:5" x14ac:dyDescent="0.25">
      <c r="A1043" s="974">
        <v>1042</v>
      </c>
      <c r="B1043" s="974" t="s">
        <v>1516</v>
      </c>
      <c r="C1043" s="1046" t="s">
        <v>2108</v>
      </c>
      <c r="D1043" s="1046" t="s">
        <v>1671</v>
      </c>
      <c r="E1043" s="974" t="s">
        <v>1396</v>
      </c>
    </row>
    <row r="1044" spans="1:5" x14ac:dyDescent="0.25">
      <c r="A1044" s="974">
        <v>1043</v>
      </c>
      <c r="B1044" s="974" t="s">
        <v>1516</v>
      </c>
      <c r="C1044" s="1046" t="s">
        <v>2108</v>
      </c>
      <c r="D1044" s="1046" t="s">
        <v>1671</v>
      </c>
      <c r="E1044" s="974" t="s">
        <v>1672</v>
      </c>
    </row>
    <row r="1045" spans="1:5" x14ac:dyDescent="0.25">
      <c r="A1045" s="974">
        <v>1044</v>
      </c>
      <c r="B1045" s="974" t="s">
        <v>1516</v>
      </c>
      <c r="C1045" s="1046" t="s">
        <v>2108</v>
      </c>
      <c r="D1045" s="1046" t="s">
        <v>1671</v>
      </c>
      <c r="E1045" s="974" t="s">
        <v>1475</v>
      </c>
    </row>
    <row r="1046" spans="1:5" ht="30" x14ac:dyDescent="0.25">
      <c r="A1046" s="974">
        <v>1045</v>
      </c>
      <c r="B1046" s="974" t="s">
        <v>1516</v>
      </c>
      <c r="C1046" s="1046" t="s">
        <v>2108</v>
      </c>
      <c r="D1046" s="1046" t="s">
        <v>1410</v>
      </c>
      <c r="E1046" s="1045" t="s">
        <v>1479</v>
      </c>
    </row>
    <row r="1047" spans="1:5" x14ac:dyDescent="0.25">
      <c r="A1047" s="974">
        <v>1046</v>
      </c>
      <c r="B1047" s="974" t="s">
        <v>1516</v>
      </c>
      <c r="C1047" s="1046" t="s">
        <v>2108</v>
      </c>
      <c r="D1047" s="1046" t="s">
        <v>1671</v>
      </c>
      <c r="E1047" s="1045" t="s">
        <v>1135</v>
      </c>
    </row>
    <row r="1048" spans="1:5" x14ac:dyDescent="0.25">
      <c r="A1048" s="974">
        <v>1047</v>
      </c>
      <c r="B1048" s="974" t="s">
        <v>1516</v>
      </c>
      <c r="C1048" s="1046" t="s">
        <v>2108</v>
      </c>
      <c r="D1048" s="1046" t="s">
        <v>1671</v>
      </c>
      <c r="E1048" s="1045" t="s">
        <v>1402</v>
      </c>
    </row>
    <row r="1049" spans="1:5" x14ac:dyDescent="0.25">
      <c r="A1049" s="974">
        <v>1048</v>
      </c>
      <c r="B1049" s="974" t="s">
        <v>1516</v>
      </c>
      <c r="C1049" s="1046" t="s">
        <v>2108</v>
      </c>
      <c r="D1049" s="1046" t="s">
        <v>1410</v>
      </c>
      <c r="E1049" s="1045" t="s">
        <v>1480</v>
      </c>
    </row>
    <row r="1050" spans="1:5" x14ac:dyDescent="0.25">
      <c r="A1050" s="974">
        <v>1049</v>
      </c>
      <c r="B1050" s="974" t="s">
        <v>1516</v>
      </c>
      <c r="C1050" s="1046" t="s">
        <v>2108</v>
      </c>
      <c r="D1050" s="1046" t="s">
        <v>1671</v>
      </c>
      <c r="E1050" s="1045" t="s">
        <v>1134</v>
      </c>
    </row>
    <row r="1051" spans="1:5" x14ac:dyDescent="0.25">
      <c r="A1051" s="974">
        <v>1050</v>
      </c>
      <c r="B1051" s="974" t="s">
        <v>1516</v>
      </c>
      <c r="C1051" s="1046" t="s">
        <v>2109</v>
      </c>
      <c r="D1051" s="1046" t="s">
        <v>1673</v>
      </c>
      <c r="E1051" s="974" t="s">
        <v>1491</v>
      </c>
    </row>
    <row r="1052" spans="1:5" x14ac:dyDescent="0.25">
      <c r="A1052" s="974">
        <v>1051</v>
      </c>
      <c r="B1052" s="974" t="s">
        <v>1516</v>
      </c>
      <c r="C1052" s="1046" t="s">
        <v>2109</v>
      </c>
      <c r="D1052" s="1046" t="s">
        <v>1673</v>
      </c>
      <c r="E1052" s="974" t="s">
        <v>1705</v>
      </c>
    </row>
    <row r="1053" spans="1:5" x14ac:dyDescent="0.25">
      <c r="A1053" s="974">
        <v>1052</v>
      </c>
      <c r="B1053" s="974" t="s">
        <v>1516</v>
      </c>
      <c r="C1053" s="1046" t="s">
        <v>2109</v>
      </c>
      <c r="D1053" s="1046" t="s">
        <v>1673</v>
      </c>
      <c r="E1053" s="974" t="s">
        <v>1383</v>
      </c>
    </row>
    <row r="1054" spans="1:5" x14ac:dyDescent="0.25">
      <c r="A1054" s="974">
        <v>1053</v>
      </c>
      <c r="B1054" s="974" t="s">
        <v>1516</v>
      </c>
      <c r="C1054" s="1046" t="s">
        <v>2109</v>
      </c>
      <c r="D1054" s="1046" t="s">
        <v>1673</v>
      </c>
      <c r="E1054" s="974" t="s">
        <v>1381</v>
      </c>
    </row>
    <row r="1055" spans="1:5" x14ac:dyDescent="0.25">
      <c r="A1055" s="974">
        <v>1054</v>
      </c>
      <c r="B1055" s="974" t="s">
        <v>1516</v>
      </c>
      <c r="C1055" s="1046" t="s">
        <v>2109</v>
      </c>
      <c r="D1055" s="1046" t="s">
        <v>1410</v>
      </c>
      <c r="E1055" s="974" t="s">
        <v>1382</v>
      </c>
    </row>
    <row r="1056" spans="1:5" ht="30" x14ac:dyDescent="0.25">
      <c r="A1056" s="974">
        <v>1055</v>
      </c>
      <c r="B1056" s="974" t="s">
        <v>1516</v>
      </c>
      <c r="C1056" s="1046" t="s">
        <v>2109</v>
      </c>
      <c r="D1056" s="1046" t="s">
        <v>1544</v>
      </c>
      <c r="E1056" s="974" t="s">
        <v>1385</v>
      </c>
    </row>
    <row r="1057" spans="1:5" ht="30" x14ac:dyDescent="0.25">
      <c r="A1057" s="974">
        <v>1056</v>
      </c>
      <c r="B1057" s="974" t="s">
        <v>1516</v>
      </c>
      <c r="C1057" s="1046" t="s">
        <v>2109</v>
      </c>
      <c r="D1057" s="1046" t="s">
        <v>1544</v>
      </c>
      <c r="E1057" s="974" t="s">
        <v>1386</v>
      </c>
    </row>
    <row r="1058" spans="1:5" ht="30" x14ac:dyDescent="0.25">
      <c r="A1058" s="974">
        <v>1057</v>
      </c>
      <c r="B1058" s="974" t="s">
        <v>1516</v>
      </c>
      <c r="C1058" s="1046" t="s">
        <v>2109</v>
      </c>
      <c r="D1058" s="1046" t="s">
        <v>1544</v>
      </c>
      <c r="E1058" s="974" t="s">
        <v>1495</v>
      </c>
    </row>
    <row r="1059" spans="1:5" x14ac:dyDescent="0.25">
      <c r="A1059" s="974">
        <v>1058</v>
      </c>
      <c r="B1059" s="974" t="s">
        <v>1516</v>
      </c>
      <c r="C1059" s="1046" t="s">
        <v>2109</v>
      </c>
      <c r="D1059" s="1046" t="s">
        <v>1410</v>
      </c>
      <c r="E1059" s="974" t="s">
        <v>1492</v>
      </c>
    </row>
    <row r="1060" spans="1:5" x14ac:dyDescent="0.25">
      <c r="A1060" s="974">
        <v>1059</v>
      </c>
      <c r="B1060" s="974" t="s">
        <v>1516</v>
      </c>
      <c r="C1060" s="1046" t="s">
        <v>2109</v>
      </c>
      <c r="D1060" s="1046" t="s">
        <v>1673</v>
      </c>
      <c r="E1060" s="974" t="s">
        <v>1396</v>
      </c>
    </row>
    <row r="1061" spans="1:5" x14ac:dyDescent="0.25">
      <c r="A1061" s="974">
        <v>1060</v>
      </c>
      <c r="B1061" s="974" t="s">
        <v>1516</v>
      </c>
      <c r="C1061" s="1046" t="s">
        <v>2109</v>
      </c>
      <c r="D1061" s="1046" t="s">
        <v>1673</v>
      </c>
      <c r="E1061" s="974" t="s">
        <v>1672</v>
      </c>
    </row>
    <row r="1062" spans="1:5" ht="30" x14ac:dyDescent="0.25">
      <c r="A1062" s="974">
        <v>1061</v>
      </c>
      <c r="B1062" s="974" t="s">
        <v>1516</v>
      </c>
      <c r="C1062" s="1046" t="s">
        <v>2109</v>
      </c>
      <c r="D1062" s="1046" t="s">
        <v>1410</v>
      </c>
      <c r="E1062" s="1045" t="s">
        <v>1479</v>
      </c>
    </row>
    <row r="1063" spans="1:5" x14ac:dyDescent="0.25">
      <c r="A1063" s="974">
        <v>1062</v>
      </c>
      <c r="B1063" s="974" t="s">
        <v>1516</v>
      </c>
      <c r="C1063" s="1046" t="s">
        <v>2109</v>
      </c>
      <c r="D1063" s="1046" t="s">
        <v>1671</v>
      </c>
      <c r="E1063" s="1045" t="s">
        <v>1135</v>
      </c>
    </row>
    <row r="1064" spans="1:5" x14ac:dyDescent="0.25">
      <c r="A1064" s="974">
        <v>1063</v>
      </c>
      <c r="B1064" s="974" t="s">
        <v>1516</v>
      </c>
      <c r="C1064" s="1046" t="s">
        <v>2109</v>
      </c>
      <c r="D1064" s="1046" t="s">
        <v>1671</v>
      </c>
      <c r="E1064" s="1045" t="s">
        <v>1402</v>
      </c>
    </row>
    <row r="1065" spans="1:5" x14ac:dyDescent="0.25">
      <c r="A1065" s="974">
        <v>1064</v>
      </c>
      <c r="B1065" s="974" t="s">
        <v>1516</v>
      </c>
      <c r="C1065" s="1046" t="s">
        <v>2109</v>
      </c>
      <c r="D1065" s="1046" t="s">
        <v>1410</v>
      </c>
      <c r="E1065" s="1045" t="s">
        <v>1480</v>
      </c>
    </row>
    <row r="1066" spans="1:5" x14ac:dyDescent="0.25">
      <c r="A1066" s="974">
        <v>1065</v>
      </c>
      <c r="B1066" s="974" t="s">
        <v>1516</v>
      </c>
      <c r="C1066" s="1046" t="s">
        <v>2109</v>
      </c>
      <c r="D1066" s="1046" t="s">
        <v>1671</v>
      </c>
      <c r="E1066" s="1045" t="s">
        <v>1134</v>
      </c>
    </row>
    <row r="1067" spans="1:5" x14ac:dyDescent="0.25">
      <c r="A1067" s="974">
        <v>1066</v>
      </c>
      <c r="B1067" s="974" t="s">
        <v>1516</v>
      </c>
      <c r="C1067" s="1046" t="s">
        <v>2110</v>
      </c>
      <c r="D1067" s="1046" t="s">
        <v>1674</v>
      </c>
      <c r="E1067" s="974" t="s">
        <v>1491</v>
      </c>
    </row>
    <row r="1068" spans="1:5" x14ac:dyDescent="0.25">
      <c r="A1068" s="974">
        <v>1067</v>
      </c>
      <c r="B1068" s="974" t="s">
        <v>1516</v>
      </c>
      <c r="C1068" s="1046" t="s">
        <v>2110</v>
      </c>
      <c r="D1068" s="1046" t="s">
        <v>1674</v>
      </c>
      <c r="E1068" s="974" t="s">
        <v>1705</v>
      </c>
    </row>
    <row r="1069" spans="1:5" x14ac:dyDescent="0.25">
      <c r="A1069" s="974">
        <v>1068</v>
      </c>
      <c r="B1069" s="974" t="s">
        <v>1516</v>
      </c>
      <c r="C1069" s="1046" t="s">
        <v>2110</v>
      </c>
      <c r="D1069" s="1046" t="s">
        <v>1674</v>
      </c>
      <c r="E1069" s="974" t="s">
        <v>1383</v>
      </c>
    </row>
    <row r="1070" spans="1:5" x14ac:dyDescent="0.25">
      <c r="A1070" s="974">
        <v>1069</v>
      </c>
      <c r="B1070" s="974" t="s">
        <v>1516</v>
      </c>
      <c r="C1070" s="1046" t="s">
        <v>2110</v>
      </c>
      <c r="D1070" s="1046" t="s">
        <v>1674</v>
      </c>
      <c r="E1070" s="974" t="s">
        <v>1381</v>
      </c>
    </row>
    <row r="1071" spans="1:5" x14ac:dyDescent="0.25">
      <c r="A1071" s="974">
        <v>1070</v>
      </c>
      <c r="B1071" s="974" t="s">
        <v>1516</v>
      </c>
      <c r="C1071" s="1046" t="s">
        <v>2110</v>
      </c>
      <c r="D1071" s="1046" t="s">
        <v>1410</v>
      </c>
      <c r="E1071" s="974" t="s">
        <v>1382</v>
      </c>
    </row>
    <row r="1072" spans="1:5" ht="30" x14ac:dyDescent="0.25">
      <c r="A1072" s="974">
        <v>1071</v>
      </c>
      <c r="B1072" s="974" t="s">
        <v>1516</v>
      </c>
      <c r="C1072" s="1046" t="s">
        <v>2110</v>
      </c>
      <c r="D1072" s="1046" t="s">
        <v>1544</v>
      </c>
      <c r="E1072" s="974" t="s">
        <v>1385</v>
      </c>
    </row>
    <row r="1073" spans="1:5" ht="30" x14ac:dyDescent="0.25">
      <c r="A1073" s="974">
        <v>1072</v>
      </c>
      <c r="B1073" s="974" t="s">
        <v>1516</v>
      </c>
      <c r="C1073" s="1046" t="s">
        <v>2110</v>
      </c>
      <c r="D1073" s="1046" t="s">
        <v>1544</v>
      </c>
      <c r="E1073" s="974" t="s">
        <v>1386</v>
      </c>
    </row>
    <row r="1074" spans="1:5" ht="30" x14ac:dyDescent="0.25">
      <c r="A1074" s="974">
        <v>1073</v>
      </c>
      <c r="B1074" s="974" t="s">
        <v>1516</v>
      </c>
      <c r="C1074" s="1046" t="s">
        <v>2110</v>
      </c>
      <c r="D1074" s="1046" t="s">
        <v>1544</v>
      </c>
      <c r="E1074" s="974" t="s">
        <v>1495</v>
      </c>
    </row>
    <row r="1075" spans="1:5" x14ac:dyDescent="0.25">
      <c r="A1075" s="974">
        <v>1074</v>
      </c>
      <c r="B1075" s="974" t="s">
        <v>1516</v>
      </c>
      <c r="C1075" s="1046" t="s">
        <v>2110</v>
      </c>
      <c r="D1075" s="1046" t="s">
        <v>1410</v>
      </c>
      <c r="E1075" s="974" t="s">
        <v>1492</v>
      </c>
    </row>
    <row r="1076" spans="1:5" x14ac:dyDescent="0.25">
      <c r="A1076" s="974">
        <v>1075</v>
      </c>
      <c r="B1076" s="974" t="s">
        <v>1516</v>
      </c>
      <c r="C1076" s="1046" t="s">
        <v>2110</v>
      </c>
      <c r="D1076" s="1046" t="s">
        <v>1674</v>
      </c>
      <c r="E1076" s="974" t="s">
        <v>1396</v>
      </c>
    </row>
    <row r="1077" spans="1:5" x14ac:dyDescent="0.25">
      <c r="A1077" s="974">
        <v>1076</v>
      </c>
      <c r="B1077" s="974" t="s">
        <v>1516</v>
      </c>
      <c r="C1077" s="1046" t="s">
        <v>2111</v>
      </c>
      <c r="D1077" s="1046" t="s">
        <v>1674</v>
      </c>
      <c r="E1077" s="974" t="s">
        <v>1491</v>
      </c>
    </row>
    <row r="1078" spans="1:5" x14ac:dyDescent="0.25">
      <c r="A1078" s="974">
        <v>1077</v>
      </c>
      <c r="B1078" s="974" t="s">
        <v>1516</v>
      </c>
      <c r="C1078" s="1046" t="s">
        <v>2111</v>
      </c>
      <c r="D1078" s="1046" t="s">
        <v>1674</v>
      </c>
      <c r="E1078" s="974" t="s">
        <v>1705</v>
      </c>
    </row>
    <row r="1079" spans="1:5" x14ac:dyDescent="0.25">
      <c r="A1079" s="974">
        <v>1078</v>
      </c>
      <c r="B1079" s="974" t="s">
        <v>1516</v>
      </c>
      <c r="C1079" s="1046" t="s">
        <v>2111</v>
      </c>
      <c r="D1079" s="1046" t="s">
        <v>1674</v>
      </c>
      <c r="E1079" s="974" t="s">
        <v>1383</v>
      </c>
    </row>
    <row r="1080" spans="1:5" x14ac:dyDescent="0.25">
      <c r="A1080" s="974">
        <v>1079</v>
      </c>
      <c r="B1080" s="974" t="s">
        <v>1516</v>
      </c>
      <c r="C1080" s="1046" t="s">
        <v>2111</v>
      </c>
      <c r="D1080" s="1046" t="s">
        <v>1674</v>
      </c>
      <c r="E1080" s="974" t="s">
        <v>1381</v>
      </c>
    </row>
    <row r="1081" spans="1:5" x14ac:dyDescent="0.25">
      <c r="A1081" s="974">
        <v>1080</v>
      </c>
      <c r="B1081" s="974" t="s">
        <v>1516</v>
      </c>
      <c r="C1081" s="1046" t="s">
        <v>2111</v>
      </c>
      <c r="D1081" s="1046" t="s">
        <v>1410</v>
      </c>
      <c r="E1081" s="974" t="s">
        <v>1382</v>
      </c>
    </row>
    <row r="1082" spans="1:5" ht="30" x14ac:dyDescent="0.25">
      <c r="A1082" s="974">
        <v>1081</v>
      </c>
      <c r="B1082" s="974" t="s">
        <v>1516</v>
      </c>
      <c r="C1082" s="1046" t="s">
        <v>2111</v>
      </c>
      <c r="D1082" s="1046" t="s">
        <v>1544</v>
      </c>
      <c r="E1082" s="974" t="s">
        <v>1385</v>
      </c>
    </row>
    <row r="1083" spans="1:5" ht="30" x14ac:dyDescent="0.25">
      <c r="A1083" s="974">
        <v>1082</v>
      </c>
      <c r="B1083" s="974" t="s">
        <v>1516</v>
      </c>
      <c r="C1083" s="1046" t="s">
        <v>2111</v>
      </c>
      <c r="D1083" s="1046" t="s">
        <v>1544</v>
      </c>
      <c r="E1083" s="974" t="s">
        <v>1386</v>
      </c>
    </row>
    <row r="1084" spans="1:5" ht="30" x14ac:dyDescent="0.25">
      <c r="A1084" s="974">
        <v>1083</v>
      </c>
      <c r="B1084" s="974" t="s">
        <v>1516</v>
      </c>
      <c r="C1084" s="1046" t="s">
        <v>2111</v>
      </c>
      <c r="D1084" s="1046" t="s">
        <v>1544</v>
      </c>
      <c r="E1084" s="974" t="s">
        <v>1495</v>
      </c>
    </row>
    <row r="1085" spans="1:5" x14ac:dyDescent="0.25">
      <c r="A1085" s="974">
        <v>1084</v>
      </c>
      <c r="B1085" s="974" t="s">
        <v>1516</v>
      </c>
      <c r="C1085" s="1046" t="s">
        <v>2111</v>
      </c>
      <c r="D1085" s="1046" t="s">
        <v>1410</v>
      </c>
      <c r="E1085" s="974" t="s">
        <v>1492</v>
      </c>
    </row>
    <row r="1086" spans="1:5" x14ac:dyDescent="0.25">
      <c r="A1086" s="974">
        <v>1085</v>
      </c>
      <c r="B1086" s="974" t="s">
        <v>1516</v>
      </c>
      <c r="C1086" s="1046" t="s">
        <v>2111</v>
      </c>
      <c r="D1086" s="1046" t="s">
        <v>1674</v>
      </c>
      <c r="E1086" s="974" t="s">
        <v>1396</v>
      </c>
    </row>
    <row r="1087" spans="1:5" x14ac:dyDescent="0.25">
      <c r="A1087" s="974">
        <v>1086</v>
      </c>
      <c r="B1087" s="974" t="s">
        <v>1516</v>
      </c>
      <c r="C1087" s="1046" t="s">
        <v>2103</v>
      </c>
      <c r="D1087" s="1046" t="s">
        <v>1675</v>
      </c>
      <c r="E1087" s="974" t="s">
        <v>1491</v>
      </c>
    </row>
    <row r="1088" spans="1:5" x14ac:dyDescent="0.25">
      <c r="A1088" s="974">
        <v>1087</v>
      </c>
      <c r="B1088" s="974" t="s">
        <v>1516</v>
      </c>
      <c r="C1088" s="1046" t="s">
        <v>2103</v>
      </c>
      <c r="D1088" s="1046" t="s">
        <v>1675</v>
      </c>
      <c r="E1088" s="974" t="s">
        <v>1705</v>
      </c>
    </row>
    <row r="1089" spans="1:5" x14ac:dyDescent="0.25">
      <c r="A1089" s="974">
        <v>1088</v>
      </c>
      <c r="B1089" s="974" t="s">
        <v>1516</v>
      </c>
      <c r="C1089" s="1046" t="s">
        <v>2103</v>
      </c>
      <c r="D1089" s="1046" t="s">
        <v>1675</v>
      </c>
      <c r="E1089" s="974" t="s">
        <v>1383</v>
      </c>
    </row>
    <row r="1090" spans="1:5" x14ac:dyDescent="0.25">
      <c r="A1090" s="974">
        <v>1089</v>
      </c>
      <c r="B1090" s="974" t="s">
        <v>1516</v>
      </c>
      <c r="C1090" s="1046" t="s">
        <v>2103</v>
      </c>
      <c r="D1090" s="1046" t="s">
        <v>1674</v>
      </c>
      <c r="E1090" s="974" t="s">
        <v>1380</v>
      </c>
    </row>
    <row r="1091" spans="1:5" x14ac:dyDescent="0.25">
      <c r="A1091" s="974">
        <v>1090</v>
      </c>
      <c r="B1091" s="974" t="s">
        <v>1516</v>
      </c>
      <c r="C1091" s="1046" t="s">
        <v>2103</v>
      </c>
      <c r="D1091" s="1046" t="s">
        <v>1675</v>
      </c>
      <c r="E1091" s="974" t="s">
        <v>1381</v>
      </c>
    </row>
    <row r="1092" spans="1:5" x14ac:dyDescent="0.25">
      <c r="A1092" s="974">
        <v>1091</v>
      </c>
      <c r="B1092" s="974" t="s">
        <v>1516</v>
      </c>
      <c r="C1092" s="1046" t="s">
        <v>2103</v>
      </c>
      <c r="D1092" s="1046" t="s">
        <v>1410</v>
      </c>
      <c r="E1092" s="974" t="s">
        <v>1382</v>
      </c>
    </row>
    <row r="1093" spans="1:5" x14ac:dyDescent="0.25">
      <c r="A1093" s="974">
        <v>1092</v>
      </c>
      <c r="B1093" s="974" t="s">
        <v>1516</v>
      </c>
      <c r="C1093" s="1046" t="s">
        <v>2103</v>
      </c>
      <c r="D1093" s="1046" t="s">
        <v>1675</v>
      </c>
      <c r="E1093" s="974" t="s">
        <v>1487</v>
      </c>
    </row>
    <row r="1094" spans="1:5" x14ac:dyDescent="0.25">
      <c r="A1094" s="974">
        <v>1093</v>
      </c>
      <c r="B1094" s="974" t="s">
        <v>1516</v>
      </c>
      <c r="C1094" s="1046" t="s">
        <v>2103</v>
      </c>
      <c r="D1094" s="1046" t="s">
        <v>1410</v>
      </c>
      <c r="E1094" s="974" t="s">
        <v>1488</v>
      </c>
    </row>
    <row r="1095" spans="1:5" ht="30" x14ac:dyDescent="0.25">
      <c r="A1095" s="974">
        <v>1094</v>
      </c>
      <c r="B1095" s="974" t="s">
        <v>1516</v>
      </c>
      <c r="C1095" s="1046" t="s">
        <v>2103</v>
      </c>
      <c r="D1095" s="1046" t="s">
        <v>1544</v>
      </c>
      <c r="E1095" s="974" t="s">
        <v>1385</v>
      </c>
    </row>
    <row r="1096" spans="1:5" ht="30" x14ac:dyDescent="0.25">
      <c r="A1096" s="974">
        <v>1095</v>
      </c>
      <c r="B1096" s="974" t="s">
        <v>1516</v>
      </c>
      <c r="C1096" s="1046" t="s">
        <v>2103</v>
      </c>
      <c r="D1096" s="1046" t="s">
        <v>1544</v>
      </c>
      <c r="E1096" s="974" t="s">
        <v>1386</v>
      </c>
    </row>
    <row r="1097" spans="1:5" ht="30" x14ac:dyDescent="0.25">
      <c r="A1097" s="974">
        <v>1096</v>
      </c>
      <c r="B1097" s="974" t="s">
        <v>1516</v>
      </c>
      <c r="C1097" s="1046" t="s">
        <v>2103</v>
      </c>
      <c r="D1097" s="1046" t="s">
        <v>1544</v>
      </c>
      <c r="E1097" s="974" t="s">
        <v>1495</v>
      </c>
    </row>
    <row r="1098" spans="1:5" x14ac:dyDescent="0.25">
      <c r="A1098" s="974">
        <v>1097</v>
      </c>
      <c r="B1098" s="974" t="s">
        <v>1516</v>
      </c>
      <c r="C1098" s="1046" t="s">
        <v>2103</v>
      </c>
      <c r="D1098" s="1046" t="s">
        <v>1410</v>
      </c>
      <c r="E1098" s="974" t="s">
        <v>1492</v>
      </c>
    </row>
    <row r="1099" spans="1:5" x14ac:dyDescent="0.25">
      <c r="A1099" s="974">
        <v>1098</v>
      </c>
      <c r="B1099" s="974" t="s">
        <v>1516</v>
      </c>
      <c r="C1099" s="1046" t="s">
        <v>2103</v>
      </c>
      <c r="D1099" s="1046" t="s">
        <v>1675</v>
      </c>
      <c r="E1099" s="974" t="s">
        <v>1389</v>
      </c>
    </row>
    <row r="1100" spans="1:5" x14ac:dyDescent="0.25">
      <c r="A1100" s="974">
        <v>1099</v>
      </c>
      <c r="B1100" s="974" t="s">
        <v>1516</v>
      </c>
      <c r="C1100" s="1046" t="s">
        <v>2103</v>
      </c>
      <c r="D1100" s="1046" t="s">
        <v>1675</v>
      </c>
      <c r="E1100" s="974" t="s">
        <v>1396</v>
      </c>
    </row>
    <row r="1101" spans="1:5" x14ac:dyDescent="0.25">
      <c r="A1101" s="974">
        <v>1100</v>
      </c>
      <c r="B1101" s="974" t="s">
        <v>1516</v>
      </c>
      <c r="C1101" s="1046" t="s">
        <v>2112</v>
      </c>
      <c r="D1101" s="1046" t="s">
        <v>1675</v>
      </c>
      <c r="E1101" s="974" t="s">
        <v>1481</v>
      </c>
    </row>
    <row r="1102" spans="1:5" x14ac:dyDescent="0.25">
      <c r="A1102" s="974">
        <v>1101</v>
      </c>
      <c r="B1102" s="974" t="s">
        <v>1516</v>
      </c>
      <c r="C1102" s="1046" t="s">
        <v>2112</v>
      </c>
      <c r="D1102" s="1046" t="s">
        <v>1675</v>
      </c>
      <c r="E1102" s="974" t="s">
        <v>727</v>
      </c>
    </row>
    <row r="1103" spans="1:5" x14ac:dyDescent="0.25">
      <c r="A1103" s="974">
        <v>1102</v>
      </c>
      <c r="B1103" s="974" t="s">
        <v>1516</v>
      </c>
      <c r="C1103" s="1046" t="s">
        <v>2112</v>
      </c>
      <c r="D1103" s="1046" t="s">
        <v>1675</v>
      </c>
      <c r="E1103" s="974" t="s">
        <v>1482</v>
      </c>
    </row>
    <row r="1104" spans="1:5" x14ac:dyDescent="0.25">
      <c r="A1104" s="974">
        <v>1103</v>
      </c>
      <c r="B1104" s="974" t="s">
        <v>1516</v>
      </c>
      <c r="C1104" s="1046" t="s">
        <v>2113</v>
      </c>
      <c r="D1104" s="1046" t="s">
        <v>1675</v>
      </c>
      <c r="E1104" s="974" t="s">
        <v>1481</v>
      </c>
    </row>
    <row r="1105" spans="1:5" x14ac:dyDescent="0.25">
      <c r="A1105" s="974">
        <v>1104</v>
      </c>
      <c r="B1105" s="974" t="s">
        <v>1516</v>
      </c>
      <c r="C1105" s="1046" t="s">
        <v>2113</v>
      </c>
      <c r="D1105" s="1046" t="s">
        <v>1675</v>
      </c>
      <c r="E1105" s="974" t="s">
        <v>727</v>
      </c>
    </row>
    <row r="1106" spans="1:5" x14ac:dyDescent="0.25">
      <c r="A1106" s="974">
        <v>1105</v>
      </c>
      <c r="B1106" s="974" t="s">
        <v>1516</v>
      </c>
      <c r="C1106" s="1046" t="s">
        <v>2113</v>
      </c>
      <c r="D1106" s="1046" t="s">
        <v>1675</v>
      </c>
      <c r="E1106" s="974" t="s">
        <v>1482</v>
      </c>
    </row>
    <row r="1107" spans="1:5" x14ac:dyDescent="0.25">
      <c r="A1107" s="974">
        <v>1106</v>
      </c>
      <c r="B1107" s="974" t="s">
        <v>1516</v>
      </c>
      <c r="C1107" s="1046" t="s">
        <v>2114</v>
      </c>
      <c r="D1107" s="1046" t="s">
        <v>1675</v>
      </c>
      <c r="E1107" s="974" t="s">
        <v>1481</v>
      </c>
    </row>
    <row r="1108" spans="1:5" x14ac:dyDescent="0.25">
      <c r="A1108" s="974">
        <v>1107</v>
      </c>
      <c r="B1108" s="974" t="s">
        <v>1516</v>
      </c>
      <c r="C1108" s="1046" t="s">
        <v>2114</v>
      </c>
      <c r="D1108" s="1046" t="s">
        <v>1675</v>
      </c>
      <c r="E1108" s="974" t="s">
        <v>727</v>
      </c>
    </row>
    <row r="1109" spans="1:5" x14ac:dyDescent="0.25">
      <c r="A1109" s="974">
        <v>1108</v>
      </c>
      <c r="B1109" s="974" t="s">
        <v>1516</v>
      </c>
      <c r="C1109" s="1046" t="s">
        <v>2114</v>
      </c>
      <c r="D1109" s="1046" t="s">
        <v>1675</v>
      </c>
      <c r="E1109" s="974" t="s">
        <v>1482</v>
      </c>
    </row>
    <row r="1110" spans="1:5" x14ac:dyDescent="0.25">
      <c r="A1110" s="974">
        <v>1109</v>
      </c>
      <c r="B1110" s="974" t="s">
        <v>1516</v>
      </c>
      <c r="C1110" s="1046" t="s">
        <v>2115</v>
      </c>
      <c r="D1110" s="1046" t="s">
        <v>1675</v>
      </c>
      <c r="E1110" s="974" t="s">
        <v>1481</v>
      </c>
    </row>
    <row r="1111" spans="1:5" x14ac:dyDescent="0.25">
      <c r="A1111" s="974">
        <v>1110</v>
      </c>
      <c r="B1111" s="974" t="s">
        <v>1516</v>
      </c>
      <c r="C1111" s="1046" t="s">
        <v>2115</v>
      </c>
      <c r="D1111" s="1046" t="s">
        <v>1675</v>
      </c>
      <c r="E1111" s="974" t="s">
        <v>727</v>
      </c>
    </row>
    <row r="1112" spans="1:5" x14ac:dyDescent="0.25">
      <c r="A1112" s="974">
        <v>1111</v>
      </c>
      <c r="B1112" s="974" t="s">
        <v>1516</v>
      </c>
      <c r="C1112" s="1046" t="s">
        <v>2115</v>
      </c>
      <c r="D1112" s="1046" t="s">
        <v>1675</v>
      </c>
      <c r="E1112" s="974" t="s">
        <v>1482</v>
      </c>
    </row>
    <row r="1113" spans="1:5" x14ac:dyDescent="0.25">
      <c r="A1113" s="974">
        <v>1112</v>
      </c>
      <c r="B1113" s="974" t="s">
        <v>1516</v>
      </c>
      <c r="C1113" s="1046" t="s">
        <v>2116</v>
      </c>
      <c r="D1113" s="1046" t="s">
        <v>1675</v>
      </c>
      <c r="E1113" s="974" t="s">
        <v>1481</v>
      </c>
    </row>
    <row r="1114" spans="1:5" x14ac:dyDescent="0.25">
      <c r="A1114" s="974">
        <v>1113</v>
      </c>
      <c r="B1114" s="974" t="s">
        <v>1516</v>
      </c>
      <c r="C1114" s="1046" t="s">
        <v>2116</v>
      </c>
      <c r="D1114" s="1046" t="s">
        <v>1675</v>
      </c>
      <c r="E1114" s="974" t="s">
        <v>727</v>
      </c>
    </row>
    <row r="1115" spans="1:5" x14ac:dyDescent="0.25">
      <c r="A1115" s="974">
        <v>1114</v>
      </c>
      <c r="B1115" s="974" t="s">
        <v>1516</v>
      </c>
      <c r="C1115" s="1046" t="s">
        <v>2116</v>
      </c>
      <c r="D1115" s="1046" t="s">
        <v>1675</v>
      </c>
      <c r="E1115" s="974" t="s">
        <v>1482</v>
      </c>
    </row>
    <row r="1116" spans="1:5" x14ac:dyDescent="0.25">
      <c r="A1116" s="974">
        <v>1115</v>
      </c>
      <c r="B1116" s="974" t="s">
        <v>1516</v>
      </c>
      <c r="C1116" s="1046" t="s">
        <v>2104</v>
      </c>
      <c r="D1116" s="1046" t="s">
        <v>1675</v>
      </c>
      <c r="E1116" s="974" t="s">
        <v>1491</v>
      </c>
    </row>
    <row r="1117" spans="1:5" x14ac:dyDescent="0.25">
      <c r="A1117" s="974">
        <v>1116</v>
      </c>
      <c r="B1117" s="974" t="s">
        <v>1516</v>
      </c>
      <c r="C1117" s="1046" t="s">
        <v>2104</v>
      </c>
      <c r="D1117" s="1046" t="s">
        <v>1675</v>
      </c>
      <c r="E1117" s="974" t="s">
        <v>1705</v>
      </c>
    </row>
    <row r="1118" spans="1:5" x14ac:dyDescent="0.25">
      <c r="A1118" s="974">
        <v>1117</v>
      </c>
      <c r="B1118" s="974" t="s">
        <v>1516</v>
      </c>
      <c r="C1118" s="1046" t="s">
        <v>2104</v>
      </c>
      <c r="D1118" s="1046" t="s">
        <v>1675</v>
      </c>
      <c r="E1118" s="974" t="s">
        <v>1383</v>
      </c>
    </row>
    <row r="1119" spans="1:5" x14ac:dyDescent="0.25">
      <c r="A1119" s="974">
        <v>1118</v>
      </c>
      <c r="B1119" s="974" t="s">
        <v>1516</v>
      </c>
      <c r="C1119" s="1046" t="s">
        <v>2104</v>
      </c>
      <c r="D1119" s="1046" t="s">
        <v>1674</v>
      </c>
      <c r="E1119" s="974" t="s">
        <v>1380</v>
      </c>
    </row>
    <row r="1120" spans="1:5" x14ac:dyDescent="0.25">
      <c r="A1120" s="974">
        <v>1119</v>
      </c>
      <c r="B1120" s="974" t="s">
        <v>1516</v>
      </c>
      <c r="C1120" s="1046" t="s">
        <v>2104</v>
      </c>
      <c r="D1120" s="1046" t="s">
        <v>1675</v>
      </c>
      <c r="E1120" s="974" t="s">
        <v>1381</v>
      </c>
    </row>
    <row r="1121" spans="1:5" x14ac:dyDescent="0.25">
      <c r="A1121" s="974">
        <v>1120</v>
      </c>
      <c r="B1121" s="974" t="s">
        <v>1516</v>
      </c>
      <c r="C1121" s="1046" t="s">
        <v>2104</v>
      </c>
      <c r="D1121" s="1046" t="s">
        <v>1410</v>
      </c>
      <c r="E1121" s="974" t="s">
        <v>1382</v>
      </c>
    </row>
    <row r="1122" spans="1:5" x14ac:dyDescent="0.25">
      <c r="A1122" s="974">
        <v>1121</v>
      </c>
      <c r="B1122" s="974" t="s">
        <v>1516</v>
      </c>
      <c r="C1122" s="1046" t="s">
        <v>2104</v>
      </c>
      <c r="D1122" s="1046" t="s">
        <v>1675</v>
      </c>
      <c r="E1122" s="974" t="s">
        <v>1487</v>
      </c>
    </row>
    <row r="1123" spans="1:5" x14ac:dyDescent="0.25">
      <c r="A1123" s="974">
        <v>1122</v>
      </c>
      <c r="B1123" s="974" t="s">
        <v>1516</v>
      </c>
      <c r="C1123" s="1046" t="s">
        <v>2104</v>
      </c>
      <c r="D1123" s="1046" t="s">
        <v>1410</v>
      </c>
      <c r="E1123" s="974" t="s">
        <v>1488</v>
      </c>
    </row>
    <row r="1124" spans="1:5" ht="30" x14ac:dyDescent="0.25">
      <c r="A1124" s="974">
        <v>1123</v>
      </c>
      <c r="B1124" s="974" t="s">
        <v>1516</v>
      </c>
      <c r="C1124" s="1046" t="s">
        <v>2104</v>
      </c>
      <c r="D1124" s="1046" t="s">
        <v>1544</v>
      </c>
      <c r="E1124" s="974" t="s">
        <v>1385</v>
      </c>
    </row>
    <row r="1125" spans="1:5" ht="30" x14ac:dyDescent="0.25">
      <c r="A1125" s="974">
        <v>1124</v>
      </c>
      <c r="B1125" s="974" t="s">
        <v>1516</v>
      </c>
      <c r="C1125" s="1046" t="s">
        <v>2104</v>
      </c>
      <c r="D1125" s="1046" t="s">
        <v>1544</v>
      </c>
      <c r="E1125" s="974" t="s">
        <v>1386</v>
      </c>
    </row>
    <row r="1126" spans="1:5" ht="30" x14ac:dyDescent="0.25">
      <c r="A1126" s="974">
        <v>1125</v>
      </c>
      <c r="B1126" s="974" t="s">
        <v>1516</v>
      </c>
      <c r="C1126" s="1046" t="s">
        <v>2104</v>
      </c>
      <c r="D1126" s="1046" t="s">
        <v>1544</v>
      </c>
      <c r="E1126" s="974" t="s">
        <v>1495</v>
      </c>
    </row>
    <row r="1127" spans="1:5" x14ac:dyDescent="0.25">
      <c r="A1127" s="974">
        <v>1126</v>
      </c>
      <c r="B1127" s="974" t="s">
        <v>1516</v>
      </c>
      <c r="C1127" s="1046" t="s">
        <v>2104</v>
      </c>
      <c r="D1127" s="1046" t="s">
        <v>1410</v>
      </c>
      <c r="E1127" s="974" t="s">
        <v>1492</v>
      </c>
    </row>
    <row r="1128" spans="1:5" x14ac:dyDescent="0.25">
      <c r="A1128" s="974">
        <v>1127</v>
      </c>
      <c r="B1128" s="974" t="s">
        <v>1516</v>
      </c>
      <c r="C1128" s="1046" t="s">
        <v>2104</v>
      </c>
      <c r="D1128" s="1046" t="s">
        <v>1675</v>
      </c>
      <c r="E1128" s="974" t="s">
        <v>1389</v>
      </c>
    </row>
    <row r="1129" spans="1:5" x14ac:dyDescent="0.25">
      <c r="A1129" s="974">
        <v>1128</v>
      </c>
      <c r="B1129" s="974" t="s">
        <v>1516</v>
      </c>
      <c r="C1129" s="1046" t="s">
        <v>2104</v>
      </c>
      <c r="D1129" s="1046" t="s">
        <v>1675</v>
      </c>
      <c r="E1129" s="974" t="s">
        <v>1396</v>
      </c>
    </row>
    <row r="1130" spans="1:5" x14ac:dyDescent="0.25">
      <c r="A1130" s="974">
        <v>1129</v>
      </c>
      <c r="B1130" s="974" t="s">
        <v>1516</v>
      </c>
      <c r="C1130" s="1046" t="s">
        <v>2117</v>
      </c>
      <c r="D1130" s="1046" t="s">
        <v>1675</v>
      </c>
      <c r="E1130" s="974" t="s">
        <v>1481</v>
      </c>
    </row>
    <row r="1131" spans="1:5" x14ac:dyDescent="0.25">
      <c r="A1131" s="974">
        <v>1130</v>
      </c>
      <c r="B1131" s="974" t="s">
        <v>1516</v>
      </c>
      <c r="C1131" s="1046" t="s">
        <v>2117</v>
      </c>
      <c r="D1131" s="1046" t="s">
        <v>1675</v>
      </c>
      <c r="E1131" s="974" t="s">
        <v>727</v>
      </c>
    </row>
    <row r="1132" spans="1:5" x14ac:dyDescent="0.25">
      <c r="A1132" s="974">
        <v>1131</v>
      </c>
      <c r="B1132" s="974" t="s">
        <v>1516</v>
      </c>
      <c r="C1132" s="1046" t="s">
        <v>2117</v>
      </c>
      <c r="D1132" s="1046" t="s">
        <v>1675</v>
      </c>
      <c r="E1132" s="974" t="s">
        <v>1482</v>
      </c>
    </row>
    <row r="1133" spans="1:5" x14ac:dyDescent="0.25">
      <c r="A1133" s="974">
        <v>1132</v>
      </c>
      <c r="B1133" s="974" t="s">
        <v>1516</v>
      </c>
      <c r="C1133" s="1046" t="s">
        <v>2118</v>
      </c>
      <c r="D1133" s="1046" t="s">
        <v>1675</v>
      </c>
      <c r="E1133" s="974" t="s">
        <v>1481</v>
      </c>
    </row>
    <row r="1134" spans="1:5" x14ac:dyDescent="0.25">
      <c r="A1134" s="974">
        <v>1133</v>
      </c>
      <c r="B1134" s="974" t="s">
        <v>1516</v>
      </c>
      <c r="C1134" s="1046" t="s">
        <v>2118</v>
      </c>
      <c r="D1134" s="1046" t="s">
        <v>1675</v>
      </c>
      <c r="E1134" s="974" t="s">
        <v>727</v>
      </c>
    </row>
    <row r="1135" spans="1:5" x14ac:dyDescent="0.25">
      <c r="A1135" s="974">
        <v>1134</v>
      </c>
      <c r="B1135" s="974" t="s">
        <v>1516</v>
      </c>
      <c r="C1135" s="1046" t="s">
        <v>2118</v>
      </c>
      <c r="D1135" s="1046" t="s">
        <v>1675</v>
      </c>
      <c r="E1135" s="974" t="s">
        <v>1482</v>
      </c>
    </row>
    <row r="1136" spans="1:5" x14ac:dyDescent="0.25">
      <c r="A1136" s="974">
        <v>1135</v>
      </c>
      <c r="B1136" s="974" t="s">
        <v>1516</v>
      </c>
      <c r="C1136" s="1046" t="s">
        <v>2119</v>
      </c>
      <c r="D1136" s="1046" t="s">
        <v>1675</v>
      </c>
      <c r="E1136" s="974" t="s">
        <v>1481</v>
      </c>
    </row>
    <row r="1137" spans="1:5" x14ac:dyDescent="0.25">
      <c r="A1137" s="974">
        <v>1136</v>
      </c>
      <c r="B1137" s="974" t="s">
        <v>1516</v>
      </c>
      <c r="C1137" s="1046" t="s">
        <v>2119</v>
      </c>
      <c r="D1137" s="1046" t="s">
        <v>1675</v>
      </c>
      <c r="E1137" s="974" t="s">
        <v>727</v>
      </c>
    </row>
    <row r="1138" spans="1:5" x14ac:dyDescent="0.25">
      <c r="A1138" s="974">
        <v>1137</v>
      </c>
      <c r="B1138" s="974" t="s">
        <v>1516</v>
      </c>
      <c r="C1138" s="1046" t="s">
        <v>2119</v>
      </c>
      <c r="D1138" s="1046" t="s">
        <v>1675</v>
      </c>
      <c r="E1138" s="974" t="s">
        <v>1482</v>
      </c>
    </row>
    <row r="1139" spans="1:5" x14ac:dyDescent="0.25">
      <c r="A1139" s="974">
        <v>1138</v>
      </c>
      <c r="B1139" s="974" t="s">
        <v>1516</v>
      </c>
      <c r="C1139" s="1046" t="s">
        <v>2120</v>
      </c>
      <c r="D1139" s="1046" t="s">
        <v>1675</v>
      </c>
      <c r="E1139" s="974" t="s">
        <v>1481</v>
      </c>
    </row>
    <row r="1140" spans="1:5" x14ac:dyDescent="0.25">
      <c r="A1140" s="974">
        <v>1139</v>
      </c>
      <c r="B1140" s="974" t="s">
        <v>1516</v>
      </c>
      <c r="C1140" s="1046" t="s">
        <v>2120</v>
      </c>
      <c r="D1140" s="1046" t="s">
        <v>1675</v>
      </c>
      <c r="E1140" s="974" t="s">
        <v>727</v>
      </c>
    </row>
    <row r="1141" spans="1:5" x14ac:dyDescent="0.25">
      <c r="A1141" s="974">
        <v>1140</v>
      </c>
      <c r="B1141" s="974" t="s">
        <v>1516</v>
      </c>
      <c r="C1141" s="1046" t="s">
        <v>2120</v>
      </c>
      <c r="D1141" s="1046" t="s">
        <v>1675</v>
      </c>
      <c r="E1141" s="974" t="s">
        <v>1482</v>
      </c>
    </row>
    <row r="1142" spans="1:5" x14ac:dyDescent="0.25">
      <c r="A1142" s="974">
        <v>1141</v>
      </c>
      <c r="B1142" s="974" t="s">
        <v>1516</v>
      </c>
      <c r="C1142" s="1046" t="s">
        <v>2121</v>
      </c>
      <c r="D1142" s="1046" t="s">
        <v>1675</v>
      </c>
      <c r="E1142" s="974" t="s">
        <v>1481</v>
      </c>
    </row>
    <row r="1143" spans="1:5" x14ac:dyDescent="0.25">
      <c r="A1143" s="974">
        <v>1142</v>
      </c>
      <c r="B1143" s="974" t="s">
        <v>1516</v>
      </c>
      <c r="C1143" s="1046" t="s">
        <v>2121</v>
      </c>
      <c r="D1143" s="1046" t="s">
        <v>1675</v>
      </c>
      <c r="E1143" s="974" t="s">
        <v>727</v>
      </c>
    </row>
    <row r="1144" spans="1:5" x14ac:dyDescent="0.25">
      <c r="A1144" s="974">
        <v>1143</v>
      </c>
      <c r="B1144" s="974" t="s">
        <v>1516</v>
      </c>
      <c r="C1144" s="1046" t="s">
        <v>2121</v>
      </c>
      <c r="D1144" s="1046" t="s">
        <v>1675</v>
      </c>
      <c r="E1144" s="974" t="s">
        <v>1482</v>
      </c>
    </row>
    <row r="1145" spans="1:5" x14ac:dyDescent="0.25">
      <c r="A1145" s="974">
        <v>1144</v>
      </c>
      <c r="B1145" s="974" t="s">
        <v>1516</v>
      </c>
      <c r="C1145" s="1046" t="s">
        <v>2122</v>
      </c>
      <c r="D1145" s="1046" t="s">
        <v>1676</v>
      </c>
      <c r="E1145" s="974" t="s">
        <v>1491</v>
      </c>
    </row>
    <row r="1146" spans="1:5" x14ac:dyDescent="0.25">
      <c r="A1146" s="974">
        <v>1145</v>
      </c>
      <c r="B1146" s="974" t="s">
        <v>1516</v>
      </c>
      <c r="C1146" s="1046" t="s">
        <v>2122</v>
      </c>
      <c r="D1146" s="1046" t="s">
        <v>1676</v>
      </c>
      <c r="E1146" s="974" t="s">
        <v>1705</v>
      </c>
    </row>
    <row r="1147" spans="1:5" x14ac:dyDescent="0.25">
      <c r="A1147" s="974">
        <v>1146</v>
      </c>
      <c r="B1147" s="974" t="s">
        <v>1516</v>
      </c>
      <c r="C1147" s="1046" t="s">
        <v>2122</v>
      </c>
      <c r="D1147" s="1046" t="s">
        <v>1676</v>
      </c>
      <c r="E1147" s="974" t="s">
        <v>1383</v>
      </c>
    </row>
    <row r="1148" spans="1:5" x14ac:dyDescent="0.25">
      <c r="A1148" s="974">
        <v>1147</v>
      </c>
      <c r="B1148" s="974" t="s">
        <v>1516</v>
      </c>
      <c r="C1148" s="1046" t="s">
        <v>2122</v>
      </c>
      <c r="D1148" s="1046" t="s">
        <v>1676</v>
      </c>
      <c r="E1148" s="974" t="s">
        <v>1381</v>
      </c>
    </row>
    <row r="1149" spans="1:5" x14ac:dyDescent="0.25">
      <c r="A1149" s="974">
        <v>1148</v>
      </c>
      <c r="B1149" s="974" t="s">
        <v>1516</v>
      </c>
      <c r="C1149" s="1046" t="s">
        <v>2122</v>
      </c>
      <c r="D1149" s="1046" t="s">
        <v>1410</v>
      </c>
      <c r="E1149" s="974" t="s">
        <v>1382</v>
      </c>
    </row>
    <row r="1150" spans="1:5" ht="30" x14ac:dyDescent="0.25">
      <c r="A1150" s="974">
        <v>1149</v>
      </c>
      <c r="B1150" s="974" t="s">
        <v>1516</v>
      </c>
      <c r="C1150" s="1046" t="s">
        <v>2122</v>
      </c>
      <c r="D1150" s="1046" t="s">
        <v>1544</v>
      </c>
      <c r="E1150" s="974" t="s">
        <v>1385</v>
      </c>
    </row>
    <row r="1151" spans="1:5" ht="30" x14ac:dyDescent="0.25">
      <c r="A1151" s="974">
        <v>1150</v>
      </c>
      <c r="B1151" s="974" t="s">
        <v>1516</v>
      </c>
      <c r="C1151" s="1046" t="s">
        <v>2122</v>
      </c>
      <c r="D1151" s="1046" t="s">
        <v>1544</v>
      </c>
      <c r="E1151" s="974" t="s">
        <v>1386</v>
      </c>
    </row>
    <row r="1152" spans="1:5" ht="30" x14ac:dyDescent="0.25">
      <c r="A1152" s="974">
        <v>1151</v>
      </c>
      <c r="B1152" s="974" t="s">
        <v>1516</v>
      </c>
      <c r="C1152" s="1046" t="s">
        <v>2122</v>
      </c>
      <c r="D1152" s="1046" t="s">
        <v>1544</v>
      </c>
      <c r="E1152" s="974" t="s">
        <v>1495</v>
      </c>
    </row>
    <row r="1153" spans="1:5" x14ac:dyDescent="0.25">
      <c r="A1153" s="974">
        <v>1152</v>
      </c>
      <c r="B1153" s="974" t="s">
        <v>1516</v>
      </c>
      <c r="C1153" s="1046" t="s">
        <v>2122</v>
      </c>
      <c r="D1153" s="1046" t="s">
        <v>1410</v>
      </c>
      <c r="E1153" s="974" t="s">
        <v>1492</v>
      </c>
    </row>
    <row r="1154" spans="1:5" x14ac:dyDescent="0.25">
      <c r="A1154" s="974">
        <v>1153</v>
      </c>
      <c r="B1154" s="974" t="s">
        <v>1516</v>
      </c>
      <c r="C1154" s="1046" t="s">
        <v>2122</v>
      </c>
      <c r="D1154" s="1046" t="s">
        <v>1676</v>
      </c>
      <c r="E1154" s="974" t="s">
        <v>1396</v>
      </c>
    </row>
    <row r="1155" spans="1:5" x14ac:dyDescent="0.25">
      <c r="A1155" s="974">
        <v>1154</v>
      </c>
      <c r="B1155" s="974" t="s">
        <v>1516</v>
      </c>
      <c r="C1155" s="1046" t="s">
        <v>2123</v>
      </c>
      <c r="D1155" s="1046" t="s">
        <v>1676</v>
      </c>
      <c r="E1155" s="974" t="s">
        <v>1481</v>
      </c>
    </row>
    <row r="1156" spans="1:5" x14ac:dyDescent="0.25">
      <c r="A1156" s="974">
        <v>1155</v>
      </c>
      <c r="B1156" s="974" t="s">
        <v>1516</v>
      </c>
      <c r="C1156" s="1046" t="s">
        <v>2123</v>
      </c>
      <c r="D1156" s="1046" t="s">
        <v>1676</v>
      </c>
      <c r="E1156" s="974" t="s">
        <v>727</v>
      </c>
    </row>
    <row r="1157" spans="1:5" x14ac:dyDescent="0.25">
      <c r="A1157" s="974">
        <v>1156</v>
      </c>
      <c r="B1157" s="974" t="s">
        <v>1516</v>
      </c>
      <c r="C1157" s="1046" t="s">
        <v>2123</v>
      </c>
      <c r="D1157" s="1046" t="s">
        <v>1676</v>
      </c>
      <c r="E1157" s="974" t="s">
        <v>1677</v>
      </c>
    </row>
    <row r="1158" spans="1:5" x14ac:dyDescent="0.25">
      <c r="A1158" s="974">
        <v>1157</v>
      </c>
      <c r="B1158" s="974" t="s">
        <v>1516</v>
      </c>
      <c r="C1158" s="1046" t="s">
        <v>2124</v>
      </c>
      <c r="D1158" s="1046" t="s">
        <v>1676</v>
      </c>
      <c r="E1158" s="974" t="s">
        <v>1481</v>
      </c>
    </row>
    <row r="1159" spans="1:5" x14ac:dyDescent="0.25">
      <c r="A1159" s="974">
        <v>1158</v>
      </c>
      <c r="B1159" s="974" t="s">
        <v>1516</v>
      </c>
      <c r="C1159" s="1046" t="s">
        <v>2124</v>
      </c>
      <c r="D1159" s="1046" t="s">
        <v>1676</v>
      </c>
      <c r="E1159" s="974" t="s">
        <v>727</v>
      </c>
    </row>
    <row r="1160" spans="1:5" x14ac:dyDescent="0.25">
      <c r="A1160" s="974">
        <v>1159</v>
      </c>
      <c r="B1160" s="974" t="s">
        <v>1516</v>
      </c>
      <c r="C1160" s="1046" t="s">
        <v>2124</v>
      </c>
      <c r="D1160" s="1046" t="s">
        <v>1676</v>
      </c>
      <c r="E1160" s="974" t="s">
        <v>1677</v>
      </c>
    </row>
    <row r="1161" spans="1:5" x14ac:dyDescent="0.25">
      <c r="A1161" s="974">
        <v>1160</v>
      </c>
      <c r="B1161" s="974" t="s">
        <v>1516</v>
      </c>
      <c r="C1161" s="1046" t="s">
        <v>2125</v>
      </c>
      <c r="D1161" s="1046" t="s">
        <v>1676</v>
      </c>
      <c r="E1161" s="974" t="s">
        <v>1481</v>
      </c>
    </row>
    <row r="1162" spans="1:5" x14ac:dyDescent="0.25">
      <c r="A1162" s="974">
        <v>1161</v>
      </c>
      <c r="B1162" s="974" t="s">
        <v>1516</v>
      </c>
      <c r="C1162" s="1046" t="s">
        <v>2125</v>
      </c>
      <c r="D1162" s="1046" t="s">
        <v>1676</v>
      </c>
      <c r="E1162" s="974" t="s">
        <v>727</v>
      </c>
    </row>
    <row r="1163" spans="1:5" x14ac:dyDescent="0.25">
      <c r="A1163" s="974">
        <v>1162</v>
      </c>
      <c r="B1163" s="974" t="s">
        <v>1516</v>
      </c>
      <c r="C1163" s="1046" t="s">
        <v>2125</v>
      </c>
      <c r="D1163" s="1046" t="s">
        <v>1676</v>
      </c>
      <c r="E1163" s="974" t="s">
        <v>1677</v>
      </c>
    </row>
    <row r="1164" spans="1:5" x14ac:dyDescent="0.25">
      <c r="A1164" s="974">
        <v>1163</v>
      </c>
      <c r="B1164" s="974" t="s">
        <v>1516</v>
      </c>
      <c r="C1164" s="1046" t="s">
        <v>2126</v>
      </c>
      <c r="D1164" s="1046" t="s">
        <v>1676</v>
      </c>
      <c r="E1164" s="974" t="s">
        <v>1481</v>
      </c>
    </row>
    <row r="1165" spans="1:5" x14ac:dyDescent="0.25">
      <c r="A1165" s="974">
        <v>1164</v>
      </c>
      <c r="B1165" s="974" t="s">
        <v>1516</v>
      </c>
      <c r="C1165" s="1046" t="s">
        <v>2126</v>
      </c>
      <c r="D1165" s="1046" t="s">
        <v>1676</v>
      </c>
      <c r="E1165" s="974" t="s">
        <v>727</v>
      </c>
    </row>
    <row r="1166" spans="1:5" x14ac:dyDescent="0.25">
      <c r="A1166" s="974">
        <v>1165</v>
      </c>
      <c r="B1166" s="974" t="s">
        <v>1516</v>
      </c>
      <c r="C1166" s="1046" t="s">
        <v>2126</v>
      </c>
      <c r="D1166" s="1046" t="s">
        <v>1676</v>
      </c>
      <c r="E1166" s="974" t="s">
        <v>1677</v>
      </c>
    </row>
    <row r="1167" spans="1:5" x14ac:dyDescent="0.25">
      <c r="A1167" s="974">
        <v>1166</v>
      </c>
      <c r="B1167" s="974" t="s">
        <v>1516</v>
      </c>
      <c r="C1167" s="1046" t="s">
        <v>2127</v>
      </c>
      <c r="D1167" s="1046" t="s">
        <v>1676</v>
      </c>
      <c r="E1167" s="974" t="s">
        <v>1481</v>
      </c>
    </row>
    <row r="1168" spans="1:5" x14ac:dyDescent="0.25">
      <c r="A1168" s="974">
        <v>1167</v>
      </c>
      <c r="B1168" s="974" t="s">
        <v>1516</v>
      </c>
      <c r="C1168" s="1046" t="s">
        <v>2127</v>
      </c>
      <c r="D1168" s="1046" t="s">
        <v>1676</v>
      </c>
      <c r="E1168" s="974" t="s">
        <v>727</v>
      </c>
    </row>
    <row r="1169" spans="1:5" x14ac:dyDescent="0.25">
      <c r="A1169" s="974">
        <v>1168</v>
      </c>
      <c r="B1169" s="974" t="s">
        <v>1516</v>
      </c>
      <c r="C1169" s="1046" t="s">
        <v>2127</v>
      </c>
      <c r="D1169" s="1046" t="s">
        <v>1676</v>
      </c>
      <c r="E1169" s="974" t="s">
        <v>1677</v>
      </c>
    </row>
    <row r="1170" spans="1:5" x14ac:dyDescent="0.25">
      <c r="A1170" s="974">
        <v>1169</v>
      </c>
      <c r="B1170" s="974" t="s">
        <v>1516</v>
      </c>
      <c r="C1170" s="1046" t="s">
        <v>2128</v>
      </c>
      <c r="D1170" s="1046" t="s">
        <v>1676</v>
      </c>
      <c r="E1170" s="974" t="s">
        <v>1491</v>
      </c>
    </row>
    <row r="1171" spans="1:5" x14ac:dyDescent="0.25">
      <c r="A1171" s="974">
        <v>1170</v>
      </c>
      <c r="B1171" s="974" t="s">
        <v>1516</v>
      </c>
      <c r="C1171" s="1046" t="s">
        <v>2128</v>
      </c>
      <c r="D1171" s="1046" t="s">
        <v>1676</v>
      </c>
      <c r="E1171" s="974" t="s">
        <v>1705</v>
      </c>
    </row>
    <row r="1172" spans="1:5" x14ac:dyDescent="0.25">
      <c r="A1172" s="974">
        <v>1171</v>
      </c>
      <c r="B1172" s="974" t="s">
        <v>1516</v>
      </c>
      <c r="C1172" s="1046" t="s">
        <v>2128</v>
      </c>
      <c r="D1172" s="1046" t="s">
        <v>1676</v>
      </c>
      <c r="E1172" s="974" t="s">
        <v>1383</v>
      </c>
    </row>
    <row r="1173" spans="1:5" x14ac:dyDescent="0.25">
      <c r="A1173" s="974">
        <v>1172</v>
      </c>
      <c r="B1173" s="974" t="s">
        <v>1516</v>
      </c>
      <c r="C1173" s="1046" t="s">
        <v>2128</v>
      </c>
      <c r="D1173" s="1046" t="s">
        <v>1676</v>
      </c>
      <c r="E1173" s="974" t="s">
        <v>1381</v>
      </c>
    </row>
    <row r="1174" spans="1:5" x14ac:dyDescent="0.25">
      <c r="A1174" s="974">
        <v>1173</v>
      </c>
      <c r="B1174" s="974" t="s">
        <v>1516</v>
      </c>
      <c r="C1174" s="1046" t="s">
        <v>2128</v>
      </c>
      <c r="D1174" s="1046" t="s">
        <v>1410</v>
      </c>
      <c r="E1174" s="974" t="s">
        <v>1382</v>
      </c>
    </row>
    <row r="1175" spans="1:5" ht="30" x14ac:dyDescent="0.25">
      <c r="A1175" s="974">
        <v>1174</v>
      </c>
      <c r="B1175" s="974" t="s">
        <v>1516</v>
      </c>
      <c r="C1175" s="1046" t="s">
        <v>2128</v>
      </c>
      <c r="D1175" s="1046" t="s">
        <v>1544</v>
      </c>
      <c r="E1175" s="974" t="s">
        <v>1385</v>
      </c>
    </row>
    <row r="1176" spans="1:5" ht="30" x14ac:dyDescent="0.25">
      <c r="A1176" s="974">
        <v>1175</v>
      </c>
      <c r="B1176" s="974" t="s">
        <v>1516</v>
      </c>
      <c r="C1176" s="1046" t="s">
        <v>2128</v>
      </c>
      <c r="D1176" s="1046" t="s">
        <v>1544</v>
      </c>
      <c r="E1176" s="974" t="s">
        <v>1386</v>
      </c>
    </row>
    <row r="1177" spans="1:5" ht="30" x14ac:dyDescent="0.25">
      <c r="A1177" s="974">
        <v>1176</v>
      </c>
      <c r="B1177" s="974" t="s">
        <v>1516</v>
      </c>
      <c r="C1177" s="1046" t="s">
        <v>2128</v>
      </c>
      <c r="D1177" s="1046" t="s">
        <v>1544</v>
      </c>
      <c r="E1177" s="974" t="s">
        <v>1495</v>
      </c>
    </row>
    <row r="1178" spans="1:5" x14ac:dyDescent="0.25">
      <c r="A1178" s="974">
        <v>1177</v>
      </c>
      <c r="B1178" s="974" t="s">
        <v>1516</v>
      </c>
      <c r="C1178" s="1046" t="s">
        <v>2128</v>
      </c>
      <c r="D1178" s="1046" t="s">
        <v>1410</v>
      </c>
      <c r="E1178" s="974" t="s">
        <v>1492</v>
      </c>
    </row>
    <row r="1179" spans="1:5" x14ac:dyDescent="0.25">
      <c r="A1179" s="974">
        <v>1178</v>
      </c>
      <c r="B1179" s="974" t="s">
        <v>1516</v>
      </c>
      <c r="C1179" s="1046" t="s">
        <v>2128</v>
      </c>
      <c r="D1179" s="1046" t="s">
        <v>1676</v>
      </c>
      <c r="E1179" s="974" t="s">
        <v>1396</v>
      </c>
    </row>
    <row r="1180" spans="1:5" x14ac:dyDescent="0.25">
      <c r="A1180" s="974">
        <v>1179</v>
      </c>
      <c r="B1180" s="974" t="s">
        <v>1516</v>
      </c>
      <c r="C1180" s="1046" t="s">
        <v>2129</v>
      </c>
      <c r="D1180" s="1046" t="s">
        <v>1676</v>
      </c>
      <c r="E1180" s="974" t="s">
        <v>1481</v>
      </c>
    </row>
    <row r="1181" spans="1:5" x14ac:dyDescent="0.25">
      <c r="A1181" s="974">
        <v>1180</v>
      </c>
      <c r="B1181" s="974" t="s">
        <v>1516</v>
      </c>
      <c r="C1181" s="1046" t="s">
        <v>2129</v>
      </c>
      <c r="D1181" s="1046" t="s">
        <v>1676</v>
      </c>
      <c r="E1181" s="974" t="s">
        <v>727</v>
      </c>
    </row>
    <row r="1182" spans="1:5" x14ac:dyDescent="0.25">
      <c r="A1182" s="974">
        <v>1181</v>
      </c>
      <c r="B1182" s="974" t="s">
        <v>1516</v>
      </c>
      <c r="C1182" s="1046" t="s">
        <v>2129</v>
      </c>
      <c r="D1182" s="1046" t="s">
        <v>1676</v>
      </c>
      <c r="E1182" s="974" t="s">
        <v>1677</v>
      </c>
    </row>
    <row r="1183" spans="1:5" x14ac:dyDescent="0.25">
      <c r="A1183" s="974">
        <v>1182</v>
      </c>
      <c r="B1183" s="974" t="s">
        <v>1516</v>
      </c>
      <c r="C1183" s="1046" t="s">
        <v>2130</v>
      </c>
      <c r="D1183" s="1046" t="s">
        <v>1676</v>
      </c>
      <c r="E1183" s="974" t="s">
        <v>1481</v>
      </c>
    </row>
    <row r="1184" spans="1:5" x14ac:dyDescent="0.25">
      <c r="A1184" s="974">
        <v>1183</v>
      </c>
      <c r="B1184" s="974" t="s">
        <v>1516</v>
      </c>
      <c r="C1184" s="1046" t="s">
        <v>2130</v>
      </c>
      <c r="D1184" s="1046" t="s">
        <v>1676</v>
      </c>
      <c r="E1184" s="974" t="s">
        <v>727</v>
      </c>
    </row>
    <row r="1185" spans="1:5" x14ac:dyDescent="0.25">
      <c r="A1185" s="974">
        <v>1184</v>
      </c>
      <c r="B1185" s="974" t="s">
        <v>1516</v>
      </c>
      <c r="C1185" s="1046" t="s">
        <v>2130</v>
      </c>
      <c r="D1185" s="1046" t="s">
        <v>1676</v>
      </c>
      <c r="E1185" s="974" t="s">
        <v>1677</v>
      </c>
    </row>
    <row r="1186" spans="1:5" x14ac:dyDescent="0.25">
      <c r="A1186" s="974">
        <v>1185</v>
      </c>
      <c r="B1186" s="974" t="s">
        <v>1516</v>
      </c>
      <c r="C1186" s="1046" t="s">
        <v>2131</v>
      </c>
      <c r="D1186" s="1046" t="s">
        <v>1676</v>
      </c>
      <c r="E1186" s="974" t="s">
        <v>1481</v>
      </c>
    </row>
    <row r="1187" spans="1:5" x14ac:dyDescent="0.25">
      <c r="A1187" s="974">
        <v>1186</v>
      </c>
      <c r="B1187" s="974" t="s">
        <v>1516</v>
      </c>
      <c r="C1187" s="1046" t="s">
        <v>2131</v>
      </c>
      <c r="D1187" s="1046" t="s">
        <v>1676</v>
      </c>
      <c r="E1187" s="974" t="s">
        <v>727</v>
      </c>
    </row>
    <row r="1188" spans="1:5" x14ac:dyDescent="0.25">
      <c r="A1188" s="974">
        <v>1187</v>
      </c>
      <c r="B1188" s="974" t="s">
        <v>1516</v>
      </c>
      <c r="C1188" s="1046" t="s">
        <v>2131</v>
      </c>
      <c r="D1188" s="1046" t="s">
        <v>1676</v>
      </c>
      <c r="E1188" s="974" t="s">
        <v>1677</v>
      </c>
    </row>
    <row r="1189" spans="1:5" x14ac:dyDescent="0.25">
      <c r="A1189" s="974">
        <v>1188</v>
      </c>
      <c r="B1189" s="974" t="s">
        <v>1516</v>
      </c>
      <c r="C1189" s="1046" t="s">
        <v>2132</v>
      </c>
      <c r="D1189" s="1046" t="s">
        <v>1676</v>
      </c>
      <c r="E1189" s="974" t="s">
        <v>1481</v>
      </c>
    </row>
    <row r="1190" spans="1:5" x14ac:dyDescent="0.25">
      <c r="A1190" s="974">
        <v>1189</v>
      </c>
      <c r="B1190" s="974" t="s">
        <v>1516</v>
      </c>
      <c r="C1190" s="1046" t="s">
        <v>2132</v>
      </c>
      <c r="D1190" s="1046" t="s">
        <v>1676</v>
      </c>
      <c r="E1190" s="974" t="s">
        <v>727</v>
      </c>
    </row>
    <row r="1191" spans="1:5" x14ac:dyDescent="0.25">
      <c r="A1191" s="974">
        <v>1190</v>
      </c>
      <c r="B1191" s="974" t="s">
        <v>1516</v>
      </c>
      <c r="C1191" s="1046" t="s">
        <v>2132</v>
      </c>
      <c r="D1191" s="1046" t="s">
        <v>1676</v>
      </c>
      <c r="E1191" s="974" t="s">
        <v>1677</v>
      </c>
    </row>
    <row r="1192" spans="1:5" x14ac:dyDescent="0.25">
      <c r="A1192" s="974">
        <v>1191</v>
      </c>
      <c r="B1192" s="974" t="s">
        <v>1516</v>
      </c>
      <c r="C1192" s="1046" t="s">
        <v>2133</v>
      </c>
      <c r="D1192" s="1046" t="s">
        <v>1676</v>
      </c>
      <c r="E1192" s="974" t="s">
        <v>1481</v>
      </c>
    </row>
    <row r="1193" spans="1:5" x14ac:dyDescent="0.25">
      <c r="A1193" s="974">
        <v>1192</v>
      </c>
      <c r="B1193" s="974" t="s">
        <v>1516</v>
      </c>
      <c r="C1193" s="1046" t="s">
        <v>2133</v>
      </c>
      <c r="D1193" s="1046" t="s">
        <v>1676</v>
      </c>
      <c r="E1193" s="974" t="s">
        <v>727</v>
      </c>
    </row>
    <row r="1194" spans="1:5" x14ac:dyDescent="0.25">
      <c r="A1194" s="974">
        <v>1193</v>
      </c>
      <c r="B1194" s="974" t="s">
        <v>1516</v>
      </c>
      <c r="C1194" s="1046" t="s">
        <v>2133</v>
      </c>
      <c r="D1194" s="1046" t="s">
        <v>1676</v>
      </c>
      <c r="E1194" s="974" t="s">
        <v>1677</v>
      </c>
    </row>
    <row r="1195" spans="1:5" ht="30" x14ac:dyDescent="0.25">
      <c r="A1195" s="974">
        <v>1194</v>
      </c>
      <c r="B1195" s="974" t="s">
        <v>1516</v>
      </c>
      <c r="C1195" s="1046" t="s">
        <v>2134</v>
      </c>
      <c r="D1195" s="1046" t="s">
        <v>1678</v>
      </c>
      <c r="E1195" s="974" t="s">
        <v>1491</v>
      </c>
    </row>
    <row r="1196" spans="1:5" ht="30" x14ac:dyDescent="0.25">
      <c r="A1196" s="974">
        <v>1195</v>
      </c>
      <c r="B1196" s="974" t="s">
        <v>1516</v>
      </c>
      <c r="C1196" s="1046" t="s">
        <v>2134</v>
      </c>
      <c r="D1196" s="1046" t="s">
        <v>1678</v>
      </c>
      <c r="E1196" s="974" t="s">
        <v>1705</v>
      </c>
    </row>
    <row r="1197" spans="1:5" ht="30" x14ac:dyDescent="0.25">
      <c r="A1197" s="974">
        <v>1196</v>
      </c>
      <c r="B1197" s="974" t="s">
        <v>1516</v>
      </c>
      <c r="C1197" s="1046" t="s">
        <v>2134</v>
      </c>
      <c r="D1197" s="1046" t="s">
        <v>1678</v>
      </c>
      <c r="E1197" s="974" t="s">
        <v>1383</v>
      </c>
    </row>
    <row r="1198" spans="1:5" ht="30" x14ac:dyDescent="0.25">
      <c r="A1198" s="974">
        <v>1197</v>
      </c>
      <c r="B1198" s="974" t="s">
        <v>1516</v>
      </c>
      <c r="C1198" s="1046" t="s">
        <v>2134</v>
      </c>
      <c r="D1198" s="1046" t="s">
        <v>1678</v>
      </c>
      <c r="E1198" s="974" t="s">
        <v>1381</v>
      </c>
    </row>
    <row r="1199" spans="1:5" ht="30" x14ac:dyDescent="0.25">
      <c r="A1199" s="974">
        <v>1198</v>
      </c>
      <c r="B1199" s="974" t="s">
        <v>1516</v>
      </c>
      <c r="C1199" s="1046" t="s">
        <v>2134</v>
      </c>
      <c r="D1199" s="1046" t="s">
        <v>1544</v>
      </c>
      <c r="E1199" s="974" t="s">
        <v>1385</v>
      </c>
    </row>
    <row r="1200" spans="1:5" ht="30" x14ac:dyDescent="0.25">
      <c r="A1200" s="974">
        <v>1199</v>
      </c>
      <c r="B1200" s="974" t="s">
        <v>1516</v>
      </c>
      <c r="C1200" s="1046" t="s">
        <v>2134</v>
      </c>
      <c r="D1200" s="1046" t="s">
        <v>1544</v>
      </c>
      <c r="E1200" s="974" t="s">
        <v>1386</v>
      </c>
    </row>
    <row r="1201" spans="1:59" ht="30" x14ac:dyDescent="0.25">
      <c r="A1201" s="974">
        <v>1200</v>
      </c>
      <c r="B1201" s="974" t="s">
        <v>1516</v>
      </c>
      <c r="C1201" s="1046" t="s">
        <v>2134</v>
      </c>
      <c r="D1201" s="1046" t="s">
        <v>1544</v>
      </c>
      <c r="E1201" s="974" t="s">
        <v>1495</v>
      </c>
    </row>
    <row r="1202" spans="1:59" ht="30" x14ac:dyDescent="0.25">
      <c r="A1202" s="974">
        <v>1201</v>
      </c>
      <c r="B1202" s="974" t="s">
        <v>1516</v>
      </c>
      <c r="C1202" s="1046" t="s">
        <v>2134</v>
      </c>
      <c r="D1202" s="1046" t="s">
        <v>1678</v>
      </c>
      <c r="E1202" s="974" t="s">
        <v>1389</v>
      </c>
    </row>
    <row r="1203" spans="1:59" s="1482" customFormat="1" x14ac:dyDescent="0.25">
      <c r="A1203" s="974">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6" t="s">
        <v>2017</v>
      </c>
      <c r="D1209" s="1046" t="s">
        <v>1775</v>
      </c>
      <c r="E1209" s="974" t="s">
        <v>1491</v>
      </c>
    </row>
    <row r="1210" spans="1:59" x14ac:dyDescent="0.25">
      <c r="A1210" s="974">
        <v>1209</v>
      </c>
      <c r="B1210" s="974" t="s">
        <v>1516</v>
      </c>
      <c r="C1210" s="1046" t="s">
        <v>2017</v>
      </c>
      <c r="D1210" s="1046" t="s">
        <v>1410</v>
      </c>
      <c r="E1210" s="974" t="s">
        <v>1705</v>
      </c>
    </row>
    <row r="1211" spans="1:59" x14ac:dyDescent="0.25">
      <c r="A1211" s="974">
        <v>1210</v>
      </c>
      <c r="B1211" s="974" t="s">
        <v>1516</v>
      </c>
      <c r="C1211" s="1046" t="s">
        <v>2017</v>
      </c>
      <c r="D1211" s="1046" t="s">
        <v>1410</v>
      </c>
      <c r="E1211" s="974" t="s">
        <v>1383</v>
      </c>
    </row>
    <row r="1212" spans="1:59" x14ac:dyDescent="0.25">
      <c r="A1212" s="974">
        <v>1211</v>
      </c>
      <c r="B1212" s="974" t="s">
        <v>1516</v>
      </c>
      <c r="C1212" s="1046" t="s">
        <v>2017</v>
      </c>
      <c r="D1212" s="1046" t="s">
        <v>1775</v>
      </c>
      <c r="E1212" s="974" t="s">
        <v>1381</v>
      </c>
    </row>
    <row r="1213" spans="1:59" x14ac:dyDescent="0.25">
      <c r="A1213" s="974">
        <v>1212</v>
      </c>
      <c r="B1213" s="974" t="s">
        <v>1516</v>
      </c>
      <c r="C1213" s="1046" t="s">
        <v>2017</v>
      </c>
      <c r="D1213" s="1046" t="s">
        <v>1410</v>
      </c>
      <c r="E1213" s="974" t="s">
        <v>1382</v>
      </c>
    </row>
    <row r="1214" spans="1:59" ht="30" x14ac:dyDescent="0.25">
      <c r="A1214" s="974">
        <v>1213</v>
      </c>
      <c r="B1214" s="974" t="s">
        <v>1516</v>
      </c>
      <c r="C1214" s="1046" t="s">
        <v>2017</v>
      </c>
      <c r="D1214" s="1046" t="s">
        <v>1544</v>
      </c>
      <c r="E1214" s="974" t="s">
        <v>1385</v>
      </c>
    </row>
    <row r="1215" spans="1:59" ht="30" x14ac:dyDescent="0.25">
      <c r="A1215" s="974">
        <v>1214</v>
      </c>
      <c r="B1215" s="974" t="s">
        <v>1516</v>
      </c>
      <c r="C1215" s="1046" t="s">
        <v>2017</v>
      </c>
      <c r="D1215" s="1046" t="s">
        <v>1544</v>
      </c>
      <c r="E1215" s="974" t="s">
        <v>1386</v>
      </c>
    </row>
    <row r="1216" spans="1:59" x14ac:dyDescent="0.25">
      <c r="A1216" s="974">
        <v>1215</v>
      </c>
      <c r="B1216" s="974" t="s">
        <v>1516</v>
      </c>
      <c r="C1216" s="1046" t="s">
        <v>2017</v>
      </c>
      <c r="D1216" s="1046" t="s">
        <v>1775</v>
      </c>
      <c r="E1216" s="974" t="s">
        <v>1396</v>
      </c>
    </row>
    <row r="1217" spans="1:5" x14ac:dyDescent="0.25">
      <c r="A1217" s="974">
        <v>1216</v>
      </c>
      <c r="B1217" s="974" t="s">
        <v>1516</v>
      </c>
      <c r="C1217" s="1046" t="s">
        <v>2017</v>
      </c>
      <c r="D1217" s="1046" t="s">
        <v>1775</v>
      </c>
      <c r="E1217" s="974" t="s">
        <v>2005</v>
      </c>
    </row>
    <row r="1218" spans="1:5" x14ac:dyDescent="0.25">
      <c r="A1218" s="974">
        <v>1217</v>
      </c>
      <c r="B1218" s="974" t="s">
        <v>1516</v>
      </c>
      <c r="C1218" s="1046" t="s">
        <v>2017</v>
      </c>
      <c r="D1218" s="1046" t="s">
        <v>1775</v>
      </c>
      <c r="E1218" s="974" t="s">
        <v>1482</v>
      </c>
    </row>
    <row r="1219" spans="1:5" x14ac:dyDescent="0.25">
      <c r="A1219" s="974">
        <v>1218</v>
      </c>
      <c r="B1219" s="974" t="s">
        <v>1516</v>
      </c>
      <c r="C1219" s="1046" t="s">
        <v>2017</v>
      </c>
      <c r="D1219" s="1046" t="s">
        <v>1775</v>
      </c>
      <c r="E1219" s="974" t="s">
        <v>1397</v>
      </c>
    </row>
    <row r="1220" spans="1:5" x14ac:dyDescent="0.25">
      <c r="A1220" s="974">
        <v>1219</v>
      </c>
      <c r="B1220" s="974" t="s">
        <v>1516</v>
      </c>
      <c r="C1220" s="1046" t="s">
        <v>2018</v>
      </c>
      <c r="D1220" s="1046" t="s">
        <v>1410</v>
      </c>
      <c r="E1220" s="974" t="s">
        <v>1491</v>
      </c>
    </row>
    <row r="1221" spans="1:5" x14ac:dyDescent="0.25">
      <c r="A1221" s="974">
        <v>1220</v>
      </c>
      <c r="B1221" s="974" t="s">
        <v>1516</v>
      </c>
      <c r="C1221" s="1046" t="s">
        <v>2018</v>
      </c>
      <c r="D1221" s="1046" t="s">
        <v>1410</v>
      </c>
      <c r="E1221" s="974" t="s">
        <v>1705</v>
      </c>
    </row>
    <row r="1222" spans="1:5" x14ac:dyDescent="0.25">
      <c r="A1222" s="974">
        <v>1221</v>
      </c>
      <c r="B1222" s="974" t="s">
        <v>1516</v>
      </c>
      <c r="C1222" s="1046" t="s">
        <v>2018</v>
      </c>
      <c r="D1222" s="1046" t="s">
        <v>1410</v>
      </c>
      <c r="E1222" s="974" t="s">
        <v>1383</v>
      </c>
    </row>
    <row r="1223" spans="1:5" x14ac:dyDescent="0.25">
      <c r="A1223" s="974">
        <v>1222</v>
      </c>
      <c r="B1223" s="974" t="s">
        <v>1516</v>
      </c>
      <c r="C1223" s="1046" t="s">
        <v>2018</v>
      </c>
      <c r="D1223" s="1046" t="s">
        <v>1775</v>
      </c>
      <c r="E1223" s="974" t="s">
        <v>1381</v>
      </c>
    </row>
    <row r="1224" spans="1:5" x14ac:dyDescent="0.25">
      <c r="A1224" s="974">
        <v>1223</v>
      </c>
      <c r="B1224" s="974" t="s">
        <v>1516</v>
      </c>
      <c r="C1224" s="1046" t="s">
        <v>2018</v>
      </c>
      <c r="D1224" s="1046" t="s">
        <v>1410</v>
      </c>
      <c r="E1224" s="974" t="s">
        <v>1382</v>
      </c>
    </row>
    <row r="1225" spans="1:5" ht="30" x14ac:dyDescent="0.25">
      <c r="A1225" s="974">
        <v>1224</v>
      </c>
      <c r="B1225" s="974" t="s">
        <v>1516</v>
      </c>
      <c r="C1225" s="1046" t="s">
        <v>2018</v>
      </c>
      <c r="D1225" s="1046" t="s">
        <v>1544</v>
      </c>
      <c r="E1225" s="974" t="s">
        <v>1385</v>
      </c>
    </row>
    <row r="1226" spans="1:5" ht="30" x14ac:dyDescent="0.25">
      <c r="A1226" s="974">
        <v>1225</v>
      </c>
      <c r="B1226" s="974" t="s">
        <v>1516</v>
      </c>
      <c r="C1226" s="1046" t="s">
        <v>2018</v>
      </c>
      <c r="D1226" s="1046" t="s">
        <v>1544</v>
      </c>
      <c r="E1226" s="974" t="s">
        <v>1386</v>
      </c>
    </row>
    <row r="1227" spans="1:5" x14ac:dyDescent="0.25">
      <c r="A1227" s="974">
        <v>1226</v>
      </c>
      <c r="B1227" s="974" t="s">
        <v>1516</v>
      </c>
      <c r="C1227" s="1046" t="s">
        <v>2018</v>
      </c>
      <c r="D1227" s="1046" t="s">
        <v>1775</v>
      </c>
      <c r="E1227" s="974" t="s">
        <v>1396</v>
      </c>
    </row>
    <row r="1228" spans="1:5" x14ac:dyDescent="0.25">
      <c r="A1228" s="974">
        <v>1227</v>
      </c>
      <c r="B1228" s="974" t="s">
        <v>1516</v>
      </c>
      <c r="C1228" s="1046" t="s">
        <v>2018</v>
      </c>
      <c r="D1228" s="1046" t="s">
        <v>1775</v>
      </c>
      <c r="E1228" s="974" t="s">
        <v>2005</v>
      </c>
    </row>
    <row r="1229" spans="1:5" x14ac:dyDescent="0.25">
      <c r="A1229" s="974">
        <v>1228</v>
      </c>
      <c r="B1229" s="974" t="s">
        <v>1516</v>
      </c>
      <c r="C1229" s="1046" t="s">
        <v>2018</v>
      </c>
      <c r="D1229" s="1046" t="s">
        <v>1775</v>
      </c>
      <c r="E1229" s="974" t="s">
        <v>1482</v>
      </c>
    </row>
    <row r="1230" spans="1:5" x14ac:dyDescent="0.25">
      <c r="A1230" s="974">
        <v>1229</v>
      </c>
      <c r="B1230" s="974" t="s">
        <v>1516</v>
      </c>
      <c r="C1230" s="1046" t="s">
        <v>2018</v>
      </c>
      <c r="D1230" s="1046" t="s">
        <v>1775</v>
      </c>
      <c r="E1230" s="974" t="s">
        <v>1397</v>
      </c>
    </row>
    <row r="1231" spans="1:5" x14ac:dyDescent="0.25">
      <c r="A1231" s="974">
        <v>1230</v>
      </c>
      <c r="B1231" s="974" t="s">
        <v>1516</v>
      </c>
      <c r="C1231" s="1046" t="s">
        <v>2019</v>
      </c>
      <c r="D1231" s="1046" t="s">
        <v>1410</v>
      </c>
      <c r="E1231" s="974" t="s">
        <v>1491</v>
      </c>
    </row>
    <row r="1232" spans="1:5" x14ac:dyDescent="0.25">
      <c r="A1232" s="974">
        <v>1231</v>
      </c>
      <c r="B1232" s="974" t="s">
        <v>1516</v>
      </c>
      <c r="C1232" s="1046" t="s">
        <v>2019</v>
      </c>
      <c r="D1232" s="1046" t="s">
        <v>1410</v>
      </c>
      <c r="E1232" s="974" t="s">
        <v>1705</v>
      </c>
    </row>
    <row r="1233" spans="1:5" x14ac:dyDescent="0.25">
      <c r="A1233" s="974">
        <v>1232</v>
      </c>
      <c r="B1233" s="974" t="s">
        <v>1516</v>
      </c>
      <c r="C1233" s="1046" t="s">
        <v>2019</v>
      </c>
      <c r="D1233" s="1046" t="s">
        <v>1410</v>
      </c>
      <c r="E1233" s="974" t="s">
        <v>1383</v>
      </c>
    </row>
    <row r="1234" spans="1:5" x14ac:dyDescent="0.25">
      <c r="A1234" s="974">
        <v>1233</v>
      </c>
      <c r="B1234" s="974" t="s">
        <v>1516</v>
      </c>
      <c r="C1234" s="1046" t="s">
        <v>2019</v>
      </c>
      <c r="D1234" s="1046" t="s">
        <v>1775</v>
      </c>
      <c r="E1234" s="974" t="s">
        <v>1381</v>
      </c>
    </row>
    <row r="1235" spans="1:5" x14ac:dyDescent="0.25">
      <c r="A1235" s="974">
        <v>1234</v>
      </c>
      <c r="B1235" s="974" t="s">
        <v>1516</v>
      </c>
      <c r="C1235" s="1046" t="s">
        <v>2019</v>
      </c>
      <c r="D1235" s="1046" t="s">
        <v>1410</v>
      </c>
      <c r="E1235" s="974" t="s">
        <v>1382</v>
      </c>
    </row>
    <row r="1236" spans="1:5" ht="30" x14ac:dyDescent="0.25">
      <c r="A1236" s="974">
        <v>1235</v>
      </c>
      <c r="B1236" s="974" t="s">
        <v>1516</v>
      </c>
      <c r="C1236" s="1046" t="s">
        <v>2019</v>
      </c>
      <c r="D1236" s="1046" t="s">
        <v>1544</v>
      </c>
      <c r="E1236" s="974" t="s">
        <v>1385</v>
      </c>
    </row>
    <row r="1237" spans="1:5" ht="30" x14ac:dyDescent="0.25">
      <c r="A1237" s="974">
        <v>1236</v>
      </c>
      <c r="B1237" s="974" t="s">
        <v>1516</v>
      </c>
      <c r="C1237" s="1046" t="s">
        <v>2019</v>
      </c>
      <c r="D1237" s="1046" t="s">
        <v>1544</v>
      </c>
      <c r="E1237" s="974" t="s">
        <v>1386</v>
      </c>
    </row>
    <row r="1238" spans="1:5" x14ac:dyDescent="0.25">
      <c r="A1238" s="974">
        <v>1237</v>
      </c>
      <c r="B1238" s="974" t="s">
        <v>1516</v>
      </c>
      <c r="C1238" s="1046" t="s">
        <v>2019</v>
      </c>
      <c r="D1238" s="1046" t="s">
        <v>1775</v>
      </c>
      <c r="E1238" s="974" t="s">
        <v>1396</v>
      </c>
    </row>
    <row r="1239" spans="1:5" x14ac:dyDescent="0.25">
      <c r="A1239" s="974">
        <v>1238</v>
      </c>
      <c r="B1239" s="974" t="s">
        <v>1516</v>
      </c>
      <c r="C1239" s="1046" t="s">
        <v>2019</v>
      </c>
      <c r="D1239" s="1046" t="s">
        <v>1775</v>
      </c>
      <c r="E1239" s="974" t="s">
        <v>2005</v>
      </c>
    </row>
    <row r="1240" spans="1:5" x14ac:dyDescent="0.25">
      <c r="A1240" s="974">
        <v>1239</v>
      </c>
      <c r="B1240" s="974" t="s">
        <v>1516</v>
      </c>
      <c r="C1240" s="1046" t="s">
        <v>2019</v>
      </c>
      <c r="D1240" s="1046" t="s">
        <v>1775</v>
      </c>
      <c r="E1240" s="974" t="s">
        <v>1482</v>
      </c>
    </row>
    <row r="1241" spans="1:5" x14ac:dyDescent="0.25">
      <c r="A1241" s="974">
        <v>1240</v>
      </c>
      <c r="B1241" s="974" t="s">
        <v>1516</v>
      </c>
      <c r="C1241" s="1046" t="s">
        <v>2019</v>
      </c>
      <c r="D1241" s="1046" t="s">
        <v>1775</v>
      </c>
      <c r="E1241" s="974" t="s">
        <v>1397</v>
      </c>
    </row>
    <row r="1242" spans="1:5" x14ac:dyDescent="0.25">
      <c r="A1242" s="974">
        <v>1241</v>
      </c>
      <c r="B1242" s="974" t="s">
        <v>1516</v>
      </c>
      <c r="C1242" s="1046" t="s">
        <v>2020</v>
      </c>
      <c r="D1242" s="1046" t="s">
        <v>1410</v>
      </c>
      <c r="E1242" s="974" t="s">
        <v>1491</v>
      </c>
    </row>
    <row r="1243" spans="1:5" x14ac:dyDescent="0.25">
      <c r="A1243" s="974">
        <v>1242</v>
      </c>
      <c r="B1243" s="974" t="s">
        <v>1516</v>
      </c>
      <c r="C1243" s="1046" t="s">
        <v>2020</v>
      </c>
      <c r="D1243" s="1046" t="s">
        <v>1410</v>
      </c>
      <c r="E1243" s="974" t="s">
        <v>1705</v>
      </c>
    </row>
    <row r="1244" spans="1:5" x14ac:dyDescent="0.25">
      <c r="A1244" s="974">
        <v>1243</v>
      </c>
      <c r="B1244" s="974" t="s">
        <v>1516</v>
      </c>
      <c r="C1244" s="1046" t="s">
        <v>2020</v>
      </c>
      <c r="D1244" s="1046" t="s">
        <v>1410</v>
      </c>
      <c r="E1244" s="974" t="s">
        <v>1383</v>
      </c>
    </row>
    <row r="1245" spans="1:5" x14ac:dyDescent="0.25">
      <c r="A1245" s="974">
        <v>1244</v>
      </c>
      <c r="B1245" s="974" t="s">
        <v>1516</v>
      </c>
      <c r="C1245" s="1046" t="s">
        <v>2020</v>
      </c>
      <c r="D1245" s="1046" t="s">
        <v>1775</v>
      </c>
      <c r="E1245" s="974" t="s">
        <v>1381</v>
      </c>
    </row>
    <row r="1246" spans="1:5" x14ac:dyDescent="0.25">
      <c r="A1246" s="974">
        <v>1245</v>
      </c>
      <c r="B1246" s="974" t="s">
        <v>1516</v>
      </c>
      <c r="C1246" s="1046" t="s">
        <v>2020</v>
      </c>
      <c r="D1246" s="1046" t="s">
        <v>1410</v>
      </c>
      <c r="E1246" s="974" t="s">
        <v>1382</v>
      </c>
    </row>
    <row r="1247" spans="1:5" ht="30" x14ac:dyDescent="0.25">
      <c r="A1247" s="974">
        <v>1246</v>
      </c>
      <c r="B1247" s="974" t="s">
        <v>1516</v>
      </c>
      <c r="C1247" s="1046" t="s">
        <v>2020</v>
      </c>
      <c r="D1247" s="1046" t="s">
        <v>1544</v>
      </c>
      <c r="E1247" s="974" t="s">
        <v>1385</v>
      </c>
    </row>
    <row r="1248" spans="1:5" ht="30" x14ac:dyDescent="0.25">
      <c r="A1248" s="974">
        <v>1247</v>
      </c>
      <c r="B1248" s="974" t="s">
        <v>1516</v>
      </c>
      <c r="C1248" s="1046" t="s">
        <v>2020</v>
      </c>
      <c r="D1248" s="1046" t="s">
        <v>1544</v>
      </c>
      <c r="E1248" s="974" t="s">
        <v>1386</v>
      </c>
    </row>
    <row r="1249" spans="1:5" x14ac:dyDescent="0.25">
      <c r="A1249" s="974">
        <v>1248</v>
      </c>
      <c r="B1249" s="974" t="s">
        <v>1516</v>
      </c>
      <c r="C1249" s="1046" t="s">
        <v>2020</v>
      </c>
      <c r="D1249" s="1046" t="s">
        <v>1775</v>
      </c>
      <c r="E1249" s="974" t="s">
        <v>1396</v>
      </c>
    </row>
    <row r="1250" spans="1:5" x14ac:dyDescent="0.25">
      <c r="A1250" s="974">
        <v>1249</v>
      </c>
      <c r="B1250" s="974" t="s">
        <v>1516</v>
      </c>
      <c r="C1250" s="1046" t="s">
        <v>2020</v>
      </c>
      <c r="D1250" s="1046" t="s">
        <v>1775</v>
      </c>
      <c r="E1250" s="974" t="s">
        <v>2005</v>
      </c>
    </row>
    <row r="1251" spans="1:5" x14ac:dyDescent="0.25">
      <c r="A1251" s="974">
        <v>1250</v>
      </c>
      <c r="B1251" s="974" t="s">
        <v>1516</v>
      </c>
      <c r="C1251" s="1046" t="s">
        <v>2020</v>
      </c>
      <c r="D1251" s="1046" t="s">
        <v>1775</v>
      </c>
      <c r="E1251" s="974" t="s">
        <v>1482</v>
      </c>
    </row>
    <row r="1252" spans="1:5" x14ac:dyDescent="0.25">
      <c r="A1252" s="974">
        <v>1251</v>
      </c>
      <c r="B1252" s="974" t="s">
        <v>1516</v>
      </c>
      <c r="C1252" s="1046" t="s">
        <v>2020</v>
      </c>
      <c r="D1252" s="1046" t="s">
        <v>1775</v>
      </c>
      <c r="E1252" s="974" t="s">
        <v>1397</v>
      </c>
    </row>
    <row r="1253" spans="1:5" x14ac:dyDescent="0.25">
      <c r="A1253" s="974">
        <v>1252</v>
      </c>
      <c r="B1253" s="974" t="s">
        <v>1516</v>
      </c>
      <c r="C1253" s="1046" t="s">
        <v>2021</v>
      </c>
      <c r="D1253" s="1046" t="s">
        <v>1410</v>
      </c>
      <c r="E1253" s="974" t="s">
        <v>1491</v>
      </c>
    </row>
    <row r="1254" spans="1:5" x14ac:dyDescent="0.25">
      <c r="A1254" s="974">
        <v>1253</v>
      </c>
      <c r="B1254" s="974" t="s">
        <v>1516</v>
      </c>
      <c r="C1254" s="1046" t="s">
        <v>2021</v>
      </c>
      <c r="D1254" s="1046" t="s">
        <v>1410</v>
      </c>
      <c r="E1254" s="974" t="s">
        <v>1705</v>
      </c>
    </row>
    <row r="1255" spans="1:5" x14ac:dyDescent="0.25">
      <c r="A1255" s="974">
        <v>1254</v>
      </c>
      <c r="B1255" s="974" t="s">
        <v>1516</v>
      </c>
      <c r="C1255" s="1046" t="s">
        <v>2021</v>
      </c>
      <c r="D1255" s="1046" t="s">
        <v>1410</v>
      </c>
      <c r="E1255" s="974" t="s">
        <v>1383</v>
      </c>
    </row>
    <row r="1256" spans="1:5" x14ac:dyDescent="0.25">
      <c r="A1256" s="974">
        <v>1255</v>
      </c>
      <c r="B1256" s="974" t="s">
        <v>1516</v>
      </c>
      <c r="C1256" s="1046" t="s">
        <v>2021</v>
      </c>
      <c r="D1256" s="1046" t="s">
        <v>1775</v>
      </c>
      <c r="E1256" s="974" t="s">
        <v>1381</v>
      </c>
    </row>
    <row r="1257" spans="1:5" x14ac:dyDescent="0.25">
      <c r="A1257" s="974">
        <v>1256</v>
      </c>
      <c r="B1257" s="974" t="s">
        <v>1516</v>
      </c>
      <c r="C1257" s="1046" t="s">
        <v>2021</v>
      </c>
      <c r="D1257" s="1046" t="s">
        <v>1410</v>
      </c>
      <c r="E1257" s="974" t="s">
        <v>1382</v>
      </c>
    </row>
    <row r="1258" spans="1:5" ht="30" x14ac:dyDescent="0.25">
      <c r="A1258" s="974">
        <v>1257</v>
      </c>
      <c r="B1258" s="974" t="s">
        <v>1516</v>
      </c>
      <c r="C1258" s="1046" t="s">
        <v>2021</v>
      </c>
      <c r="D1258" s="1046" t="s">
        <v>1544</v>
      </c>
      <c r="E1258" s="974" t="s">
        <v>1385</v>
      </c>
    </row>
    <row r="1259" spans="1:5" ht="30" x14ac:dyDescent="0.25">
      <c r="A1259" s="974">
        <v>1258</v>
      </c>
      <c r="B1259" s="974" t="s">
        <v>1516</v>
      </c>
      <c r="C1259" s="1046" t="s">
        <v>2021</v>
      </c>
      <c r="D1259" s="1046" t="s">
        <v>1544</v>
      </c>
      <c r="E1259" s="974" t="s">
        <v>1386</v>
      </c>
    </row>
    <row r="1260" spans="1:5" x14ac:dyDescent="0.25">
      <c r="A1260" s="974">
        <v>1259</v>
      </c>
      <c r="B1260" s="974" t="s">
        <v>1516</v>
      </c>
      <c r="C1260" s="1046" t="s">
        <v>2021</v>
      </c>
      <c r="D1260" s="1046" t="s">
        <v>1775</v>
      </c>
      <c r="E1260" s="974" t="s">
        <v>1396</v>
      </c>
    </row>
    <row r="1261" spans="1:5" x14ac:dyDescent="0.25">
      <c r="A1261" s="974">
        <v>1260</v>
      </c>
      <c r="B1261" s="974" t="s">
        <v>1516</v>
      </c>
      <c r="C1261" s="1046" t="s">
        <v>2021</v>
      </c>
      <c r="D1261" s="1046" t="s">
        <v>1775</v>
      </c>
      <c r="E1261" s="974" t="s">
        <v>2005</v>
      </c>
    </row>
    <row r="1262" spans="1:5" x14ac:dyDescent="0.25">
      <c r="A1262" s="974">
        <v>1261</v>
      </c>
      <c r="B1262" s="974" t="s">
        <v>1516</v>
      </c>
      <c r="C1262" s="1046" t="s">
        <v>2021</v>
      </c>
      <c r="D1262" s="1046" t="s">
        <v>1775</v>
      </c>
      <c r="E1262" s="974" t="s">
        <v>1482</v>
      </c>
    </row>
    <row r="1263" spans="1:5" x14ac:dyDescent="0.25">
      <c r="A1263" s="974">
        <v>1262</v>
      </c>
      <c r="B1263" s="974" t="s">
        <v>1516</v>
      </c>
      <c r="C1263" s="1046" t="s">
        <v>2021</v>
      </c>
      <c r="D1263" s="1046" t="s">
        <v>1775</v>
      </c>
      <c r="E1263" s="974" t="s">
        <v>1397</v>
      </c>
    </row>
    <row r="1264" spans="1:5" x14ac:dyDescent="0.25">
      <c r="A1264" s="974">
        <v>1263</v>
      </c>
      <c r="B1264" s="974" t="s">
        <v>1516</v>
      </c>
      <c r="C1264" s="1046" t="s">
        <v>2022</v>
      </c>
      <c r="D1264" s="1046" t="s">
        <v>1410</v>
      </c>
      <c r="E1264" s="974" t="s">
        <v>1491</v>
      </c>
    </row>
    <row r="1265" spans="1:5" x14ac:dyDescent="0.25">
      <c r="A1265" s="974">
        <v>1264</v>
      </c>
      <c r="B1265" s="974" t="s">
        <v>1516</v>
      </c>
      <c r="C1265" s="1046" t="s">
        <v>2022</v>
      </c>
      <c r="D1265" s="1046" t="s">
        <v>1410</v>
      </c>
      <c r="E1265" s="974" t="s">
        <v>1705</v>
      </c>
    </row>
    <row r="1266" spans="1:5" x14ac:dyDescent="0.25">
      <c r="A1266" s="974">
        <v>1265</v>
      </c>
      <c r="B1266" s="974" t="s">
        <v>1516</v>
      </c>
      <c r="C1266" s="1046" t="s">
        <v>2022</v>
      </c>
      <c r="D1266" s="1046" t="s">
        <v>1410</v>
      </c>
      <c r="E1266" s="974" t="s">
        <v>1383</v>
      </c>
    </row>
    <row r="1267" spans="1:5" x14ac:dyDescent="0.25">
      <c r="A1267" s="974">
        <v>1266</v>
      </c>
      <c r="B1267" s="974" t="s">
        <v>1516</v>
      </c>
      <c r="C1267" s="1046" t="s">
        <v>2022</v>
      </c>
      <c r="D1267" s="1046" t="s">
        <v>1775</v>
      </c>
      <c r="E1267" s="974" t="s">
        <v>1381</v>
      </c>
    </row>
    <row r="1268" spans="1:5" x14ac:dyDescent="0.25">
      <c r="A1268" s="974">
        <v>1267</v>
      </c>
      <c r="B1268" s="974" t="s">
        <v>1516</v>
      </c>
      <c r="C1268" s="1046" t="s">
        <v>2022</v>
      </c>
      <c r="D1268" s="1046" t="s">
        <v>1410</v>
      </c>
      <c r="E1268" s="974" t="s">
        <v>1382</v>
      </c>
    </row>
    <row r="1269" spans="1:5" ht="30" x14ac:dyDescent="0.25">
      <c r="A1269" s="974">
        <v>1268</v>
      </c>
      <c r="B1269" s="974" t="s">
        <v>1516</v>
      </c>
      <c r="C1269" s="1046" t="s">
        <v>2022</v>
      </c>
      <c r="D1269" s="1046" t="s">
        <v>1544</v>
      </c>
      <c r="E1269" s="974" t="s">
        <v>1385</v>
      </c>
    </row>
    <row r="1270" spans="1:5" ht="30" x14ac:dyDescent="0.25">
      <c r="A1270" s="974">
        <v>1269</v>
      </c>
      <c r="B1270" s="974" t="s">
        <v>1516</v>
      </c>
      <c r="C1270" s="1046" t="s">
        <v>2022</v>
      </c>
      <c r="D1270" s="1046" t="s">
        <v>1544</v>
      </c>
      <c r="E1270" s="974" t="s">
        <v>1386</v>
      </c>
    </row>
    <row r="1271" spans="1:5" x14ac:dyDescent="0.25">
      <c r="A1271" s="974">
        <v>1270</v>
      </c>
      <c r="B1271" s="974" t="s">
        <v>1516</v>
      </c>
      <c r="C1271" s="1046" t="s">
        <v>2022</v>
      </c>
      <c r="D1271" s="1046" t="s">
        <v>1775</v>
      </c>
      <c r="E1271" s="974" t="s">
        <v>1396</v>
      </c>
    </row>
    <row r="1272" spans="1:5" x14ac:dyDescent="0.25">
      <c r="A1272" s="974">
        <v>1271</v>
      </c>
      <c r="B1272" s="974" t="s">
        <v>1516</v>
      </c>
      <c r="C1272" s="1046" t="s">
        <v>2022</v>
      </c>
      <c r="D1272" s="1046" t="s">
        <v>1775</v>
      </c>
      <c r="E1272" s="974" t="s">
        <v>2005</v>
      </c>
    </row>
    <row r="1273" spans="1:5" x14ac:dyDescent="0.25">
      <c r="A1273" s="974">
        <v>1272</v>
      </c>
      <c r="B1273" s="974" t="s">
        <v>1516</v>
      </c>
      <c r="C1273" s="1046" t="s">
        <v>2022</v>
      </c>
      <c r="D1273" s="1046" t="s">
        <v>1775</v>
      </c>
      <c r="E1273" s="974" t="s">
        <v>1482</v>
      </c>
    </row>
    <row r="1274" spans="1:5" x14ac:dyDescent="0.25">
      <c r="A1274" s="974">
        <v>1273</v>
      </c>
      <c r="B1274" s="974" t="s">
        <v>1516</v>
      </c>
      <c r="C1274" s="1046" t="s">
        <v>2022</v>
      </c>
      <c r="D1274" s="1046" t="s">
        <v>1775</v>
      </c>
      <c r="E1274" s="974" t="s">
        <v>1397</v>
      </c>
    </row>
    <row r="1275" spans="1:5" x14ac:dyDescent="0.25">
      <c r="A1275" s="974">
        <v>1274</v>
      </c>
      <c r="B1275" s="974" t="s">
        <v>1516</v>
      </c>
      <c r="C1275" s="1046" t="s">
        <v>2023</v>
      </c>
      <c r="D1275" s="1046" t="s">
        <v>1410</v>
      </c>
      <c r="E1275" s="974" t="s">
        <v>1491</v>
      </c>
    </row>
    <row r="1276" spans="1:5" x14ac:dyDescent="0.25">
      <c r="A1276" s="974">
        <v>1275</v>
      </c>
      <c r="B1276" s="974" t="s">
        <v>1516</v>
      </c>
      <c r="C1276" s="1046" t="s">
        <v>2023</v>
      </c>
      <c r="D1276" s="1046" t="s">
        <v>1410</v>
      </c>
      <c r="E1276" s="974" t="s">
        <v>1705</v>
      </c>
    </row>
    <row r="1277" spans="1:5" x14ac:dyDescent="0.25">
      <c r="A1277" s="974">
        <v>1276</v>
      </c>
      <c r="B1277" s="974" t="s">
        <v>1516</v>
      </c>
      <c r="C1277" s="1046" t="s">
        <v>2023</v>
      </c>
      <c r="D1277" s="1046" t="s">
        <v>1410</v>
      </c>
      <c r="E1277" s="974" t="s">
        <v>1383</v>
      </c>
    </row>
    <row r="1278" spans="1:5" x14ac:dyDescent="0.25">
      <c r="A1278" s="974">
        <v>1277</v>
      </c>
      <c r="B1278" s="974" t="s">
        <v>1516</v>
      </c>
      <c r="C1278" s="1046" t="s">
        <v>2023</v>
      </c>
      <c r="D1278" s="1046" t="s">
        <v>1775</v>
      </c>
      <c r="E1278" s="974" t="s">
        <v>1381</v>
      </c>
    </row>
    <row r="1279" spans="1:5" x14ac:dyDescent="0.25">
      <c r="A1279" s="974">
        <v>1278</v>
      </c>
      <c r="B1279" s="974" t="s">
        <v>1516</v>
      </c>
      <c r="C1279" s="1046" t="s">
        <v>2023</v>
      </c>
      <c r="D1279" s="1046" t="s">
        <v>1410</v>
      </c>
      <c r="E1279" s="974" t="s">
        <v>1382</v>
      </c>
    </row>
    <row r="1280" spans="1:5" ht="30" x14ac:dyDescent="0.25">
      <c r="A1280" s="974">
        <v>1279</v>
      </c>
      <c r="B1280" s="974" t="s">
        <v>1516</v>
      </c>
      <c r="C1280" s="1046" t="s">
        <v>2023</v>
      </c>
      <c r="D1280" s="1046" t="s">
        <v>1544</v>
      </c>
      <c r="E1280" s="974" t="s">
        <v>1385</v>
      </c>
    </row>
    <row r="1281" spans="1:5" ht="30" x14ac:dyDescent="0.25">
      <c r="A1281" s="974">
        <v>1280</v>
      </c>
      <c r="B1281" s="974" t="s">
        <v>1516</v>
      </c>
      <c r="C1281" s="1046" t="s">
        <v>2023</v>
      </c>
      <c r="D1281" s="1046" t="s">
        <v>1544</v>
      </c>
      <c r="E1281" s="974" t="s">
        <v>1386</v>
      </c>
    </row>
    <row r="1282" spans="1:5" x14ac:dyDescent="0.25">
      <c r="A1282" s="974">
        <v>1281</v>
      </c>
      <c r="B1282" s="974" t="s">
        <v>1516</v>
      </c>
      <c r="C1282" s="1046" t="s">
        <v>2023</v>
      </c>
      <c r="D1282" s="1046" t="s">
        <v>1775</v>
      </c>
      <c r="E1282" s="974" t="s">
        <v>1396</v>
      </c>
    </row>
    <row r="1283" spans="1:5" x14ac:dyDescent="0.25">
      <c r="A1283" s="974">
        <v>1282</v>
      </c>
      <c r="B1283" s="974" t="s">
        <v>1516</v>
      </c>
      <c r="C1283" s="1046" t="s">
        <v>2023</v>
      </c>
      <c r="D1283" s="1046" t="s">
        <v>1775</v>
      </c>
      <c r="E1283" s="974" t="s">
        <v>2005</v>
      </c>
    </row>
    <row r="1284" spans="1:5" x14ac:dyDescent="0.25">
      <c r="A1284" s="974">
        <v>1283</v>
      </c>
      <c r="B1284" s="974" t="s">
        <v>1516</v>
      </c>
      <c r="C1284" s="1046" t="s">
        <v>2023</v>
      </c>
      <c r="D1284" s="1046" t="s">
        <v>1775</v>
      </c>
      <c r="E1284" s="974" t="s">
        <v>1482</v>
      </c>
    </row>
    <row r="1285" spans="1:5" x14ac:dyDescent="0.25">
      <c r="A1285" s="974">
        <v>1284</v>
      </c>
      <c r="B1285" s="974" t="s">
        <v>1516</v>
      </c>
      <c r="C1285" s="1046" t="s">
        <v>2023</v>
      </c>
      <c r="D1285" s="1046" t="s">
        <v>1775</v>
      </c>
      <c r="E1285" s="974" t="s">
        <v>1397</v>
      </c>
    </row>
    <row r="1286" spans="1:5" x14ac:dyDescent="0.25">
      <c r="A1286" s="974">
        <v>1285</v>
      </c>
      <c r="B1286" s="974" t="s">
        <v>1516</v>
      </c>
      <c r="C1286" s="1046" t="s">
        <v>2024</v>
      </c>
      <c r="D1286" s="1046" t="s">
        <v>1410</v>
      </c>
      <c r="E1286" s="974" t="s">
        <v>1491</v>
      </c>
    </row>
    <row r="1287" spans="1:5" x14ac:dyDescent="0.25">
      <c r="A1287" s="974">
        <v>1286</v>
      </c>
      <c r="B1287" s="974" t="s">
        <v>1516</v>
      </c>
      <c r="C1287" s="1046" t="s">
        <v>2024</v>
      </c>
      <c r="D1287" s="1046" t="s">
        <v>1410</v>
      </c>
      <c r="E1287" s="974" t="s">
        <v>1705</v>
      </c>
    </row>
    <row r="1288" spans="1:5" x14ac:dyDescent="0.25">
      <c r="A1288" s="974">
        <v>1287</v>
      </c>
      <c r="B1288" s="974" t="s">
        <v>1516</v>
      </c>
      <c r="C1288" s="1046" t="s">
        <v>2024</v>
      </c>
      <c r="D1288" s="1046" t="s">
        <v>1410</v>
      </c>
      <c r="E1288" s="974" t="s">
        <v>1383</v>
      </c>
    </row>
    <row r="1289" spans="1:5" x14ac:dyDescent="0.25">
      <c r="A1289" s="974">
        <v>1288</v>
      </c>
      <c r="B1289" s="974" t="s">
        <v>1516</v>
      </c>
      <c r="C1289" s="1046" t="s">
        <v>2024</v>
      </c>
      <c r="D1289" s="1046" t="s">
        <v>1775</v>
      </c>
      <c r="E1289" s="974" t="s">
        <v>1381</v>
      </c>
    </row>
    <row r="1290" spans="1:5" x14ac:dyDescent="0.25">
      <c r="A1290" s="974">
        <v>1289</v>
      </c>
      <c r="B1290" s="974" t="s">
        <v>1516</v>
      </c>
      <c r="C1290" s="1046" t="s">
        <v>2024</v>
      </c>
      <c r="D1290" s="1046" t="s">
        <v>1410</v>
      </c>
      <c r="E1290" s="974" t="s">
        <v>1382</v>
      </c>
    </row>
    <row r="1291" spans="1:5" ht="30" x14ac:dyDescent="0.25">
      <c r="A1291" s="974">
        <v>1290</v>
      </c>
      <c r="B1291" s="974" t="s">
        <v>1516</v>
      </c>
      <c r="C1291" s="1046" t="s">
        <v>2024</v>
      </c>
      <c r="D1291" s="1046" t="s">
        <v>1544</v>
      </c>
      <c r="E1291" s="974" t="s">
        <v>1385</v>
      </c>
    </row>
    <row r="1292" spans="1:5" ht="30" x14ac:dyDescent="0.25">
      <c r="A1292" s="974">
        <v>1291</v>
      </c>
      <c r="B1292" s="974" t="s">
        <v>1516</v>
      </c>
      <c r="C1292" s="1046" t="s">
        <v>2024</v>
      </c>
      <c r="D1292" s="1046" t="s">
        <v>1544</v>
      </c>
      <c r="E1292" s="974" t="s">
        <v>1386</v>
      </c>
    </row>
    <row r="1293" spans="1:5" x14ac:dyDescent="0.25">
      <c r="A1293" s="974">
        <v>1292</v>
      </c>
      <c r="B1293" s="974" t="s">
        <v>1516</v>
      </c>
      <c r="C1293" s="1046" t="s">
        <v>2024</v>
      </c>
      <c r="D1293" s="1046" t="s">
        <v>1775</v>
      </c>
      <c r="E1293" s="974" t="s">
        <v>1396</v>
      </c>
    </row>
    <row r="1294" spans="1:5" x14ac:dyDescent="0.25">
      <c r="A1294" s="974">
        <v>1293</v>
      </c>
      <c r="B1294" s="974" t="s">
        <v>1516</v>
      </c>
      <c r="C1294" s="1046" t="s">
        <v>2024</v>
      </c>
      <c r="D1294" s="1046" t="s">
        <v>1775</v>
      </c>
      <c r="E1294" s="974" t="s">
        <v>2005</v>
      </c>
    </row>
    <row r="1295" spans="1:5" x14ac:dyDescent="0.25">
      <c r="A1295" s="974">
        <v>1294</v>
      </c>
      <c r="B1295" s="974" t="s">
        <v>1516</v>
      </c>
      <c r="C1295" s="1046" t="s">
        <v>2024</v>
      </c>
      <c r="D1295" s="1046" t="s">
        <v>1775</v>
      </c>
      <c r="E1295" s="974" t="s">
        <v>1482</v>
      </c>
    </row>
    <row r="1296" spans="1:5" x14ac:dyDescent="0.25">
      <c r="A1296" s="974">
        <v>1295</v>
      </c>
      <c r="B1296" s="974" t="s">
        <v>1516</v>
      </c>
      <c r="C1296" s="1046" t="s">
        <v>2024</v>
      </c>
      <c r="D1296" s="1046" t="s">
        <v>1775</v>
      </c>
      <c r="E1296" s="974" t="s">
        <v>1397</v>
      </c>
    </row>
    <row r="1297" spans="1:5" x14ac:dyDescent="0.25">
      <c r="A1297" s="974">
        <v>1296</v>
      </c>
      <c r="B1297" s="974" t="s">
        <v>1516</v>
      </c>
      <c r="C1297" s="1046" t="s">
        <v>2025</v>
      </c>
      <c r="D1297" s="1046" t="s">
        <v>1410</v>
      </c>
      <c r="E1297" s="974" t="s">
        <v>1491</v>
      </c>
    </row>
    <row r="1298" spans="1:5" x14ac:dyDescent="0.25">
      <c r="A1298" s="974">
        <v>1297</v>
      </c>
      <c r="B1298" s="974" t="s">
        <v>1516</v>
      </c>
      <c r="C1298" s="1046" t="s">
        <v>2025</v>
      </c>
      <c r="D1298" s="1046" t="s">
        <v>1410</v>
      </c>
      <c r="E1298" s="974" t="s">
        <v>1705</v>
      </c>
    </row>
    <row r="1299" spans="1:5" x14ac:dyDescent="0.25">
      <c r="A1299" s="974">
        <v>1298</v>
      </c>
      <c r="B1299" s="974" t="s">
        <v>1516</v>
      </c>
      <c r="C1299" s="1046" t="s">
        <v>2025</v>
      </c>
      <c r="D1299" s="1046" t="s">
        <v>1410</v>
      </c>
      <c r="E1299" s="974" t="s">
        <v>1383</v>
      </c>
    </row>
    <row r="1300" spans="1:5" x14ac:dyDescent="0.25">
      <c r="A1300" s="974">
        <v>1299</v>
      </c>
      <c r="B1300" s="974" t="s">
        <v>1516</v>
      </c>
      <c r="C1300" s="1046" t="s">
        <v>2025</v>
      </c>
      <c r="D1300" s="1046" t="s">
        <v>1775</v>
      </c>
      <c r="E1300" s="974" t="s">
        <v>1381</v>
      </c>
    </row>
    <row r="1301" spans="1:5" x14ac:dyDescent="0.25">
      <c r="A1301" s="974">
        <v>1300</v>
      </c>
      <c r="B1301" s="974" t="s">
        <v>1516</v>
      </c>
      <c r="C1301" s="1046" t="s">
        <v>2025</v>
      </c>
      <c r="D1301" s="1046" t="s">
        <v>1410</v>
      </c>
      <c r="E1301" s="974" t="s">
        <v>1382</v>
      </c>
    </row>
    <row r="1302" spans="1:5" ht="30" x14ac:dyDescent="0.25">
      <c r="A1302" s="974">
        <v>1301</v>
      </c>
      <c r="B1302" s="974" t="s">
        <v>1516</v>
      </c>
      <c r="C1302" s="1046" t="s">
        <v>2025</v>
      </c>
      <c r="D1302" s="1046" t="s">
        <v>1544</v>
      </c>
      <c r="E1302" s="974" t="s">
        <v>1385</v>
      </c>
    </row>
    <row r="1303" spans="1:5" ht="30" x14ac:dyDescent="0.25">
      <c r="A1303" s="974">
        <v>1302</v>
      </c>
      <c r="B1303" s="974" t="s">
        <v>1516</v>
      </c>
      <c r="C1303" s="1046" t="s">
        <v>2025</v>
      </c>
      <c r="D1303" s="1046" t="s">
        <v>1544</v>
      </c>
      <c r="E1303" s="974" t="s">
        <v>1386</v>
      </c>
    </row>
    <row r="1304" spans="1:5" x14ac:dyDescent="0.25">
      <c r="A1304" s="974">
        <v>1303</v>
      </c>
      <c r="B1304" s="974" t="s">
        <v>1516</v>
      </c>
      <c r="C1304" s="1046" t="s">
        <v>2025</v>
      </c>
      <c r="D1304" s="1046" t="s">
        <v>1775</v>
      </c>
      <c r="E1304" s="974" t="s">
        <v>1396</v>
      </c>
    </row>
    <row r="1305" spans="1:5" x14ac:dyDescent="0.25">
      <c r="A1305" s="974">
        <v>1304</v>
      </c>
      <c r="B1305" s="974" t="s">
        <v>1516</v>
      </c>
      <c r="C1305" s="1046" t="s">
        <v>2025</v>
      </c>
      <c r="D1305" s="1046" t="s">
        <v>1775</v>
      </c>
      <c r="E1305" s="974" t="s">
        <v>2005</v>
      </c>
    </row>
    <row r="1306" spans="1:5" x14ac:dyDescent="0.25">
      <c r="A1306" s="974">
        <v>1305</v>
      </c>
      <c r="B1306" s="974" t="s">
        <v>1516</v>
      </c>
      <c r="C1306" s="1046" t="s">
        <v>2025</v>
      </c>
      <c r="D1306" s="1046" t="s">
        <v>1775</v>
      </c>
      <c r="E1306" s="974" t="s">
        <v>1482</v>
      </c>
    </row>
    <row r="1307" spans="1:5" x14ac:dyDescent="0.25">
      <c r="A1307" s="974">
        <v>1306</v>
      </c>
      <c r="B1307" s="974" t="s">
        <v>1516</v>
      </c>
      <c r="C1307" s="1046" t="s">
        <v>2025</v>
      </c>
      <c r="D1307" s="1046" t="s">
        <v>1775</v>
      </c>
      <c r="E1307" s="974" t="s">
        <v>1397</v>
      </c>
    </row>
    <row r="1308" spans="1:5" x14ac:dyDescent="0.25">
      <c r="A1308" s="1324">
        <v>1307</v>
      </c>
      <c r="B1308" s="1324" t="s">
        <v>1742</v>
      </c>
      <c r="C1308" s="1324" t="s">
        <v>1742</v>
      </c>
      <c r="D1308" s="1325" t="s">
        <v>1410</v>
      </c>
      <c r="E1308" s="1325" t="s">
        <v>1926</v>
      </c>
    </row>
    <row r="1309" spans="1:5" x14ac:dyDescent="0.25">
      <c r="A1309" s="1324">
        <v>1308</v>
      </c>
      <c r="B1309" s="974" t="s">
        <v>1516</v>
      </c>
      <c r="C1309" s="1591" t="s">
        <v>1710</v>
      </c>
      <c r="D1309" s="1592" t="s">
        <v>1543</v>
      </c>
      <c r="E1309" s="1325" t="s">
        <v>2102</v>
      </c>
    </row>
    <row r="1310" spans="1:5" x14ac:dyDescent="0.25">
      <c r="A1310" s="1324">
        <v>1309</v>
      </c>
      <c r="B1310" s="974" t="s">
        <v>1516</v>
      </c>
      <c r="C1310" s="1591" t="s">
        <v>1711</v>
      </c>
      <c r="D1310" s="1593" t="s">
        <v>1543</v>
      </c>
      <c r="E1310" s="1325" t="s">
        <v>2102</v>
      </c>
    </row>
    <row r="1311" spans="1:5" x14ac:dyDescent="0.25">
      <c r="A1311" s="1324">
        <v>1310</v>
      </c>
      <c r="B1311" s="974" t="s">
        <v>1516</v>
      </c>
      <c r="C1311" s="1591" t="s">
        <v>1546</v>
      </c>
      <c r="D1311" s="1593" t="s">
        <v>1500</v>
      </c>
      <c r="E1311" s="1325" t="s">
        <v>2102</v>
      </c>
    </row>
    <row r="1312" spans="1:5" x14ac:dyDescent="0.25">
      <c r="A1312" s="1324">
        <v>1311</v>
      </c>
      <c r="B1312" s="974" t="s">
        <v>1516</v>
      </c>
      <c r="C1312" s="1591" t="s">
        <v>1548</v>
      </c>
      <c r="D1312" s="1593" t="s">
        <v>1500</v>
      </c>
      <c r="E1312" s="1325" t="s">
        <v>2102</v>
      </c>
    </row>
    <row r="1313" spans="1:5" x14ac:dyDescent="0.25">
      <c r="A1313" s="1324">
        <v>1312</v>
      </c>
      <c r="B1313" s="974" t="s">
        <v>1516</v>
      </c>
      <c r="C1313" s="1591" t="s">
        <v>1550</v>
      </c>
      <c r="D1313" s="1593" t="s">
        <v>1513</v>
      </c>
      <c r="E1313" s="1325" t="s">
        <v>2102</v>
      </c>
    </row>
    <row r="1314" spans="1:5" x14ac:dyDescent="0.25">
      <c r="A1314" s="1324">
        <v>1313</v>
      </c>
      <c r="B1314" s="974" t="s">
        <v>1516</v>
      </c>
      <c r="C1314" s="1591" t="s">
        <v>1556</v>
      </c>
      <c r="D1314" s="1593" t="s">
        <v>1513</v>
      </c>
      <c r="E1314" s="1325" t="s">
        <v>2102</v>
      </c>
    </row>
    <row r="1315" spans="1:5" x14ac:dyDescent="0.25">
      <c r="A1315" s="1324">
        <v>1314</v>
      </c>
      <c r="B1315" s="974" t="s">
        <v>1516</v>
      </c>
      <c r="C1315" s="1591" t="s">
        <v>1562</v>
      </c>
      <c r="D1315" s="1593" t="s">
        <v>1522</v>
      </c>
      <c r="E1315" s="1325" t="s">
        <v>2102</v>
      </c>
    </row>
    <row r="1316" spans="1:5" x14ac:dyDescent="0.25">
      <c r="A1316" s="1324">
        <v>1315</v>
      </c>
      <c r="B1316" s="974" t="s">
        <v>1516</v>
      </c>
      <c r="C1316" s="1591" t="s">
        <v>1564</v>
      </c>
      <c r="D1316" s="1593" t="s">
        <v>1522</v>
      </c>
      <c r="E1316" s="1325" t="s">
        <v>2102</v>
      </c>
    </row>
    <row r="1317" spans="1:5" x14ac:dyDescent="0.25">
      <c r="A1317" s="1324">
        <v>1316</v>
      </c>
      <c r="B1317" s="974" t="s">
        <v>1516</v>
      </c>
      <c r="C1317" s="1591" t="s">
        <v>1566</v>
      </c>
      <c r="D1317" s="1593" t="s">
        <v>1523</v>
      </c>
      <c r="E1317" s="1325" t="s">
        <v>2102</v>
      </c>
    </row>
    <row r="1318" spans="1:5" x14ac:dyDescent="0.25">
      <c r="A1318" s="1324">
        <v>1317</v>
      </c>
      <c r="B1318" s="974" t="s">
        <v>1516</v>
      </c>
      <c r="C1318" s="1591" t="s">
        <v>1572</v>
      </c>
      <c r="D1318" s="1593" t="s">
        <v>1523</v>
      </c>
      <c r="E1318" s="1325" t="s">
        <v>2102</v>
      </c>
    </row>
    <row r="1319" spans="1:5" x14ac:dyDescent="0.25">
      <c r="A1319" s="1324">
        <v>1318</v>
      </c>
      <c r="B1319" s="974" t="s">
        <v>1516</v>
      </c>
      <c r="C1319" s="1591" t="s">
        <v>1712</v>
      </c>
      <c r="D1319" s="1591" t="s">
        <v>1530</v>
      </c>
      <c r="E1319" s="1325" t="s">
        <v>2102</v>
      </c>
    </row>
    <row r="1320" spans="1:5" x14ac:dyDescent="0.25">
      <c r="A1320" s="1324">
        <v>1319</v>
      </c>
      <c r="B1320" s="974" t="s">
        <v>1516</v>
      </c>
      <c r="C1320" s="1591" t="s">
        <v>1713</v>
      </c>
      <c r="D1320" s="1591" t="s">
        <v>1530</v>
      </c>
      <c r="E1320" s="1325" t="s">
        <v>2102</v>
      </c>
    </row>
    <row r="1321" spans="1:5" x14ac:dyDescent="0.25">
      <c r="A1321" s="1324">
        <v>1320</v>
      </c>
      <c r="B1321" s="974" t="s">
        <v>1516</v>
      </c>
      <c r="C1321" s="1591" t="s">
        <v>1580</v>
      </c>
      <c r="D1321" s="1593" t="s">
        <v>1534</v>
      </c>
      <c r="E1321" s="1325" t="s">
        <v>2102</v>
      </c>
    </row>
    <row r="1322" spans="1:5" x14ac:dyDescent="0.25">
      <c r="A1322" s="1324">
        <v>1321</v>
      </c>
      <c r="B1322" s="974" t="s">
        <v>1516</v>
      </c>
      <c r="C1322" s="1591" t="s">
        <v>1582</v>
      </c>
      <c r="D1322" s="1593" t="s">
        <v>1534</v>
      </c>
      <c r="E1322" s="1325" t="s">
        <v>2102</v>
      </c>
    </row>
    <row r="1323" spans="1:5" x14ac:dyDescent="0.25">
      <c r="A1323" s="1324">
        <v>1322</v>
      </c>
      <c r="B1323" s="974" t="s">
        <v>1516</v>
      </c>
      <c r="C1323" s="1591" t="s">
        <v>1584</v>
      </c>
      <c r="D1323" s="1593" t="s">
        <v>1537</v>
      </c>
      <c r="E1323" s="1325" t="s">
        <v>2102</v>
      </c>
    </row>
    <row r="1324" spans="1:5" x14ac:dyDescent="0.25">
      <c r="A1324" s="1324">
        <v>1323</v>
      </c>
      <c r="B1324" s="974" t="s">
        <v>1516</v>
      </c>
      <c r="C1324" s="1591" t="s">
        <v>1590</v>
      </c>
      <c r="D1324" s="1593" t="s">
        <v>1537</v>
      </c>
      <c r="E1324" s="1325" t="s">
        <v>2102</v>
      </c>
    </row>
    <row r="1325" spans="1:5" x14ac:dyDescent="0.25">
      <c r="A1325" s="1324">
        <v>1324</v>
      </c>
      <c r="B1325" s="974" t="s">
        <v>1516</v>
      </c>
      <c r="C1325" s="1591" t="s">
        <v>1597</v>
      </c>
      <c r="D1325" s="1593" t="s">
        <v>1596</v>
      </c>
      <c r="E1325" s="1325" t="s">
        <v>2102</v>
      </c>
    </row>
    <row r="1326" spans="1:5" x14ac:dyDescent="0.25">
      <c r="A1326" s="1324">
        <v>1325</v>
      </c>
      <c r="B1326" s="974" t="s">
        <v>1516</v>
      </c>
      <c r="C1326" s="1591" t="s">
        <v>1714</v>
      </c>
      <c r="D1326" s="1593" t="s">
        <v>1596</v>
      </c>
      <c r="E1326" s="1325" t="s">
        <v>2102</v>
      </c>
    </row>
    <row r="1327" spans="1:5" x14ac:dyDescent="0.25">
      <c r="A1327" s="1324">
        <v>1326</v>
      </c>
      <c r="B1327" s="974" t="s">
        <v>1516</v>
      </c>
      <c r="C1327" s="1591" t="s">
        <v>1716</v>
      </c>
      <c r="D1327" s="1593" t="s">
        <v>1596</v>
      </c>
      <c r="E1327" s="1325" t="s">
        <v>2102</v>
      </c>
    </row>
    <row r="1328" spans="1:5" x14ac:dyDescent="0.25">
      <c r="A1328" s="1324">
        <v>1327</v>
      </c>
      <c r="B1328" s="974" t="s">
        <v>1516</v>
      </c>
      <c r="C1328" s="1591" t="s">
        <v>1718</v>
      </c>
      <c r="D1328" s="1593" t="s">
        <v>1596</v>
      </c>
      <c r="E1328" s="1325" t="s">
        <v>2102</v>
      </c>
    </row>
    <row r="1329" spans="1:5" x14ac:dyDescent="0.25">
      <c r="A1329" s="1324">
        <v>1328</v>
      </c>
      <c r="B1329" s="974" t="s">
        <v>1516</v>
      </c>
      <c r="C1329" s="1591" t="s">
        <v>1720</v>
      </c>
      <c r="D1329" s="1593" t="s">
        <v>1596</v>
      </c>
      <c r="E1329" s="1325" t="s">
        <v>2102</v>
      </c>
    </row>
    <row r="1330" spans="1:5" x14ac:dyDescent="0.25">
      <c r="A1330" s="1324">
        <v>1329</v>
      </c>
      <c r="B1330" s="974" t="s">
        <v>1516</v>
      </c>
      <c r="C1330" s="1591" t="s">
        <v>1664</v>
      </c>
      <c r="D1330" s="1593" t="s">
        <v>1540</v>
      </c>
      <c r="E1330" s="1325" t="s">
        <v>2102</v>
      </c>
    </row>
    <row r="1331" spans="1:5" x14ac:dyDescent="0.25">
      <c r="A1331" s="1324">
        <v>1330</v>
      </c>
      <c r="B1331" s="974" t="s">
        <v>1516</v>
      </c>
      <c r="C1331" s="1591" t="s">
        <v>2103</v>
      </c>
      <c r="D1331" s="1593" t="s">
        <v>1675</v>
      </c>
      <c r="E1331" s="1325" t="s">
        <v>2102</v>
      </c>
    </row>
    <row r="1332" spans="1:5" x14ac:dyDescent="0.25">
      <c r="A1332" s="1324">
        <v>1331</v>
      </c>
      <c r="B1332" s="974" t="s">
        <v>1516</v>
      </c>
      <c r="C1332" s="1591" t="s">
        <v>2104</v>
      </c>
      <c r="D1332" s="1593" t="s">
        <v>1675</v>
      </c>
      <c r="E1332" s="1325" t="s">
        <v>2102</v>
      </c>
    </row>
    <row r="1333" spans="1:5" x14ac:dyDescent="0.25">
      <c r="A1333" s="1324">
        <v>1332</v>
      </c>
      <c r="B1333" s="974" t="s">
        <v>1516</v>
      </c>
      <c r="C1333" s="1046" t="s">
        <v>2017</v>
      </c>
      <c r="D1333" s="1325" t="s">
        <v>1410</v>
      </c>
      <c r="E1333" s="1325" t="s">
        <v>2135</v>
      </c>
    </row>
    <row r="1334" spans="1:5" x14ac:dyDescent="0.25">
      <c r="A1334" s="1324">
        <v>1333</v>
      </c>
      <c r="B1334" s="974" t="s">
        <v>1516</v>
      </c>
      <c r="C1334" s="1046" t="s">
        <v>2018</v>
      </c>
      <c r="D1334" s="1325" t="s">
        <v>1410</v>
      </c>
      <c r="E1334" s="1325" t="s">
        <v>2135</v>
      </c>
    </row>
    <row r="1335" spans="1:5" x14ac:dyDescent="0.25">
      <c r="A1335" s="1324">
        <v>1334</v>
      </c>
      <c r="B1335" s="974" t="s">
        <v>1516</v>
      </c>
      <c r="C1335" s="1046" t="s">
        <v>2019</v>
      </c>
      <c r="D1335" s="1325" t="s">
        <v>1410</v>
      </c>
      <c r="E1335" s="1325" t="s">
        <v>2135</v>
      </c>
    </row>
    <row r="1336" spans="1:5" x14ac:dyDescent="0.25">
      <c r="A1336" s="1324">
        <v>1335</v>
      </c>
      <c r="B1336" s="974" t="s">
        <v>1516</v>
      </c>
      <c r="C1336" s="1046" t="s">
        <v>2020</v>
      </c>
      <c r="D1336" s="1325" t="s">
        <v>1410</v>
      </c>
      <c r="E1336" s="1325" t="s">
        <v>2135</v>
      </c>
    </row>
    <row r="1337" spans="1:5" x14ac:dyDescent="0.25">
      <c r="A1337" s="1324">
        <v>1336</v>
      </c>
      <c r="B1337" s="974" t="s">
        <v>1516</v>
      </c>
      <c r="C1337" s="1046" t="s">
        <v>2021</v>
      </c>
      <c r="D1337" s="1325" t="s">
        <v>1410</v>
      </c>
      <c r="E1337" s="1325" t="s">
        <v>2135</v>
      </c>
    </row>
    <row r="1338" spans="1:5" x14ac:dyDescent="0.25">
      <c r="A1338" s="1324">
        <v>1337</v>
      </c>
      <c r="B1338" s="974" t="s">
        <v>1516</v>
      </c>
      <c r="C1338" s="1046" t="s">
        <v>2022</v>
      </c>
      <c r="D1338" s="1325" t="s">
        <v>1410</v>
      </c>
      <c r="E1338" s="1325" t="s">
        <v>2135</v>
      </c>
    </row>
    <row r="1339" spans="1:5" x14ac:dyDescent="0.25">
      <c r="A1339" s="1324">
        <v>1338</v>
      </c>
      <c r="B1339" s="974" t="s">
        <v>1516</v>
      </c>
      <c r="C1339" s="1046" t="s">
        <v>2023</v>
      </c>
      <c r="D1339" s="1325" t="s">
        <v>1410</v>
      </c>
      <c r="E1339" s="1325" t="s">
        <v>2135</v>
      </c>
    </row>
    <row r="1340" spans="1:5" x14ac:dyDescent="0.25">
      <c r="A1340" s="1324">
        <v>1339</v>
      </c>
      <c r="B1340" s="974" t="s">
        <v>1516</v>
      </c>
      <c r="C1340" s="1046" t="s">
        <v>2024</v>
      </c>
      <c r="D1340" s="1325" t="s">
        <v>1410</v>
      </c>
      <c r="E1340" s="1325" t="s">
        <v>2135</v>
      </c>
    </row>
    <row r="1341" spans="1:5" x14ac:dyDescent="0.25">
      <c r="A1341" s="1324">
        <v>1340</v>
      </c>
      <c r="B1341" s="974" t="s">
        <v>1516</v>
      </c>
      <c r="C1341" s="1046" t="s">
        <v>2025</v>
      </c>
      <c r="D1341" s="1325" t="s">
        <v>1410</v>
      </c>
      <c r="E1341" s="1325" t="s">
        <v>2135</v>
      </c>
    </row>
    <row r="1342" spans="1:5" x14ac:dyDescent="0.25">
      <c r="A1342" s="1324">
        <v>1341</v>
      </c>
      <c r="B1342" s="974" t="s">
        <v>1516</v>
      </c>
      <c r="C1342" s="1046" t="s">
        <v>2142</v>
      </c>
      <c r="D1342" s="1046" t="s">
        <v>2146</v>
      </c>
      <c r="E1342" s="1042" t="s">
        <v>1491</v>
      </c>
    </row>
    <row r="1343" spans="1:5" x14ac:dyDescent="0.25">
      <c r="A1343" s="1324">
        <v>1342</v>
      </c>
      <c r="B1343" s="974" t="s">
        <v>1516</v>
      </c>
      <c r="C1343" s="1046" t="s">
        <v>2142</v>
      </c>
      <c r="D1343" s="1046" t="s">
        <v>1410</v>
      </c>
      <c r="E1343" s="1042" t="s">
        <v>1705</v>
      </c>
    </row>
    <row r="1344" spans="1:5" x14ac:dyDescent="0.25">
      <c r="A1344" s="1324">
        <v>1343</v>
      </c>
      <c r="B1344" s="974" t="s">
        <v>1516</v>
      </c>
      <c r="C1344" s="1046" t="s">
        <v>2142</v>
      </c>
      <c r="D1344" s="1046" t="s">
        <v>2146</v>
      </c>
      <c r="E1344" s="1042" t="s">
        <v>1383</v>
      </c>
    </row>
    <row r="1345" spans="1:5" x14ac:dyDescent="0.25">
      <c r="A1345" s="1324">
        <v>1344</v>
      </c>
      <c r="B1345" s="974" t="s">
        <v>1516</v>
      </c>
      <c r="C1345" s="1046" t="s">
        <v>2142</v>
      </c>
      <c r="D1345" s="1046" t="s">
        <v>2146</v>
      </c>
      <c r="E1345" s="1042" t="s">
        <v>1380</v>
      </c>
    </row>
    <row r="1346" spans="1:5" x14ac:dyDescent="0.25">
      <c r="A1346" s="1324">
        <v>1345</v>
      </c>
      <c r="B1346" s="974" t="s">
        <v>1516</v>
      </c>
      <c r="C1346" s="1046" t="s">
        <v>2142</v>
      </c>
      <c r="D1346" s="1046" t="s">
        <v>2146</v>
      </c>
      <c r="E1346" s="1042" t="s">
        <v>1381</v>
      </c>
    </row>
    <row r="1347" spans="1:5" x14ac:dyDescent="0.25">
      <c r="A1347" s="1324">
        <v>1346</v>
      </c>
      <c r="B1347" s="974" t="s">
        <v>1516</v>
      </c>
      <c r="C1347" s="1046" t="s">
        <v>2142</v>
      </c>
      <c r="D1347" s="1046" t="s">
        <v>2146</v>
      </c>
      <c r="E1347" s="1042" t="s">
        <v>1397</v>
      </c>
    </row>
    <row r="1348" spans="1:5" x14ac:dyDescent="0.25">
      <c r="A1348" s="1324">
        <v>1347</v>
      </c>
      <c r="B1348" s="974" t="s">
        <v>1516</v>
      </c>
      <c r="C1348" s="1046" t="s">
        <v>2142</v>
      </c>
      <c r="D1348" s="1046" t="s">
        <v>1410</v>
      </c>
      <c r="E1348" s="1042" t="s">
        <v>1382</v>
      </c>
    </row>
    <row r="1349" spans="1:5" x14ac:dyDescent="0.25">
      <c r="A1349" s="1324">
        <v>1348</v>
      </c>
      <c r="B1349" s="974" t="s">
        <v>1516</v>
      </c>
      <c r="C1349" s="1046" t="s">
        <v>2142</v>
      </c>
      <c r="D1349" s="1046" t="s">
        <v>2146</v>
      </c>
      <c r="E1349" s="1042" t="s">
        <v>1487</v>
      </c>
    </row>
    <row r="1350" spans="1:5" x14ac:dyDescent="0.25">
      <c r="A1350" s="1324">
        <v>1349</v>
      </c>
      <c r="B1350" s="974" t="s">
        <v>1516</v>
      </c>
      <c r="C1350" s="1046" t="s">
        <v>2142</v>
      </c>
      <c r="D1350" s="1046" t="s">
        <v>1410</v>
      </c>
      <c r="E1350" s="1042" t="s">
        <v>1488</v>
      </c>
    </row>
    <row r="1351" spans="1:5" ht="30" x14ac:dyDescent="0.25">
      <c r="A1351" s="1324">
        <v>1350</v>
      </c>
      <c r="B1351" s="974" t="s">
        <v>1516</v>
      </c>
      <c r="C1351" s="1046" t="s">
        <v>2142</v>
      </c>
      <c r="D1351" s="1046" t="s">
        <v>1544</v>
      </c>
      <c r="E1351" s="1042" t="s">
        <v>1385</v>
      </c>
    </row>
    <row r="1352" spans="1:5" ht="30" x14ac:dyDescent="0.25">
      <c r="A1352" s="1324">
        <v>1351</v>
      </c>
      <c r="B1352" s="974" t="s">
        <v>1516</v>
      </c>
      <c r="C1352" s="1046" t="s">
        <v>2142</v>
      </c>
      <c r="D1352" s="1046" t="s">
        <v>1544</v>
      </c>
      <c r="E1352" s="1042" t="s">
        <v>1386</v>
      </c>
    </row>
    <row r="1353" spans="1:5" ht="30" x14ac:dyDescent="0.25">
      <c r="A1353" s="1324">
        <v>1352</v>
      </c>
      <c r="B1353" s="974" t="s">
        <v>1516</v>
      </c>
      <c r="C1353" s="1046" t="s">
        <v>2142</v>
      </c>
      <c r="D1353" s="1046" t="s">
        <v>1544</v>
      </c>
      <c r="E1353" s="1042" t="s">
        <v>1495</v>
      </c>
    </row>
    <row r="1354" spans="1:5" x14ac:dyDescent="0.25">
      <c r="A1354" s="1324">
        <v>1353</v>
      </c>
      <c r="B1354" s="974" t="s">
        <v>1516</v>
      </c>
      <c r="C1354" s="1046" t="s">
        <v>2142</v>
      </c>
      <c r="D1354" s="1046" t="s">
        <v>2146</v>
      </c>
      <c r="E1354" s="1042" t="s">
        <v>1389</v>
      </c>
    </row>
    <row r="1355" spans="1:5" x14ac:dyDescent="0.25">
      <c r="A1355" s="1324">
        <v>1354</v>
      </c>
      <c r="B1355" s="974" t="s">
        <v>1516</v>
      </c>
      <c r="C1355" s="1046" t="s">
        <v>2156</v>
      </c>
      <c r="D1355" s="1046" t="s">
        <v>2146</v>
      </c>
      <c r="E1355" s="1042" t="s">
        <v>1491</v>
      </c>
    </row>
    <row r="1356" spans="1:5" x14ac:dyDescent="0.25">
      <c r="A1356" s="1324">
        <v>1355</v>
      </c>
      <c r="B1356" s="974" t="s">
        <v>1516</v>
      </c>
      <c r="C1356" s="1046" t="s">
        <v>2156</v>
      </c>
      <c r="D1356" s="1046" t="s">
        <v>1410</v>
      </c>
      <c r="E1356" s="1042" t="s">
        <v>1705</v>
      </c>
    </row>
    <row r="1357" spans="1:5" x14ac:dyDescent="0.25">
      <c r="A1357" s="1324">
        <v>1356</v>
      </c>
      <c r="B1357" s="974" t="s">
        <v>1516</v>
      </c>
      <c r="C1357" s="1046" t="s">
        <v>2156</v>
      </c>
      <c r="D1357" s="1046" t="s">
        <v>2146</v>
      </c>
      <c r="E1357" s="1042" t="s">
        <v>1383</v>
      </c>
    </row>
    <row r="1358" spans="1:5" x14ac:dyDescent="0.25">
      <c r="A1358" s="1324">
        <v>1357</v>
      </c>
      <c r="B1358" s="974" t="s">
        <v>1516</v>
      </c>
      <c r="C1358" s="1046" t="s">
        <v>2156</v>
      </c>
      <c r="D1358" s="1046" t="s">
        <v>2146</v>
      </c>
      <c r="E1358" s="1042" t="s">
        <v>1380</v>
      </c>
    </row>
    <row r="1359" spans="1:5" x14ac:dyDescent="0.25">
      <c r="A1359" s="1324">
        <v>1358</v>
      </c>
      <c r="B1359" s="974" t="s">
        <v>1516</v>
      </c>
      <c r="C1359" s="1046" t="s">
        <v>2156</v>
      </c>
      <c r="D1359" s="1046" t="s">
        <v>2146</v>
      </c>
      <c r="E1359" s="1042" t="s">
        <v>1381</v>
      </c>
    </row>
    <row r="1360" spans="1:5" x14ac:dyDescent="0.25">
      <c r="A1360" s="1324">
        <v>1359</v>
      </c>
      <c r="B1360" s="974" t="s">
        <v>1516</v>
      </c>
      <c r="C1360" s="1046" t="s">
        <v>2156</v>
      </c>
      <c r="D1360" s="1046" t="s">
        <v>2146</v>
      </c>
      <c r="E1360" s="1042" t="s">
        <v>1397</v>
      </c>
    </row>
    <row r="1361" spans="1:5" x14ac:dyDescent="0.25">
      <c r="A1361" s="1324">
        <v>1360</v>
      </c>
      <c r="B1361" s="974" t="s">
        <v>1516</v>
      </c>
      <c r="C1361" s="1046" t="s">
        <v>2156</v>
      </c>
      <c r="D1361" s="1046" t="s">
        <v>1410</v>
      </c>
      <c r="E1361" s="1042" t="s">
        <v>1382</v>
      </c>
    </row>
    <row r="1362" spans="1:5" x14ac:dyDescent="0.25">
      <c r="A1362" s="1324">
        <v>1361</v>
      </c>
      <c r="B1362" s="974" t="s">
        <v>1516</v>
      </c>
      <c r="C1362" s="1046" t="s">
        <v>2156</v>
      </c>
      <c r="D1362" s="1046" t="s">
        <v>2146</v>
      </c>
      <c r="E1362" s="1042" t="s">
        <v>1487</v>
      </c>
    </row>
    <row r="1363" spans="1:5" x14ac:dyDescent="0.25">
      <c r="A1363" s="1324">
        <v>1362</v>
      </c>
      <c r="B1363" s="974" t="s">
        <v>1516</v>
      </c>
      <c r="C1363" s="1046" t="s">
        <v>2156</v>
      </c>
      <c r="D1363" s="1046" t="s">
        <v>1410</v>
      </c>
      <c r="E1363" s="1042" t="s">
        <v>1488</v>
      </c>
    </row>
    <row r="1364" spans="1:5" ht="30" x14ac:dyDescent="0.25">
      <c r="A1364" s="1324">
        <v>1363</v>
      </c>
      <c r="B1364" s="974" t="s">
        <v>1516</v>
      </c>
      <c r="C1364" s="1046" t="s">
        <v>2156</v>
      </c>
      <c r="D1364" s="1046" t="s">
        <v>1544</v>
      </c>
      <c r="E1364" s="1042" t="s">
        <v>1385</v>
      </c>
    </row>
    <row r="1365" spans="1:5" ht="30" x14ac:dyDescent="0.25">
      <c r="A1365" s="1324">
        <v>1364</v>
      </c>
      <c r="B1365" s="974" t="s">
        <v>1516</v>
      </c>
      <c r="C1365" s="1046" t="s">
        <v>2156</v>
      </c>
      <c r="D1365" s="1046" t="s">
        <v>1544</v>
      </c>
      <c r="E1365" s="1042" t="s">
        <v>1386</v>
      </c>
    </row>
    <row r="1366" spans="1:5" ht="30" x14ac:dyDescent="0.25">
      <c r="A1366" s="1324">
        <v>1365</v>
      </c>
      <c r="B1366" s="974" t="s">
        <v>1516</v>
      </c>
      <c r="C1366" s="1046" t="s">
        <v>2156</v>
      </c>
      <c r="D1366" s="1046" t="s">
        <v>1544</v>
      </c>
      <c r="E1366" s="1042" t="s">
        <v>1495</v>
      </c>
    </row>
    <row r="1367" spans="1:5" x14ac:dyDescent="0.25">
      <c r="A1367" s="1324">
        <v>1366</v>
      </c>
      <c r="B1367" s="974" t="s">
        <v>1516</v>
      </c>
      <c r="C1367" s="1046" t="s">
        <v>2156</v>
      </c>
      <c r="D1367" s="1046" t="s">
        <v>2146</v>
      </c>
      <c r="E1367" s="1042" t="s">
        <v>1389</v>
      </c>
    </row>
    <row r="1368" spans="1:5" x14ac:dyDescent="0.25">
      <c r="A1368" s="1324">
        <v>1367</v>
      </c>
      <c r="B1368" s="974" t="s">
        <v>1516</v>
      </c>
      <c r="C1368" s="1046" t="s">
        <v>2157</v>
      </c>
      <c r="D1368" s="1046" t="s">
        <v>2146</v>
      </c>
      <c r="E1368" s="1042" t="s">
        <v>1491</v>
      </c>
    </row>
    <row r="1369" spans="1:5" x14ac:dyDescent="0.25">
      <c r="A1369" s="1324">
        <v>1368</v>
      </c>
      <c r="B1369" s="974" t="s">
        <v>1516</v>
      </c>
      <c r="C1369" s="1046" t="s">
        <v>2157</v>
      </c>
      <c r="D1369" s="1046" t="s">
        <v>1410</v>
      </c>
      <c r="E1369" s="1042" t="s">
        <v>1705</v>
      </c>
    </row>
    <row r="1370" spans="1:5" x14ac:dyDescent="0.25">
      <c r="A1370" s="1324">
        <v>1369</v>
      </c>
      <c r="B1370" s="974" t="s">
        <v>1516</v>
      </c>
      <c r="C1370" s="1046" t="s">
        <v>2157</v>
      </c>
      <c r="D1370" s="1046" t="s">
        <v>2146</v>
      </c>
      <c r="E1370" s="1042" t="s">
        <v>1383</v>
      </c>
    </row>
    <row r="1371" spans="1:5" x14ac:dyDescent="0.25">
      <c r="A1371" s="1324">
        <v>1370</v>
      </c>
      <c r="B1371" s="974" t="s">
        <v>1516</v>
      </c>
      <c r="C1371" s="1046" t="s">
        <v>2157</v>
      </c>
      <c r="D1371" s="1046" t="s">
        <v>2146</v>
      </c>
      <c r="E1371" s="1042" t="s">
        <v>1380</v>
      </c>
    </row>
    <row r="1372" spans="1:5" x14ac:dyDescent="0.25">
      <c r="A1372" s="1324">
        <v>1371</v>
      </c>
      <c r="B1372" s="974" t="s">
        <v>1516</v>
      </c>
      <c r="C1372" s="1046" t="s">
        <v>2157</v>
      </c>
      <c r="D1372" s="1046" t="s">
        <v>2146</v>
      </c>
      <c r="E1372" s="1042" t="s">
        <v>1381</v>
      </c>
    </row>
    <row r="1373" spans="1:5" x14ac:dyDescent="0.25">
      <c r="A1373" s="1324">
        <v>1372</v>
      </c>
      <c r="B1373" s="974" t="s">
        <v>1516</v>
      </c>
      <c r="C1373" s="1046" t="s">
        <v>2157</v>
      </c>
      <c r="D1373" s="1046" t="s">
        <v>2146</v>
      </c>
      <c r="E1373" s="1042" t="s">
        <v>1397</v>
      </c>
    </row>
    <row r="1374" spans="1:5" x14ac:dyDescent="0.25">
      <c r="A1374" s="1324">
        <v>1373</v>
      </c>
      <c r="B1374" s="974" t="s">
        <v>1516</v>
      </c>
      <c r="C1374" s="1046" t="s">
        <v>2157</v>
      </c>
      <c r="D1374" s="1046" t="s">
        <v>1410</v>
      </c>
      <c r="E1374" s="1042" t="s">
        <v>1382</v>
      </c>
    </row>
    <row r="1375" spans="1:5" x14ac:dyDescent="0.25">
      <c r="A1375" s="1324">
        <v>1374</v>
      </c>
      <c r="B1375" s="974" t="s">
        <v>1516</v>
      </c>
      <c r="C1375" s="1046" t="s">
        <v>2157</v>
      </c>
      <c r="D1375" s="1046" t="s">
        <v>2146</v>
      </c>
      <c r="E1375" s="1042" t="s">
        <v>1487</v>
      </c>
    </row>
    <row r="1376" spans="1:5" x14ac:dyDescent="0.25">
      <c r="A1376" s="1324">
        <v>1375</v>
      </c>
      <c r="B1376" s="974" t="s">
        <v>1516</v>
      </c>
      <c r="C1376" s="1046" t="s">
        <v>2157</v>
      </c>
      <c r="D1376" s="1046" t="s">
        <v>1410</v>
      </c>
      <c r="E1376" s="1042" t="s">
        <v>1488</v>
      </c>
    </row>
    <row r="1377" spans="1:5" ht="30" x14ac:dyDescent="0.25">
      <c r="A1377" s="1324">
        <v>1376</v>
      </c>
      <c r="B1377" s="974" t="s">
        <v>1516</v>
      </c>
      <c r="C1377" s="1046" t="s">
        <v>2157</v>
      </c>
      <c r="D1377" s="1046" t="s">
        <v>1544</v>
      </c>
      <c r="E1377" s="1042" t="s">
        <v>1385</v>
      </c>
    </row>
    <row r="1378" spans="1:5" ht="30" x14ac:dyDescent="0.25">
      <c r="A1378" s="1324">
        <v>1377</v>
      </c>
      <c r="B1378" s="974" t="s">
        <v>1516</v>
      </c>
      <c r="C1378" s="1046" t="s">
        <v>2157</v>
      </c>
      <c r="D1378" s="1046" t="s">
        <v>1544</v>
      </c>
      <c r="E1378" s="1042" t="s">
        <v>1386</v>
      </c>
    </row>
    <row r="1379" spans="1:5" ht="30" x14ac:dyDescent="0.25">
      <c r="A1379" s="1324">
        <v>1378</v>
      </c>
      <c r="B1379" s="974" t="s">
        <v>1516</v>
      </c>
      <c r="C1379" s="1046" t="s">
        <v>2157</v>
      </c>
      <c r="D1379" s="1046" t="s">
        <v>1544</v>
      </c>
      <c r="E1379" s="1042" t="s">
        <v>1495</v>
      </c>
    </row>
    <row r="1380" spans="1:5" x14ac:dyDescent="0.25">
      <c r="A1380" s="1324">
        <v>1379</v>
      </c>
      <c r="B1380" s="974" t="s">
        <v>1516</v>
      </c>
      <c r="C1380" s="1046" t="s">
        <v>2157</v>
      </c>
      <c r="D1380" s="1046" t="s">
        <v>2146</v>
      </c>
      <c r="E1380" s="1042" t="s">
        <v>1389</v>
      </c>
    </row>
    <row r="1381" spans="1:5" x14ac:dyDescent="0.25">
      <c r="A1381" s="1324">
        <v>1380</v>
      </c>
      <c r="B1381" s="974" t="s">
        <v>1516</v>
      </c>
      <c r="C1381" s="1046" t="s">
        <v>2158</v>
      </c>
      <c r="D1381" s="1046" t="s">
        <v>2146</v>
      </c>
      <c r="E1381" s="1042" t="s">
        <v>1491</v>
      </c>
    </row>
    <row r="1382" spans="1:5" x14ac:dyDescent="0.25">
      <c r="A1382" s="1324">
        <v>1381</v>
      </c>
      <c r="B1382" s="974" t="s">
        <v>1516</v>
      </c>
      <c r="C1382" s="1046" t="s">
        <v>2158</v>
      </c>
      <c r="D1382" s="1046" t="s">
        <v>1410</v>
      </c>
      <c r="E1382" s="1042" t="s">
        <v>1705</v>
      </c>
    </row>
    <row r="1383" spans="1:5" x14ac:dyDescent="0.25">
      <c r="A1383" s="1324">
        <v>1382</v>
      </c>
      <c r="B1383" s="974" t="s">
        <v>1516</v>
      </c>
      <c r="C1383" s="1046" t="s">
        <v>2158</v>
      </c>
      <c r="D1383" s="1046" t="s">
        <v>2146</v>
      </c>
      <c r="E1383" s="1042" t="s">
        <v>1383</v>
      </c>
    </row>
    <row r="1384" spans="1:5" x14ac:dyDescent="0.25">
      <c r="A1384" s="1324">
        <v>1383</v>
      </c>
      <c r="B1384" s="974" t="s">
        <v>1516</v>
      </c>
      <c r="C1384" s="1046" t="s">
        <v>2158</v>
      </c>
      <c r="D1384" s="1046" t="s">
        <v>2146</v>
      </c>
      <c r="E1384" s="1042" t="s">
        <v>1380</v>
      </c>
    </row>
    <row r="1385" spans="1:5" x14ac:dyDescent="0.25">
      <c r="A1385" s="1324">
        <v>1384</v>
      </c>
      <c r="B1385" s="974" t="s">
        <v>1516</v>
      </c>
      <c r="C1385" s="1046" t="s">
        <v>2158</v>
      </c>
      <c r="D1385" s="1046" t="s">
        <v>2146</v>
      </c>
      <c r="E1385" s="1042" t="s">
        <v>1381</v>
      </c>
    </row>
    <row r="1386" spans="1:5" x14ac:dyDescent="0.25">
      <c r="A1386" s="1324">
        <v>1385</v>
      </c>
      <c r="B1386" s="974" t="s">
        <v>1516</v>
      </c>
      <c r="C1386" s="1046" t="s">
        <v>2158</v>
      </c>
      <c r="D1386" s="1046" t="s">
        <v>2146</v>
      </c>
      <c r="E1386" s="1042" t="s">
        <v>1397</v>
      </c>
    </row>
    <row r="1387" spans="1:5" x14ac:dyDescent="0.25">
      <c r="A1387" s="1324">
        <v>1386</v>
      </c>
      <c r="B1387" s="974" t="s">
        <v>1516</v>
      </c>
      <c r="C1387" s="1046" t="s">
        <v>2158</v>
      </c>
      <c r="D1387" s="1046" t="s">
        <v>1410</v>
      </c>
      <c r="E1387" s="1042" t="s">
        <v>1382</v>
      </c>
    </row>
    <row r="1388" spans="1:5" x14ac:dyDescent="0.25">
      <c r="A1388" s="1324">
        <v>1387</v>
      </c>
      <c r="B1388" s="974" t="s">
        <v>1516</v>
      </c>
      <c r="C1388" s="1046" t="s">
        <v>2158</v>
      </c>
      <c r="D1388" s="1046" t="s">
        <v>2146</v>
      </c>
      <c r="E1388" s="1042" t="s">
        <v>1487</v>
      </c>
    </row>
    <row r="1389" spans="1:5" x14ac:dyDescent="0.25">
      <c r="A1389" s="1324">
        <v>1388</v>
      </c>
      <c r="B1389" s="974" t="s">
        <v>1516</v>
      </c>
      <c r="C1389" s="1046" t="s">
        <v>2158</v>
      </c>
      <c r="D1389" s="1046" t="s">
        <v>1410</v>
      </c>
      <c r="E1389" s="1042" t="s">
        <v>1488</v>
      </c>
    </row>
    <row r="1390" spans="1:5" ht="30" x14ac:dyDescent="0.25">
      <c r="A1390" s="1324">
        <v>1389</v>
      </c>
      <c r="B1390" s="974" t="s">
        <v>1516</v>
      </c>
      <c r="C1390" s="1046" t="s">
        <v>2158</v>
      </c>
      <c r="D1390" s="1046" t="s">
        <v>1544</v>
      </c>
      <c r="E1390" s="1042" t="s">
        <v>1385</v>
      </c>
    </row>
    <row r="1391" spans="1:5" ht="30" x14ac:dyDescent="0.25">
      <c r="A1391" s="1324">
        <v>1390</v>
      </c>
      <c r="B1391" s="974" t="s">
        <v>1516</v>
      </c>
      <c r="C1391" s="1046" t="s">
        <v>2158</v>
      </c>
      <c r="D1391" s="1046" t="s">
        <v>1544</v>
      </c>
      <c r="E1391" s="1042" t="s">
        <v>1386</v>
      </c>
    </row>
    <row r="1392" spans="1:5" ht="30" x14ac:dyDescent="0.25">
      <c r="A1392" s="1324">
        <v>1391</v>
      </c>
      <c r="B1392" s="974" t="s">
        <v>1516</v>
      </c>
      <c r="C1392" s="1046" t="s">
        <v>2158</v>
      </c>
      <c r="D1392" s="1046" t="s">
        <v>1544</v>
      </c>
      <c r="E1392" s="1042" t="s">
        <v>1495</v>
      </c>
    </row>
    <row r="1393" spans="1:5" x14ac:dyDescent="0.25">
      <c r="A1393" s="1324">
        <v>1392</v>
      </c>
      <c r="B1393" s="974" t="s">
        <v>1516</v>
      </c>
      <c r="C1393" s="1046" t="s">
        <v>2158</v>
      </c>
      <c r="D1393" s="1046" t="s">
        <v>2146</v>
      </c>
      <c r="E1393" s="1042" t="s">
        <v>1389</v>
      </c>
    </row>
    <row r="1394" spans="1:5" x14ac:dyDescent="0.25">
      <c r="A1394" s="1324">
        <v>1393</v>
      </c>
      <c r="B1394" s="974" t="s">
        <v>1516</v>
      </c>
      <c r="C1394" s="1046" t="s">
        <v>2159</v>
      </c>
      <c r="D1394" s="1046" t="s">
        <v>2146</v>
      </c>
      <c r="E1394" s="1042" t="s">
        <v>1491</v>
      </c>
    </row>
    <row r="1395" spans="1:5" x14ac:dyDescent="0.25">
      <c r="A1395" s="1324">
        <v>1394</v>
      </c>
      <c r="B1395" s="974" t="s">
        <v>1516</v>
      </c>
      <c r="C1395" s="1046" t="s">
        <v>2159</v>
      </c>
      <c r="D1395" s="1046" t="s">
        <v>1410</v>
      </c>
      <c r="E1395" s="1042" t="s">
        <v>1705</v>
      </c>
    </row>
    <row r="1396" spans="1:5" x14ac:dyDescent="0.25">
      <c r="A1396" s="1324">
        <v>1395</v>
      </c>
      <c r="B1396" s="974" t="s">
        <v>1516</v>
      </c>
      <c r="C1396" s="1046" t="s">
        <v>2159</v>
      </c>
      <c r="D1396" s="1046" t="s">
        <v>2146</v>
      </c>
      <c r="E1396" s="1042" t="s">
        <v>1383</v>
      </c>
    </row>
    <row r="1397" spans="1:5" x14ac:dyDescent="0.25">
      <c r="A1397" s="1324">
        <v>1396</v>
      </c>
      <c r="B1397" s="974" t="s">
        <v>1516</v>
      </c>
      <c r="C1397" s="1046" t="s">
        <v>2159</v>
      </c>
      <c r="D1397" s="1046" t="s">
        <v>2146</v>
      </c>
      <c r="E1397" s="1042" t="s">
        <v>1380</v>
      </c>
    </row>
    <row r="1398" spans="1:5" x14ac:dyDescent="0.25">
      <c r="A1398" s="1324">
        <v>1397</v>
      </c>
      <c r="B1398" s="974" t="s">
        <v>1516</v>
      </c>
      <c r="C1398" s="1046" t="s">
        <v>2159</v>
      </c>
      <c r="D1398" s="1046" t="s">
        <v>2146</v>
      </c>
      <c r="E1398" s="1042" t="s">
        <v>1381</v>
      </c>
    </row>
    <row r="1399" spans="1:5" x14ac:dyDescent="0.25">
      <c r="A1399" s="1324">
        <v>1398</v>
      </c>
      <c r="B1399" s="974" t="s">
        <v>1516</v>
      </c>
      <c r="C1399" s="1046" t="s">
        <v>2159</v>
      </c>
      <c r="D1399" s="1046" t="s">
        <v>2146</v>
      </c>
      <c r="E1399" s="1042" t="s">
        <v>1397</v>
      </c>
    </row>
    <row r="1400" spans="1:5" x14ac:dyDescent="0.25">
      <c r="A1400" s="1324">
        <v>1399</v>
      </c>
      <c r="B1400" s="974" t="s">
        <v>1516</v>
      </c>
      <c r="C1400" s="1046" t="s">
        <v>2159</v>
      </c>
      <c r="D1400" s="1046" t="s">
        <v>1410</v>
      </c>
      <c r="E1400" s="1042" t="s">
        <v>1382</v>
      </c>
    </row>
    <row r="1401" spans="1:5" x14ac:dyDescent="0.25">
      <c r="A1401" s="1324">
        <v>1400</v>
      </c>
      <c r="B1401" s="974" t="s">
        <v>1516</v>
      </c>
      <c r="C1401" s="1046" t="s">
        <v>2159</v>
      </c>
      <c r="D1401" s="1046" t="s">
        <v>2146</v>
      </c>
      <c r="E1401" s="1042" t="s">
        <v>1487</v>
      </c>
    </row>
    <row r="1402" spans="1:5" x14ac:dyDescent="0.25">
      <c r="A1402" s="1324">
        <v>1401</v>
      </c>
      <c r="B1402" s="974" t="s">
        <v>1516</v>
      </c>
      <c r="C1402" s="1046" t="s">
        <v>2159</v>
      </c>
      <c r="D1402" s="1046" t="s">
        <v>1410</v>
      </c>
      <c r="E1402" s="1042" t="s">
        <v>1488</v>
      </c>
    </row>
    <row r="1403" spans="1:5" ht="30" x14ac:dyDescent="0.25">
      <c r="A1403" s="1324">
        <v>1402</v>
      </c>
      <c r="B1403" s="974" t="s">
        <v>1516</v>
      </c>
      <c r="C1403" s="1046" t="s">
        <v>2159</v>
      </c>
      <c r="D1403" s="1046" t="s">
        <v>1544</v>
      </c>
      <c r="E1403" s="1042" t="s">
        <v>1385</v>
      </c>
    </row>
    <row r="1404" spans="1:5" ht="30" x14ac:dyDescent="0.25">
      <c r="A1404" s="1324">
        <v>1403</v>
      </c>
      <c r="B1404" s="974" t="s">
        <v>1516</v>
      </c>
      <c r="C1404" s="1046" t="s">
        <v>2159</v>
      </c>
      <c r="D1404" s="1046" t="s">
        <v>1544</v>
      </c>
      <c r="E1404" s="1042" t="s">
        <v>1386</v>
      </c>
    </row>
    <row r="1405" spans="1:5" ht="30" x14ac:dyDescent="0.25">
      <c r="A1405" s="1324">
        <v>1404</v>
      </c>
      <c r="B1405" s="974" t="s">
        <v>1516</v>
      </c>
      <c r="C1405" s="1046" t="s">
        <v>2159</v>
      </c>
      <c r="D1405" s="1046" t="s">
        <v>1544</v>
      </c>
      <c r="E1405" s="1042" t="s">
        <v>1495</v>
      </c>
    </row>
    <row r="1406" spans="1:5" x14ac:dyDescent="0.25">
      <c r="A1406" s="1324">
        <v>1405</v>
      </c>
      <c r="B1406" s="974" t="s">
        <v>1516</v>
      </c>
      <c r="C1406" s="1046" t="s">
        <v>2159</v>
      </c>
      <c r="D1406" s="1046" t="s">
        <v>2146</v>
      </c>
      <c r="E1406" s="1042" t="s">
        <v>1389</v>
      </c>
    </row>
    <row r="1407" spans="1:5" x14ac:dyDescent="0.25">
      <c r="A1407" s="1324">
        <v>1406</v>
      </c>
      <c r="B1407" s="974" t="s">
        <v>1401</v>
      </c>
      <c r="C1407" s="1046" t="s">
        <v>2160</v>
      </c>
      <c r="D1407" s="1046" t="s">
        <v>1410</v>
      </c>
      <c r="E1407" s="1043" t="s">
        <v>1178</v>
      </c>
    </row>
    <row r="1408" spans="1:5" x14ac:dyDescent="0.25">
      <c r="A1408" s="1324">
        <v>1407</v>
      </c>
      <c r="B1408" s="974" t="s">
        <v>870</v>
      </c>
      <c r="C1408" s="1046" t="s">
        <v>2160</v>
      </c>
      <c r="D1408" s="1046" t="s">
        <v>1410</v>
      </c>
      <c r="E1408" s="1043" t="s">
        <v>1182</v>
      </c>
    </row>
    <row r="1409" spans="1:5" x14ac:dyDescent="0.25">
      <c r="A1409" s="1324">
        <v>1408</v>
      </c>
      <c r="B1409" s="974" t="s">
        <v>1401</v>
      </c>
      <c r="C1409" s="1046" t="s">
        <v>2160</v>
      </c>
      <c r="D1409" s="1046" t="s">
        <v>1410</v>
      </c>
      <c r="E1409" s="1043" t="s">
        <v>766</v>
      </c>
    </row>
    <row r="1410" spans="1:5" x14ac:dyDescent="0.25">
      <c r="A1410" s="1324">
        <v>1409</v>
      </c>
      <c r="B1410" s="974" t="s">
        <v>870</v>
      </c>
      <c r="C1410" s="1046" t="s">
        <v>2160</v>
      </c>
      <c r="D1410" s="1046" t="s">
        <v>1410</v>
      </c>
      <c r="E1410" s="1045" t="s">
        <v>1262</v>
      </c>
    </row>
    <row r="1411" spans="1:5" ht="30" x14ac:dyDescent="0.25">
      <c r="A1411" s="1324">
        <v>1410</v>
      </c>
      <c r="B1411" s="974" t="s">
        <v>870</v>
      </c>
      <c r="C1411" s="1046" t="s">
        <v>2160</v>
      </c>
      <c r="D1411" s="1046" t="s">
        <v>1410</v>
      </c>
      <c r="E1411" s="1045" t="s">
        <v>1263</v>
      </c>
    </row>
    <row r="1412" spans="1:5" x14ac:dyDescent="0.25">
      <c r="A1412" s="1324">
        <v>1411</v>
      </c>
      <c r="B1412" s="974" t="s">
        <v>870</v>
      </c>
      <c r="C1412" s="1046" t="s">
        <v>2160</v>
      </c>
      <c r="D1412" s="1046" t="s">
        <v>1410</v>
      </c>
      <c r="E1412" s="1045" t="s">
        <v>1185</v>
      </c>
    </row>
    <row r="1413" spans="1:5" x14ac:dyDescent="0.25">
      <c r="A1413" s="1324">
        <v>1412</v>
      </c>
      <c r="B1413" s="974" t="s">
        <v>870</v>
      </c>
      <c r="C1413" s="1046" t="s">
        <v>2160</v>
      </c>
      <c r="D1413" s="1046" t="s">
        <v>1410</v>
      </c>
      <c r="E1413" s="1045" t="s">
        <v>1186</v>
      </c>
    </row>
    <row r="1414" spans="1:5" x14ac:dyDescent="0.25">
      <c r="A1414" s="1324">
        <v>1413</v>
      </c>
      <c r="B1414" s="974" t="s">
        <v>870</v>
      </c>
      <c r="C1414" s="1046" t="s">
        <v>2160</v>
      </c>
      <c r="D1414" s="1046" t="s">
        <v>1410</v>
      </c>
      <c r="E1414" s="1045" t="s">
        <v>1187</v>
      </c>
    </row>
    <row r="1415" spans="1:5" x14ac:dyDescent="0.25">
      <c r="A1415" s="1324">
        <v>1414</v>
      </c>
      <c r="B1415" s="974" t="s">
        <v>870</v>
      </c>
      <c r="C1415" s="1046" t="s">
        <v>2160</v>
      </c>
      <c r="D1415" s="1046" t="s">
        <v>1410</v>
      </c>
      <c r="E1415" s="1045" t="s">
        <v>1188</v>
      </c>
    </row>
    <row r="1416" spans="1:5" x14ac:dyDescent="0.25">
      <c r="A1416" s="1324">
        <v>1415</v>
      </c>
      <c r="B1416" s="974" t="s">
        <v>870</v>
      </c>
      <c r="C1416" s="1046" t="s">
        <v>2160</v>
      </c>
      <c r="D1416" s="1046" t="s">
        <v>1410</v>
      </c>
      <c r="E1416" s="1045" t="s">
        <v>1189</v>
      </c>
    </row>
    <row r="1417" spans="1:5" x14ac:dyDescent="0.25">
      <c r="A1417" s="1324">
        <v>1416</v>
      </c>
      <c r="B1417" s="974" t="s">
        <v>870</v>
      </c>
      <c r="C1417" s="1046" t="s">
        <v>2160</v>
      </c>
      <c r="D1417" s="1046" t="s">
        <v>1410</v>
      </c>
      <c r="E1417" s="1045" t="s">
        <v>1428</v>
      </c>
    </row>
    <row r="1418" spans="1:5" x14ac:dyDescent="0.25">
      <c r="A1418" s="1324">
        <v>1417</v>
      </c>
      <c r="B1418" s="974" t="s">
        <v>870</v>
      </c>
      <c r="C1418" s="1046" t="s">
        <v>2160</v>
      </c>
      <c r="D1418" s="1046" t="s">
        <v>1410</v>
      </c>
      <c r="E1418" s="1045" t="s">
        <v>1631</v>
      </c>
    </row>
    <row r="1419" spans="1:5" x14ac:dyDescent="0.25">
      <c r="A1419" s="1324">
        <v>1418</v>
      </c>
      <c r="B1419" s="974" t="s">
        <v>1401</v>
      </c>
      <c r="C1419" s="1046" t="s">
        <v>2160</v>
      </c>
      <c r="D1419" s="1046" t="s">
        <v>1429</v>
      </c>
      <c r="E1419" s="1043" t="s">
        <v>765</v>
      </c>
    </row>
    <row r="1420" spans="1:5" x14ac:dyDescent="0.25">
      <c r="A1420" s="1324">
        <v>1419</v>
      </c>
      <c r="B1420" s="974" t="s">
        <v>1401</v>
      </c>
      <c r="C1420" s="1046" t="s">
        <v>2160</v>
      </c>
      <c r="D1420" s="1046" t="s">
        <v>1429</v>
      </c>
      <c r="E1420" s="1043" t="s">
        <v>1179</v>
      </c>
    </row>
    <row r="1421" spans="1:5" x14ac:dyDescent="0.25">
      <c r="A1421" s="1324">
        <v>1420</v>
      </c>
      <c r="B1421" s="974" t="s">
        <v>1401</v>
      </c>
      <c r="C1421" s="1046" t="s">
        <v>2160</v>
      </c>
      <c r="D1421" s="1046" t="s">
        <v>1410</v>
      </c>
      <c r="E1421" s="1043" t="s">
        <v>1180</v>
      </c>
    </row>
    <row r="1422" spans="1:5" x14ac:dyDescent="0.25">
      <c r="A1422" s="1324">
        <v>1421</v>
      </c>
      <c r="B1422" s="974" t="s">
        <v>1401</v>
      </c>
      <c r="C1422" s="1046" t="s">
        <v>2160</v>
      </c>
      <c r="D1422" s="1046" t="s">
        <v>1410</v>
      </c>
      <c r="E1422" s="1043" t="s">
        <v>1367</v>
      </c>
    </row>
    <row r="1423" spans="1:5" x14ac:dyDescent="0.25">
      <c r="A1423" s="1324">
        <v>1422</v>
      </c>
      <c r="B1423" s="974" t="s">
        <v>1401</v>
      </c>
      <c r="C1423" s="1046" t="s">
        <v>2160</v>
      </c>
      <c r="D1423" s="1046" t="s">
        <v>1410</v>
      </c>
      <c r="E1423" s="1043" t="s">
        <v>1297</v>
      </c>
    </row>
    <row r="1424" spans="1:5" x14ac:dyDescent="0.25">
      <c r="A1424" s="1324">
        <v>1423</v>
      </c>
      <c r="B1424" s="974" t="s">
        <v>1401</v>
      </c>
      <c r="C1424" s="1046" t="s">
        <v>2160</v>
      </c>
      <c r="D1424" s="1046" t="s">
        <v>1410</v>
      </c>
      <c r="E1424" s="1043" t="s">
        <v>767</v>
      </c>
    </row>
    <row r="1425" spans="1:5" x14ac:dyDescent="0.25">
      <c r="A1425" s="1324">
        <v>1424</v>
      </c>
      <c r="B1425" s="974" t="s">
        <v>1401</v>
      </c>
      <c r="C1425" s="1046" t="s">
        <v>2160</v>
      </c>
      <c r="D1425" s="1046" t="s">
        <v>1410</v>
      </c>
      <c r="E1425" s="1043" t="s">
        <v>768</v>
      </c>
    </row>
    <row r="1426" spans="1:5" x14ac:dyDescent="0.25">
      <c r="A1426" s="1324">
        <v>1425</v>
      </c>
      <c r="B1426" s="974" t="s">
        <v>1401</v>
      </c>
      <c r="C1426" s="1046" t="s">
        <v>2160</v>
      </c>
      <c r="D1426" s="1046" t="s">
        <v>1410</v>
      </c>
      <c r="E1426" s="1043" t="s">
        <v>769</v>
      </c>
    </row>
    <row r="1427" spans="1:5" x14ac:dyDescent="0.25">
      <c r="A1427" s="1324">
        <v>1426</v>
      </c>
      <c r="B1427" s="974" t="s">
        <v>1401</v>
      </c>
      <c r="C1427" s="1046" t="s">
        <v>2160</v>
      </c>
      <c r="D1427" s="1046" t="s">
        <v>1410</v>
      </c>
      <c r="E1427" s="1043" t="s">
        <v>204</v>
      </c>
    </row>
    <row r="1428" spans="1:5" x14ac:dyDescent="0.25">
      <c r="A1428" s="1324">
        <v>1427</v>
      </c>
      <c r="B1428" s="974" t="s">
        <v>1401</v>
      </c>
      <c r="C1428" s="1046" t="s">
        <v>2161</v>
      </c>
      <c r="D1428" s="1046" t="s">
        <v>1410</v>
      </c>
      <c r="E1428" s="1043" t="s">
        <v>1178</v>
      </c>
    </row>
    <row r="1429" spans="1:5" x14ac:dyDescent="0.25">
      <c r="A1429" s="1324">
        <v>1428</v>
      </c>
      <c r="B1429" s="974" t="s">
        <v>870</v>
      </c>
      <c r="C1429" s="1046" t="s">
        <v>2161</v>
      </c>
      <c r="D1429" s="1046" t="s">
        <v>1410</v>
      </c>
      <c r="E1429" s="1043" t="s">
        <v>1182</v>
      </c>
    </row>
    <row r="1430" spans="1:5" x14ac:dyDescent="0.25">
      <c r="A1430" s="1324">
        <v>1429</v>
      </c>
      <c r="B1430" s="974" t="s">
        <v>1401</v>
      </c>
      <c r="C1430" s="1046" t="s">
        <v>2161</v>
      </c>
      <c r="D1430" s="1046" t="s">
        <v>1410</v>
      </c>
      <c r="E1430" s="1043" t="s">
        <v>766</v>
      </c>
    </row>
    <row r="1431" spans="1:5" x14ac:dyDescent="0.25">
      <c r="A1431" s="1324">
        <v>1430</v>
      </c>
      <c r="B1431" s="974" t="s">
        <v>870</v>
      </c>
      <c r="C1431" s="1046" t="s">
        <v>2161</v>
      </c>
      <c r="D1431" s="1046" t="s">
        <v>1410</v>
      </c>
      <c r="E1431" s="1045" t="s">
        <v>1262</v>
      </c>
    </row>
    <row r="1432" spans="1:5" ht="30" x14ac:dyDescent="0.25">
      <c r="A1432" s="1324">
        <v>1431</v>
      </c>
      <c r="B1432" s="974" t="s">
        <v>870</v>
      </c>
      <c r="C1432" s="1046" t="s">
        <v>2161</v>
      </c>
      <c r="D1432" s="1046" t="s">
        <v>1410</v>
      </c>
      <c r="E1432" s="1045" t="s">
        <v>1263</v>
      </c>
    </row>
    <row r="1433" spans="1:5" x14ac:dyDescent="0.25">
      <c r="A1433" s="1324">
        <v>1432</v>
      </c>
      <c r="B1433" s="974" t="s">
        <v>870</v>
      </c>
      <c r="C1433" s="1046" t="s">
        <v>2161</v>
      </c>
      <c r="D1433" s="1046" t="s">
        <v>1410</v>
      </c>
      <c r="E1433" s="1045" t="s">
        <v>1185</v>
      </c>
    </row>
    <row r="1434" spans="1:5" x14ac:dyDescent="0.25">
      <c r="A1434" s="1324">
        <v>1433</v>
      </c>
      <c r="B1434" s="974" t="s">
        <v>870</v>
      </c>
      <c r="C1434" s="1046" t="s">
        <v>2161</v>
      </c>
      <c r="D1434" s="1046" t="s">
        <v>1410</v>
      </c>
      <c r="E1434" s="1045" t="s">
        <v>1186</v>
      </c>
    </row>
    <row r="1435" spans="1:5" x14ac:dyDescent="0.25">
      <c r="A1435" s="1324">
        <v>1434</v>
      </c>
      <c r="B1435" s="974" t="s">
        <v>870</v>
      </c>
      <c r="C1435" s="1046" t="s">
        <v>2161</v>
      </c>
      <c r="D1435" s="1046" t="s">
        <v>1410</v>
      </c>
      <c r="E1435" s="1045" t="s">
        <v>1187</v>
      </c>
    </row>
    <row r="1436" spans="1:5" x14ac:dyDescent="0.25">
      <c r="A1436" s="1324">
        <v>1435</v>
      </c>
      <c r="B1436" s="974" t="s">
        <v>870</v>
      </c>
      <c r="C1436" s="1046" t="s">
        <v>2161</v>
      </c>
      <c r="D1436" s="1046" t="s">
        <v>1410</v>
      </c>
      <c r="E1436" s="1045" t="s">
        <v>1188</v>
      </c>
    </row>
    <row r="1437" spans="1:5" x14ac:dyDescent="0.25">
      <c r="A1437" s="1324">
        <v>1436</v>
      </c>
      <c r="B1437" s="974" t="s">
        <v>870</v>
      </c>
      <c r="C1437" s="1046" t="s">
        <v>2161</v>
      </c>
      <c r="D1437" s="1046" t="s">
        <v>1410</v>
      </c>
      <c r="E1437" s="1045" t="s">
        <v>1189</v>
      </c>
    </row>
    <row r="1438" spans="1:5" x14ac:dyDescent="0.25">
      <c r="A1438" s="1324">
        <v>1437</v>
      </c>
      <c r="B1438" s="974" t="s">
        <v>870</v>
      </c>
      <c r="C1438" s="1046" t="s">
        <v>2161</v>
      </c>
      <c r="D1438" s="1046" t="s">
        <v>1410</v>
      </c>
      <c r="E1438" s="1045" t="s">
        <v>1428</v>
      </c>
    </row>
    <row r="1439" spans="1:5" x14ac:dyDescent="0.25">
      <c r="A1439" s="1324">
        <v>1438</v>
      </c>
      <c r="B1439" s="974" t="s">
        <v>870</v>
      </c>
      <c r="C1439" s="1046" t="s">
        <v>2161</v>
      </c>
      <c r="D1439" s="1046" t="s">
        <v>1410</v>
      </c>
      <c r="E1439" s="1045" t="s">
        <v>1631</v>
      </c>
    </row>
    <row r="1440" spans="1:5" x14ac:dyDescent="0.25">
      <c r="A1440" s="1324">
        <v>1439</v>
      </c>
      <c r="B1440" s="974" t="s">
        <v>1401</v>
      </c>
      <c r="C1440" s="1046" t="s">
        <v>2161</v>
      </c>
      <c r="D1440" s="1046" t="s">
        <v>1429</v>
      </c>
      <c r="E1440" s="1043" t="s">
        <v>765</v>
      </c>
    </row>
    <row r="1441" spans="1:5" x14ac:dyDescent="0.25">
      <c r="A1441" s="1324">
        <v>1440</v>
      </c>
      <c r="B1441" s="974" t="s">
        <v>1401</v>
      </c>
      <c r="C1441" s="1046" t="s">
        <v>2161</v>
      </c>
      <c r="D1441" s="1046" t="s">
        <v>1429</v>
      </c>
      <c r="E1441" s="1043" t="s">
        <v>1179</v>
      </c>
    </row>
    <row r="1442" spans="1:5" x14ac:dyDescent="0.25">
      <c r="A1442" s="1324">
        <v>1441</v>
      </c>
      <c r="B1442" s="974" t="s">
        <v>1401</v>
      </c>
      <c r="C1442" s="1046" t="s">
        <v>2161</v>
      </c>
      <c r="D1442" s="1046" t="s">
        <v>1410</v>
      </c>
      <c r="E1442" s="1043" t="s">
        <v>1180</v>
      </c>
    </row>
    <row r="1443" spans="1:5" x14ac:dyDescent="0.25">
      <c r="A1443" s="1324">
        <v>1442</v>
      </c>
      <c r="B1443" s="974" t="s">
        <v>1401</v>
      </c>
      <c r="C1443" s="1046" t="s">
        <v>2161</v>
      </c>
      <c r="D1443" s="1046" t="s">
        <v>1410</v>
      </c>
      <c r="E1443" s="1043" t="s">
        <v>1367</v>
      </c>
    </row>
    <row r="1444" spans="1:5" x14ac:dyDescent="0.25">
      <c r="A1444" s="1324">
        <v>1443</v>
      </c>
      <c r="B1444" s="974" t="s">
        <v>1401</v>
      </c>
      <c r="C1444" s="1046" t="s">
        <v>2161</v>
      </c>
      <c r="D1444" s="1046" t="s">
        <v>1410</v>
      </c>
      <c r="E1444" s="1043" t="s">
        <v>1297</v>
      </c>
    </row>
    <row r="1445" spans="1:5" x14ac:dyDescent="0.25">
      <c r="A1445" s="1324">
        <v>1444</v>
      </c>
      <c r="B1445" s="974" t="s">
        <v>1401</v>
      </c>
      <c r="C1445" s="1046" t="s">
        <v>2161</v>
      </c>
      <c r="D1445" s="1046" t="s">
        <v>1410</v>
      </c>
      <c r="E1445" s="1043" t="s">
        <v>767</v>
      </c>
    </row>
    <row r="1446" spans="1:5" x14ac:dyDescent="0.25">
      <c r="A1446" s="1324">
        <v>1445</v>
      </c>
      <c r="B1446" s="974" t="s">
        <v>1401</v>
      </c>
      <c r="C1446" s="1046" t="s">
        <v>2161</v>
      </c>
      <c r="D1446" s="1046" t="s">
        <v>1410</v>
      </c>
      <c r="E1446" s="1043" t="s">
        <v>768</v>
      </c>
    </row>
    <row r="1447" spans="1:5" x14ac:dyDescent="0.25">
      <c r="A1447" s="1324">
        <v>1446</v>
      </c>
      <c r="B1447" s="974" t="s">
        <v>1401</v>
      </c>
      <c r="C1447" s="1046" t="s">
        <v>2161</v>
      </c>
      <c r="D1447" s="1046" t="s">
        <v>1410</v>
      </c>
      <c r="E1447" s="1043" t="s">
        <v>769</v>
      </c>
    </row>
    <row r="1448" spans="1:5" x14ac:dyDescent="0.25">
      <c r="A1448" s="1324">
        <v>1447</v>
      </c>
      <c r="B1448" s="974" t="s">
        <v>1401</v>
      </c>
      <c r="C1448" s="1046" t="s">
        <v>2161</v>
      </c>
      <c r="D1448" s="1046" t="s">
        <v>1410</v>
      </c>
      <c r="E1448" s="1043" t="s">
        <v>204</v>
      </c>
    </row>
    <row r="1449" spans="1:5" x14ac:dyDescent="0.25">
      <c r="A1449" s="1324">
        <v>1448</v>
      </c>
      <c r="B1449" s="974" t="s">
        <v>1401</v>
      </c>
      <c r="C1449" s="1046" t="s">
        <v>2162</v>
      </c>
      <c r="D1449" s="1046" t="s">
        <v>1429</v>
      </c>
      <c r="E1449" s="1043" t="s">
        <v>1178</v>
      </c>
    </row>
    <row r="1450" spans="1:5" x14ac:dyDescent="0.25">
      <c r="A1450" s="1324">
        <v>1449</v>
      </c>
      <c r="B1450" s="974" t="s">
        <v>870</v>
      </c>
      <c r="C1450" s="1046" t="s">
        <v>2162</v>
      </c>
      <c r="D1450" s="1046" t="s">
        <v>1410</v>
      </c>
      <c r="E1450" s="1043" t="s">
        <v>1182</v>
      </c>
    </row>
    <row r="1451" spans="1:5" x14ac:dyDescent="0.25">
      <c r="A1451" s="1324">
        <v>1450</v>
      </c>
      <c r="B1451" s="974" t="s">
        <v>1401</v>
      </c>
      <c r="C1451" s="1046" t="s">
        <v>2162</v>
      </c>
      <c r="D1451" s="1046" t="s">
        <v>1410</v>
      </c>
      <c r="E1451" s="1043" t="s">
        <v>766</v>
      </c>
    </row>
    <row r="1452" spans="1:5" x14ac:dyDescent="0.25">
      <c r="A1452" s="1324">
        <v>1451</v>
      </c>
      <c r="B1452" s="974" t="s">
        <v>870</v>
      </c>
      <c r="C1452" s="1046" t="s">
        <v>2162</v>
      </c>
      <c r="D1452" s="1046" t="s">
        <v>1410</v>
      </c>
      <c r="E1452" s="1045" t="s">
        <v>1262</v>
      </c>
    </row>
    <row r="1453" spans="1:5" ht="30" x14ac:dyDescent="0.25">
      <c r="A1453" s="1324">
        <v>1452</v>
      </c>
      <c r="B1453" s="974" t="s">
        <v>870</v>
      </c>
      <c r="C1453" s="1046" t="s">
        <v>2162</v>
      </c>
      <c r="D1453" s="1046" t="s">
        <v>1410</v>
      </c>
      <c r="E1453" s="1045" t="s">
        <v>1263</v>
      </c>
    </row>
    <row r="1454" spans="1:5" x14ac:dyDescent="0.25">
      <c r="A1454" s="1324">
        <v>1453</v>
      </c>
      <c r="B1454" s="974" t="s">
        <v>870</v>
      </c>
      <c r="C1454" s="1046" t="s">
        <v>2162</v>
      </c>
      <c r="D1454" s="1046" t="s">
        <v>1410</v>
      </c>
      <c r="E1454" s="1045" t="s">
        <v>1185</v>
      </c>
    </row>
    <row r="1455" spans="1:5" x14ac:dyDescent="0.25">
      <c r="A1455" s="1324">
        <v>1454</v>
      </c>
      <c r="B1455" s="974" t="s">
        <v>870</v>
      </c>
      <c r="C1455" s="1046" t="s">
        <v>2162</v>
      </c>
      <c r="D1455" s="1046" t="s">
        <v>1410</v>
      </c>
      <c r="E1455" s="1045" t="s">
        <v>1186</v>
      </c>
    </row>
    <row r="1456" spans="1:5" x14ac:dyDescent="0.25">
      <c r="A1456" s="1324">
        <v>1455</v>
      </c>
      <c r="B1456" s="974" t="s">
        <v>870</v>
      </c>
      <c r="C1456" s="1046" t="s">
        <v>2162</v>
      </c>
      <c r="D1456" s="1046" t="s">
        <v>1410</v>
      </c>
      <c r="E1456" s="1045" t="s">
        <v>1187</v>
      </c>
    </row>
    <row r="1457" spans="1:5" x14ac:dyDescent="0.25">
      <c r="A1457" s="1324">
        <v>1456</v>
      </c>
      <c r="B1457" s="974" t="s">
        <v>870</v>
      </c>
      <c r="C1457" s="1046" t="s">
        <v>2162</v>
      </c>
      <c r="D1457" s="1046" t="s">
        <v>1410</v>
      </c>
      <c r="E1457" s="1045" t="s">
        <v>1188</v>
      </c>
    </row>
    <row r="1458" spans="1:5" x14ac:dyDescent="0.25">
      <c r="A1458" s="1324">
        <v>1457</v>
      </c>
      <c r="B1458" s="974" t="s">
        <v>870</v>
      </c>
      <c r="C1458" s="1046" t="s">
        <v>2162</v>
      </c>
      <c r="D1458" s="1046" t="s">
        <v>1410</v>
      </c>
      <c r="E1458" s="1045" t="s">
        <v>1189</v>
      </c>
    </row>
    <row r="1459" spans="1:5" x14ac:dyDescent="0.25">
      <c r="A1459" s="1324">
        <v>1458</v>
      </c>
      <c r="B1459" s="974" t="s">
        <v>870</v>
      </c>
      <c r="C1459" s="1046" t="s">
        <v>2162</v>
      </c>
      <c r="D1459" s="1046" t="s">
        <v>1410</v>
      </c>
      <c r="E1459" s="1045" t="s">
        <v>1428</v>
      </c>
    </row>
    <row r="1460" spans="1:5" x14ac:dyDescent="0.25">
      <c r="A1460" s="1324">
        <v>1459</v>
      </c>
      <c r="B1460" s="974" t="s">
        <v>870</v>
      </c>
      <c r="C1460" s="1046" t="s">
        <v>2162</v>
      </c>
      <c r="D1460" s="1046" t="s">
        <v>1410</v>
      </c>
      <c r="E1460" s="1045" t="s">
        <v>1631</v>
      </c>
    </row>
    <row r="1461" spans="1:5" x14ac:dyDescent="0.25">
      <c r="A1461" s="1324">
        <v>1460</v>
      </c>
      <c r="B1461" s="974" t="s">
        <v>1401</v>
      </c>
      <c r="C1461" s="1046" t="s">
        <v>2162</v>
      </c>
      <c r="D1461" s="1046" t="s">
        <v>1429</v>
      </c>
      <c r="E1461" s="1043" t="s">
        <v>765</v>
      </c>
    </row>
    <row r="1462" spans="1:5" x14ac:dyDescent="0.25">
      <c r="A1462" s="1324">
        <v>1461</v>
      </c>
      <c r="B1462" s="974" t="s">
        <v>1401</v>
      </c>
      <c r="C1462" s="1046" t="s">
        <v>2162</v>
      </c>
      <c r="D1462" s="1046" t="s">
        <v>1429</v>
      </c>
      <c r="E1462" s="1043" t="s">
        <v>1179</v>
      </c>
    </row>
    <row r="1463" spans="1:5" x14ac:dyDescent="0.25">
      <c r="A1463" s="1324">
        <v>1462</v>
      </c>
      <c r="B1463" s="974" t="s">
        <v>1401</v>
      </c>
      <c r="C1463" s="1046" t="s">
        <v>2162</v>
      </c>
      <c r="D1463" s="1046" t="s">
        <v>1410</v>
      </c>
      <c r="E1463" s="1043" t="s">
        <v>1180</v>
      </c>
    </row>
    <row r="1464" spans="1:5" x14ac:dyDescent="0.25">
      <c r="A1464" s="1324">
        <v>1463</v>
      </c>
      <c r="B1464" s="974" t="s">
        <v>1401</v>
      </c>
      <c r="C1464" s="1046" t="s">
        <v>2162</v>
      </c>
      <c r="D1464" s="1046" t="s">
        <v>1410</v>
      </c>
      <c r="E1464" s="1043" t="s">
        <v>1367</v>
      </c>
    </row>
    <row r="1465" spans="1:5" x14ac:dyDescent="0.25">
      <c r="A1465" s="1324">
        <v>1464</v>
      </c>
      <c r="B1465" s="974" t="s">
        <v>1401</v>
      </c>
      <c r="C1465" s="1046" t="s">
        <v>2162</v>
      </c>
      <c r="D1465" s="1046" t="s">
        <v>1410</v>
      </c>
      <c r="E1465" s="1043" t="s">
        <v>1297</v>
      </c>
    </row>
    <row r="1466" spans="1:5" x14ac:dyDescent="0.25">
      <c r="A1466" s="1324">
        <v>1465</v>
      </c>
      <c r="B1466" s="974" t="s">
        <v>1401</v>
      </c>
      <c r="C1466" s="1046" t="s">
        <v>2162</v>
      </c>
      <c r="D1466" s="1046" t="s">
        <v>1410</v>
      </c>
      <c r="E1466" s="1043" t="s">
        <v>767</v>
      </c>
    </row>
    <row r="1467" spans="1:5" x14ac:dyDescent="0.25">
      <c r="A1467" s="1324">
        <v>1466</v>
      </c>
      <c r="B1467" s="974" t="s">
        <v>1401</v>
      </c>
      <c r="C1467" s="1046" t="s">
        <v>2162</v>
      </c>
      <c r="D1467" s="1046" t="s">
        <v>1410</v>
      </c>
      <c r="E1467" s="1043" t="s">
        <v>768</v>
      </c>
    </row>
    <row r="1468" spans="1:5" x14ac:dyDescent="0.25">
      <c r="A1468" s="1324">
        <v>1467</v>
      </c>
      <c r="B1468" s="974" t="s">
        <v>1401</v>
      </c>
      <c r="C1468" s="1046" t="s">
        <v>2162</v>
      </c>
      <c r="D1468" s="1046" t="s">
        <v>1410</v>
      </c>
      <c r="E1468" s="1043" t="s">
        <v>769</v>
      </c>
    </row>
    <row r="1469" spans="1:5" x14ac:dyDescent="0.25">
      <c r="A1469" s="1324">
        <v>1468</v>
      </c>
      <c r="B1469" s="974" t="s">
        <v>1401</v>
      </c>
      <c r="C1469" s="1046" t="s">
        <v>2162</v>
      </c>
      <c r="D1469" s="1046" t="s">
        <v>1410</v>
      </c>
      <c r="E1469" s="1043" t="s">
        <v>204</v>
      </c>
    </row>
    <row r="1470" spans="1:5" x14ac:dyDescent="0.25">
      <c r="A1470" s="1324">
        <v>1469</v>
      </c>
      <c r="B1470" s="974" t="s">
        <v>1401</v>
      </c>
      <c r="C1470" s="1046" t="s">
        <v>2163</v>
      </c>
      <c r="D1470" s="1046" t="s">
        <v>1410</v>
      </c>
      <c r="E1470" s="1043" t="s">
        <v>1178</v>
      </c>
    </row>
    <row r="1471" spans="1:5" x14ac:dyDescent="0.25">
      <c r="A1471" s="1324">
        <v>1470</v>
      </c>
      <c r="B1471" s="974" t="s">
        <v>870</v>
      </c>
      <c r="C1471" s="1046" t="s">
        <v>2163</v>
      </c>
      <c r="D1471" s="1046" t="s">
        <v>1410</v>
      </c>
      <c r="E1471" s="1043" t="s">
        <v>1182</v>
      </c>
    </row>
    <row r="1472" spans="1:5" x14ac:dyDescent="0.25">
      <c r="A1472" s="1324">
        <v>1471</v>
      </c>
      <c r="B1472" s="974" t="s">
        <v>1401</v>
      </c>
      <c r="C1472" s="1046" t="s">
        <v>2163</v>
      </c>
      <c r="D1472" s="1046" t="s">
        <v>1410</v>
      </c>
      <c r="E1472" s="1043" t="s">
        <v>766</v>
      </c>
    </row>
    <row r="1473" spans="1:5" x14ac:dyDescent="0.25">
      <c r="A1473" s="1324">
        <v>1472</v>
      </c>
      <c r="B1473" s="974" t="s">
        <v>870</v>
      </c>
      <c r="C1473" s="1046" t="s">
        <v>2163</v>
      </c>
      <c r="D1473" s="1046" t="s">
        <v>1410</v>
      </c>
      <c r="E1473" s="1045" t="s">
        <v>1262</v>
      </c>
    </row>
    <row r="1474" spans="1:5" ht="30" x14ac:dyDescent="0.25">
      <c r="A1474" s="1324">
        <v>1473</v>
      </c>
      <c r="B1474" s="974" t="s">
        <v>870</v>
      </c>
      <c r="C1474" s="1046" t="s">
        <v>2163</v>
      </c>
      <c r="D1474" s="1046" t="s">
        <v>1410</v>
      </c>
      <c r="E1474" s="1045" t="s">
        <v>1263</v>
      </c>
    </row>
    <row r="1475" spans="1:5" x14ac:dyDescent="0.25">
      <c r="A1475" s="1324">
        <v>1474</v>
      </c>
      <c r="B1475" s="974" t="s">
        <v>870</v>
      </c>
      <c r="C1475" s="1046" t="s">
        <v>2163</v>
      </c>
      <c r="D1475" s="1046" t="s">
        <v>1410</v>
      </c>
      <c r="E1475" s="1045" t="s">
        <v>1185</v>
      </c>
    </row>
    <row r="1476" spans="1:5" x14ac:dyDescent="0.25">
      <c r="A1476" s="1324">
        <v>1475</v>
      </c>
      <c r="B1476" s="974" t="s">
        <v>870</v>
      </c>
      <c r="C1476" s="1046" t="s">
        <v>2163</v>
      </c>
      <c r="D1476" s="1046" t="s">
        <v>1410</v>
      </c>
      <c r="E1476" s="1045" t="s">
        <v>1186</v>
      </c>
    </row>
    <row r="1477" spans="1:5" x14ac:dyDescent="0.25">
      <c r="A1477" s="1324">
        <v>1476</v>
      </c>
      <c r="B1477" s="974" t="s">
        <v>870</v>
      </c>
      <c r="C1477" s="1046" t="s">
        <v>2163</v>
      </c>
      <c r="D1477" s="1046" t="s">
        <v>1410</v>
      </c>
      <c r="E1477" s="1045" t="s">
        <v>1187</v>
      </c>
    </row>
    <row r="1478" spans="1:5" x14ac:dyDescent="0.25">
      <c r="A1478" s="1324">
        <v>1477</v>
      </c>
      <c r="B1478" s="974" t="s">
        <v>870</v>
      </c>
      <c r="C1478" s="1046" t="s">
        <v>2163</v>
      </c>
      <c r="D1478" s="1046" t="s">
        <v>1410</v>
      </c>
      <c r="E1478" s="1045" t="s">
        <v>1188</v>
      </c>
    </row>
    <row r="1479" spans="1:5" x14ac:dyDescent="0.25">
      <c r="A1479" s="1324">
        <v>1478</v>
      </c>
      <c r="B1479" s="974" t="s">
        <v>870</v>
      </c>
      <c r="C1479" s="1046" t="s">
        <v>2163</v>
      </c>
      <c r="D1479" s="1046" t="s">
        <v>1410</v>
      </c>
      <c r="E1479" s="1045" t="s">
        <v>1189</v>
      </c>
    </row>
    <row r="1480" spans="1:5" x14ac:dyDescent="0.25">
      <c r="A1480" s="1324">
        <v>1479</v>
      </c>
      <c r="B1480" s="974" t="s">
        <v>870</v>
      </c>
      <c r="C1480" s="1046" t="s">
        <v>2163</v>
      </c>
      <c r="D1480" s="1046" t="s">
        <v>1410</v>
      </c>
      <c r="E1480" s="1045" t="s">
        <v>1428</v>
      </c>
    </row>
    <row r="1481" spans="1:5" x14ac:dyDescent="0.25">
      <c r="A1481" s="1324">
        <v>1480</v>
      </c>
      <c r="B1481" s="974" t="s">
        <v>870</v>
      </c>
      <c r="C1481" s="1046" t="s">
        <v>2163</v>
      </c>
      <c r="D1481" s="1046" t="s">
        <v>1410</v>
      </c>
      <c r="E1481" s="1045" t="s">
        <v>1631</v>
      </c>
    </row>
    <row r="1482" spans="1:5" x14ac:dyDescent="0.25">
      <c r="A1482" s="1324">
        <v>1481</v>
      </c>
      <c r="B1482" s="974" t="s">
        <v>1401</v>
      </c>
      <c r="C1482" s="1046" t="s">
        <v>2163</v>
      </c>
      <c r="D1482" s="1046" t="s">
        <v>1429</v>
      </c>
      <c r="E1482" s="1043" t="s">
        <v>765</v>
      </c>
    </row>
    <row r="1483" spans="1:5" x14ac:dyDescent="0.25">
      <c r="A1483" s="1324">
        <v>1482</v>
      </c>
      <c r="B1483" s="974" t="s">
        <v>1401</v>
      </c>
      <c r="C1483" s="1046" t="s">
        <v>2163</v>
      </c>
      <c r="D1483" s="1046" t="s">
        <v>1429</v>
      </c>
      <c r="E1483" s="1043" t="s">
        <v>1179</v>
      </c>
    </row>
    <row r="1484" spans="1:5" x14ac:dyDescent="0.25">
      <c r="A1484" s="1324">
        <v>1483</v>
      </c>
      <c r="B1484" s="974" t="s">
        <v>1401</v>
      </c>
      <c r="C1484" s="1046" t="s">
        <v>2163</v>
      </c>
      <c r="D1484" s="1046" t="s">
        <v>1410</v>
      </c>
      <c r="E1484" s="1043" t="s">
        <v>1180</v>
      </c>
    </row>
    <row r="1485" spans="1:5" x14ac:dyDescent="0.25">
      <c r="A1485" s="1324">
        <v>1484</v>
      </c>
      <c r="B1485" s="974" t="s">
        <v>1401</v>
      </c>
      <c r="C1485" s="1046" t="s">
        <v>2163</v>
      </c>
      <c r="D1485" s="1046" t="s">
        <v>1410</v>
      </c>
      <c r="E1485" s="1043" t="s">
        <v>1367</v>
      </c>
    </row>
    <row r="1486" spans="1:5" x14ac:dyDescent="0.25">
      <c r="A1486" s="1324">
        <v>1485</v>
      </c>
      <c r="B1486" s="974" t="s">
        <v>1401</v>
      </c>
      <c r="C1486" s="1046" t="s">
        <v>2163</v>
      </c>
      <c r="D1486" s="1046" t="s">
        <v>1410</v>
      </c>
      <c r="E1486" s="1043" t="s">
        <v>1297</v>
      </c>
    </row>
    <row r="1487" spans="1:5" x14ac:dyDescent="0.25">
      <c r="A1487" s="1324">
        <v>1486</v>
      </c>
      <c r="B1487" s="974" t="s">
        <v>1401</v>
      </c>
      <c r="C1487" s="1046" t="s">
        <v>2163</v>
      </c>
      <c r="D1487" s="1046" t="s">
        <v>1410</v>
      </c>
      <c r="E1487" s="1043" t="s">
        <v>767</v>
      </c>
    </row>
    <row r="1488" spans="1:5" x14ac:dyDescent="0.25">
      <c r="A1488" s="1324">
        <v>1487</v>
      </c>
      <c r="B1488" s="974" t="s">
        <v>1401</v>
      </c>
      <c r="C1488" s="1046" t="s">
        <v>2163</v>
      </c>
      <c r="D1488" s="1046" t="s">
        <v>1410</v>
      </c>
      <c r="E1488" s="1043" t="s">
        <v>768</v>
      </c>
    </row>
    <row r="1489" spans="1:5" x14ac:dyDescent="0.25">
      <c r="A1489" s="1324">
        <v>1488</v>
      </c>
      <c r="B1489" s="974" t="s">
        <v>1401</v>
      </c>
      <c r="C1489" s="1046" t="s">
        <v>2163</v>
      </c>
      <c r="D1489" s="1046" t="s">
        <v>1410</v>
      </c>
      <c r="E1489" s="1043" t="s">
        <v>769</v>
      </c>
    </row>
    <row r="1490" spans="1:5" x14ac:dyDescent="0.25">
      <c r="A1490" s="1324">
        <v>1489</v>
      </c>
      <c r="B1490" s="974" t="s">
        <v>1401</v>
      </c>
      <c r="C1490" s="1046" t="s">
        <v>2163</v>
      </c>
      <c r="D1490" s="1046" t="s">
        <v>1410</v>
      </c>
      <c r="E1490" s="1043" t="s">
        <v>204</v>
      </c>
    </row>
    <row r="1491" spans="1:5" x14ac:dyDescent="0.25">
      <c r="A1491" s="1324">
        <v>1490</v>
      </c>
      <c r="B1491" s="974" t="s">
        <v>1401</v>
      </c>
      <c r="C1491" s="1046" t="s">
        <v>2164</v>
      </c>
      <c r="D1491" s="1046" t="s">
        <v>1410</v>
      </c>
      <c r="E1491" s="1043" t="s">
        <v>1178</v>
      </c>
    </row>
    <row r="1492" spans="1:5" x14ac:dyDescent="0.25">
      <c r="A1492" s="1324">
        <v>1491</v>
      </c>
      <c r="B1492" s="974" t="s">
        <v>870</v>
      </c>
      <c r="C1492" s="1046" t="s">
        <v>2164</v>
      </c>
      <c r="D1492" s="1046" t="s">
        <v>1410</v>
      </c>
      <c r="E1492" s="1043" t="s">
        <v>1182</v>
      </c>
    </row>
    <row r="1493" spans="1:5" x14ac:dyDescent="0.25">
      <c r="A1493" s="1324">
        <v>1492</v>
      </c>
      <c r="B1493" s="974" t="s">
        <v>1401</v>
      </c>
      <c r="C1493" s="1046" t="s">
        <v>2164</v>
      </c>
      <c r="D1493" s="1046" t="s">
        <v>1410</v>
      </c>
      <c r="E1493" s="1043" t="s">
        <v>766</v>
      </c>
    </row>
    <row r="1494" spans="1:5" x14ac:dyDescent="0.25">
      <c r="A1494" s="1324">
        <v>1493</v>
      </c>
      <c r="B1494" s="974" t="s">
        <v>870</v>
      </c>
      <c r="C1494" s="1046" t="s">
        <v>2164</v>
      </c>
      <c r="D1494" s="1046" t="s">
        <v>1410</v>
      </c>
      <c r="E1494" s="1045" t="s">
        <v>1262</v>
      </c>
    </row>
    <row r="1495" spans="1:5" ht="30" x14ac:dyDescent="0.25">
      <c r="A1495" s="1324">
        <v>1494</v>
      </c>
      <c r="B1495" s="974" t="s">
        <v>870</v>
      </c>
      <c r="C1495" s="1046" t="s">
        <v>2164</v>
      </c>
      <c r="D1495" s="1046" t="s">
        <v>1410</v>
      </c>
      <c r="E1495" s="1045" t="s">
        <v>1263</v>
      </c>
    </row>
    <row r="1496" spans="1:5" x14ac:dyDescent="0.25">
      <c r="A1496" s="1324">
        <v>1495</v>
      </c>
      <c r="B1496" s="974" t="s">
        <v>870</v>
      </c>
      <c r="C1496" s="1046" t="s">
        <v>2164</v>
      </c>
      <c r="D1496" s="1046" t="s">
        <v>1410</v>
      </c>
      <c r="E1496" s="1045" t="s">
        <v>1185</v>
      </c>
    </row>
    <row r="1497" spans="1:5" x14ac:dyDescent="0.25">
      <c r="A1497" s="1324">
        <v>1496</v>
      </c>
      <c r="B1497" s="974" t="s">
        <v>870</v>
      </c>
      <c r="C1497" s="1046" t="s">
        <v>2164</v>
      </c>
      <c r="D1497" s="1046" t="s">
        <v>1410</v>
      </c>
      <c r="E1497" s="1045" t="s">
        <v>1186</v>
      </c>
    </row>
    <row r="1498" spans="1:5" x14ac:dyDescent="0.25">
      <c r="A1498" s="1324">
        <v>1497</v>
      </c>
      <c r="B1498" s="974" t="s">
        <v>870</v>
      </c>
      <c r="C1498" s="1046" t="s">
        <v>2164</v>
      </c>
      <c r="D1498" s="1046" t="s">
        <v>1410</v>
      </c>
      <c r="E1498" s="1045" t="s">
        <v>1187</v>
      </c>
    </row>
    <row r="1499" spans="1:5" x14ac:dyDescent="0.25">
      <c r="A1499" s="1324">
        <v>1498</v>
      </c>
      <c r="B1499" s="974" t="s">
        <v>870</v>
      </c>
      <c r="C1499" s="1046" t="s">
        <v>2164</v>
      </c>
      <c r="D1499" s="1046" t="s">
        <v>1410</v>
      </c>
      <c r="E1499" s="1045" t="s">
        <v>1188</v>
      </c>
    </row>
    <row r="1500" spans="1:5" x14ac:dyDescent="0.25">
      <c r="A1500" s="1324">
        <v>1499</v>
      </c>
      <c r="B1500" s="974" t="s">
        <v>870</v>
      </c>
      <c r="C1500" s="1046" t="s">
        <v>2164</v>
      </c>
      <c r="D1500" s="1046" t="s">
        <v>1410</v>
      </c>
      <c r="E1500" s="1045" t="s">
        <v>1189</v>
      </c>
    </row>
    <row r="1501" spans="1:5" x14ac:dyDescent="0.25">
      <c r="A1501" s="1324">
        <v>1500</v>
      </c>
      <c r="B1501" s="974" t="s">
        <v>870</v>
      </c>
      <c r="C1501" s="1046" t="s">
        <v>2164</v>
      </c>
      <c r="D1501" s="1046" t="s">
        <v>1410</v>
      </c>
      <c r="E1501" s="1045" t="s">
        <v>1428</v>
      </c>
    </row>
    <row r="1502" spans="1:5" x14ac:dyDescent="0.25">
      <c r="A1502" s="1324">
        <v>1501</v>
      </c>
      <c r="B1502" s="974" t="s">
        <v>870</v>
      </c>
      <c r="C1502" s="1046" t="s">
        <v>2164</v>
      </c>
      <c r="D1502" s="1046" t="s">
        <v>1410</v>
      </c>
      <c r="E1502" s="1045" t="s">
        <v>1631</v>
      </c>
    </row>
    <row r="1503" spans="1:5" x14ac:dyDescent="0.25">
      <c r="A1503" s="1324">
        <v>1502</v>
      </c>
      <c r="B1503" s="974" t="s">
        <v>1401</v>
      </c>
      <c r="C1503" s="1046" t="s">
        <v>2164</v>
      </c>
      <c r="D1503" s="1046" t="s">
        <v>1429</v>
      </c>
      <c r="E1503" s="1043" t="s">
        <v>765</v>
      </c>
    </row>
    <row r="1504" spans="1:5" x14ac:dyDescent="0.25">
      <c r="A1504" s="1324">
        <v>1503</v>
      </c>
      <c r="B1504" s="974" t="s">
        <v>1401</v>
      </c>
      <c r="C1504" s="1046" t="s">
        <v>2164</v>
      </c>
      <c r="D1504" s="1046" t="s">
        <v>1429</v>
      </c>
      <c r="E1504" s="1043" t="s">
        <v>1179</v>
      </c>
    </row>
    <row r="1505" spans="1:5" x14ac:dyDescent="0.25">
      <c r="A1505" s="1324">
        <v>1504</v>
      </c>
      <c r="B1505" s="974" t="s">
        <v>1401</v>
      </c>
      <c r="C1505" s="1046" t="s">
        <v>2164</v>
      </c>
      <c r="D1505" s="1046" t="s">
        <v>1410</v>
      </c>
      <c r="E1505" s="1043" t="s">
        <v>1180</v>
      </c>
    </row>
    <row r="1506" spans="1:5" x14ac:dyDescent="0.25">
      <c r="A1506" s="1324">
        <v>1505</v>
      </c>
      <c r="B1506" s="974" t="s">
        <v>1401</v>
      </c>
      <c r="C1506" s="1046" t="s">
        <v>2164</v>
      </c>
      <c r="D1506" s="1046" t="s">
        <v>1410</v>
      </c>
      <c r="E1506" s="1043" t="s">
        <v>1367</v>
      </c>
    </row>
    <row r="1507" spans="1:5" x14ac:dyDescent="0.25">
      <c r="A1507" s="1324">
        <v>1506</v>
      </c>
      <c r="B1507" s="974" t="s">
        <v>1401</v>
      </c>
      <c r="C1507" s="1046" t="s">
        <v>2164</v>
      </c>
      <c r="D1507" s="1046" t="s">
        <v>1410</v>
      </c>
      <c r="E1507" s="1043" t="s">
        <v>1297</v>
      </c>
    </row>
    <row r="1508" spans="1:5" x14ac:dyDescent="0.25">
      <c r="A1508" s="1324">
        <v>1507</v>
      </c>
      <c r="B1508" s="974" t="s">
        <v>1401</v>
      </c>
      <c r="C1508" s="1046" t="s">
        <v>2164</v>
      </c>
      <c r="D1508" s="1046" t="s">
        <v>1410</v>
      </c>
      <c r="E1508" s="1043" t="s">
        <v>767</v>
      </c>
    </row>
    <row r="1509" spans="1:5" x14ac:dyDescent="0.25">
      <c r="A1509" s="1324">
        <v>1508</v>
      </c>
      <c r="B1509" s="974" t="s">
        <v>1401</v>
      </c>
      <c r="C1509" s="1046" t="s">
        <v>2164</v>
      </c>
      <c r="D1509" s="1046" t="s">
        <v>1410</v>
      </c>
      <c r="E1509" s="1043" t="s">
        <v>768</v>
      </c>
    </row>
    <row r="1510" spans="1:5" x14ac:dyDescent="0.25">
      <c r="A1510" s="1324">
        <v>1509</v>
      </c>
      <c r="B1510" s="974" t="s">
        <v>1401</v>
      </c>
      <c r="C1510" s="1046" t="s">
        <v>2164</v>
      </c>
      <c r="D1510" s="1046" t="s">
        <v>1410</v>
      </c>
      <c r="E1510" s="1043" t="s">
        <v>769</v>
      </c>
    </row>
    <row r="1511" spans="1:5" x14ac:dyDescent="0.25">
      <c r="A1511" s="1324">
        <v>1510</v>
      </c>
      <c r="B1511" s="974" t="s">
        <v>1401</v>
      </c>
      <c r="C1511" s="1046" t="s">
        <v>2164</v>
      </c>
      <c r="D1511" s="1046" t="s">
        <v>1410</v>
      </c>
      <c r="E1511" s="1043" t="s">
        <v>204</v>
      </c>
    </row>
    <row r="1512" spans="1:5" x14ac:dyDescent="0.25">
      <c r="A1512" s="1324">
        <v>1511</v>
      </c>
      <c r="B1512" s="974" t="s">
        <v>1401</v>
      </c>
      <c r="C1512" s="1046" t="s">
        <v>2165</v>
      </c>
      <c r="D1512" s="1046" t="s">
        <v>1410</v>
      </c>
      <c r="E1512" s="1043" t="s">
        <v>1178</v>
      </c>
    </row>
    <row r="1513" spans="1:5" x14ac:dyDescent="0.25">
      <c r="A1513" s="1324">
        <v>1512</v>
      </c>
      <c r="B1513" s="974" t="s">
        <v>870</v>
      </c>
      <c r="C1513" s="1046" t="s">
        <v>2165</v>
      </c>
      <c r="D1513" s="1046" t="s">
        <v>1410</v>
      </c>
      <c r="E1513" s="1043" t="s">
        <v>1182</v>
      </c>
    </row>
    <row r="1514" spans="1:5" x14ac:dyDescent="0.25">
      <c r="A1514" s="1324">
        <v>1513</v>
      </c>
      <c r="B1514" s="974" t="s">
        <v>1401</v>
      </c>
      <c r="C1514" s="1046" t="s">
        <v>2165</v>
      </c>
      <c r="D1514" s="1046" t="s">
        <v>1410</v>
      </c>
      <c r="E1514" s="1043" t="s">
        <v>766</v>
      </c>
    </row>
    <row r="1515" spans="1:5" x14ac:dyDescent="0.25">
      <c r="A1515" s="1324">
        <v>1514</v>
      </c>
      <c r="B1515" s="974" t="s">
        <v>870</v>
      </c>
      <c r="C1515" s="1046" t="s">
        <v>2165</v>
      </c>
      <c r="D1515" s="1046" t="s">
        <v>1410</v>
      </c>
      <c r="E1515" s="1045" t="s">
        <v>1262</v>
      </c>
    </row>
    <row r="1516" spans="1:5" ht="30" x14ac:dyDescent="0.25">
      <c r="A1516" s="1324">
        <v>1515</v>
      </c>
      <c r="B1516" s="974" t="s">
        <v>870</v>
      </c>
      <c r="C1516" s="1046" t="s">
        <v>2165</v>
      </c>
      <c r="D1516" s="1046" t="s">
        <v>1410</v>
      </c>
      <c r="E1516" s="1045" t="s">
        <v>1263</v>
      </c>
    </row>
    <row r="1517" spans="1:5" x14ac:dyDescent="0.25">
      <c r="A1517" s="1324">
        <v>1516</v>
      </c>
      <c r="B1517" s="974" t="s">
        <v>870</v>
      </c>
      <c r="C1517" s="1046" t="s">
        <v>2165</v>
      </c>
      <c r="D1517" s="1046" t="s">
        <v>1410</v>
      </c>
      <c r="E1517" s="1045" t="s">
        <v>1185</v>
      </c>
    </row>
    <row r="1518" spans="1:5" x14ac:dyDescent="0.25">
      <c r="A1518" s="1324">
        <v>1517</v>
      </c>
      <c r="B1518" s="974" t="s">
        <v>870</v>
      </c>
      <c r="C1518" s="1046" t="s">
        <v>2165</v>
      </c>
      <c r="D1518" s="1046" t="s">
        <v>1410</v>
      </c>
      <c r="E1518" s="1045" t="s">
        <v>1186</v>
      </c>
    </row>
    <row r="1519" spans="1:5" x14ac:dyDescent="0.25">
      <c r="A1519" s="1324">
        <v>1518</v>
      </c>
      <c r="B1519" s="974" t="s">
        <v>870</v>
      </c>
      <c r="C1519" s="1046" t="s">
        <v>2165</v>
      </c>
      <c r="D1519" s="1046" t="s">
        <v>1410</v>
      </c>
      <c r="E1519" s="1045" t="s">
        <v>1187</v>
      </c>
    </row>
    <row r="1520" spans="1:5" x14ac:dyDescent="0.25">
      <c r="A1520" s="1324">
        <v>1519</v>
      </c>
      <c r="B1520" s="974" t="s">
        <v>870</v>
      </c>
      <c r="C1520" s="1046" t="s">
        <v>2165</v>
      </c>
      <c r="D1520" s="1046" t="s">
        <v>1410</v>
      </c>
      <c r="E1520" s="1045" t="s">
        <v>1188</v>
      </c>
    </row>
    <row r="1521" spans="1:5" x14ac:dyDescent="0.25">
      <c r="A1521" s="1324">
        <v>1520</v>
      </c>
      <c r="B1521" s="974" t="s">
        <v>870</v>
      </c>
      <c r="C1521" s="1046" t="s">
        <v>2165</v>
      </c>
      <c r="D1521" s="1046" t="s">
        <v>1410</v>
      </c>
      <c r="E1521" s="1045" t="s">
        <v>1189</v>
      </c>
    </row>
    <row r="1522" spans="1:5" x14ac:dyDescent="0.25">
      <c r="A1522" s="1324">
        <v>1521</v>
      </c>
      <c r="B1522" s="974" t="s">
        <v>870</v>
      </c>
      <c r="C1522" s="1046" t="s">
        <v>2165</v>
      </c>
      <c r="D1522" s="1046" t="s">
        <v>1410</v>
      </c>
      <c r="E1522" s="1045" t="s">
        <v>1428</v>
      </c>
    </row>
    <row r="1523" spans="1:5" x14ac:dyDescent="0.25">
      <c r="A1523" s="1324">
        <v>1522</v>
      </c>
      <c r="B1523" s="974" t="s">
        <v>870</v>
      </c>
      <c r="C1523" s="1046" t="s">
        <v>2165</v>
      </c>
      <c r="D1523" s="1046" t="s">
        <v>1410</v>
      </c>
      <c r="E1523" s="1045" t="s">
        <v>1631</v>
      </c>
    </row>
    <row r="1524" spans="1:5" x14ac:dyDescent="0.25">
      <c r="A1524" s="1324">
        <v>1523</v>
      </c>
      <c r="B1524" s="974" t="s">
        <v>1401</v>
      </c>
      <c r="C1524" s="1046" t="s">
        <v>2165</v>
      </c>
      <c r="D1524" s="1046" t="s">
        <v>1429</v>
      </c>
      <c r="E1524" s="1043" t="s">
        <v>765</v>
      </c>
    </row>
    <row r="1525" spans="1:5" x14ac:dyDescent="0.25">
      <c r="A1525" s="1324">
        <v>1524</v>
      </c>
      <c r="B1525" s="974" t="s">
        <v>1401</v>
      </c>
      <c r="C1525" s="1046" t="s">
        <v>2165</v>
      </c>
      <c r="D1525" s="1046" t="s">
        <v>1429</v>
      </c>
      <c r="E1525" s="1043" t="s">
        <v>1179</v>
      </c>
    </row>
    <row r="1526" spans="1:5" x14ac:dyDescent="0.25">
      <c r="A1526" s="1324">
        <v>1525</v>
      </c>
      <c r="B1526" s="974" t="s">
        <v>1401</v>
      </c>
      <c r="C1526" s="1046" t="s">
        <v>2165</v>
      </c>
      <c r="D1526" s="1046" t="s">
        <v>1410</v>
      </c>
      <c r="E1526" s="1043" t="s">
        <v>1180</v>
      </c>
    </row>
    <row r="1527" spans="1:5" x14ac:dyDescent="0.25">
      <c r="A1527" s="1324">
        <v>1526</v>
      </c>
      <c r="B1527" s="974" t="s">
        <v>1401</v>
      </c>
      <c r="C1527" s="1046" t="s">
        <v>2165</v>
      </c>
      <c r="D1527" s="1046" t="s">
        <v>1410</v>
      </c>
      <c r="E1527" s="1043" t="s">
        <v>1367</v>
      </c>
    </row>
    <row r="1528" spans="1:5" x14ac:dyDescent="0.25">
      <c r="A1528" s="1324">
        <v>1527</v>
      </c>
      <c r="B1528" s="974" t="s">
        <v>1401</v>
      </c>
      <c r="C1528" s="1046" t="s">
        <v>2165</v>
      </c>
      <c r="D1528" s="1046" t="s">
        <v>1410</v>
      </c>
      <c r="E1528" s="1043" t="s">
        <v>1297</v>
      </c>
    </row>
    <row r="1529" spans="1:5" x14ac:dyDescent="0.25">
      <c r="A1529" s="1324">
        <v>1528</v>
      </c>
      <c r="B1529" s="974" t="s">
        <v>1401</v>
      </c>
      <c r="C1529" s="1046" t="s">
        <v>2165</v>
      </c>
      <c r="D1529" s="1046" t="s">
        <v>1410</v>
      </c>
      <c r="E1529" s="1043" t="s">
        <v>767</v>
      </c>
    </row>
    <row r="1530" spans="1:5" x14ac:dyDescent="0.25">
      <c r="A1530" s="1324">
        <v>1529</v>
      </c>
      <c r="B1530" s="974" t="s">
        <v>1401</v>
      </c>
      <c r="C1530" s="1046" t="s">
        <v>2165</v>
      </c>
      <c r="D1530" s="1046" t="s">
        <v>1410</v>
      </c>
      <c r="E1530" s="1043" t="s">
        <v>768</v>
      </c>
    </row>
    <row r="1531" spans="1:5" x14ac:dyDescent="0.25">
      <c r="A1531" s="1324">
        <v>1530</v>
      </c>
      <c r="B1531" s="974" t="s">
        <v>1401</v>
      </c>
      <c r="C1531" s="1046" t="s">
        <v>2165</v>
      </c>
      <c r="D1531" s="1046" t="s">
        <v>1410</v>
      </c>
      <c r="E1531" s="1043" t="s">
        <v>769</v>
      </c>
    </row>
    <row r="1532" spans="1:5" x14ac:dyDescent="0.25">
      <c r="A1532" s="1324">
        <v>1531</v>
      </c>
      <c r="B1532" s="974" t="s">
        <v>1401</v>
      </c>
      <c r="C1532" s="1046" t="s">
        <v>2165</v>
      </c>
      <c r="D1532" s="1046" t="s">
        <v>1410</v>
      </c>
      <c r="E1532" s="1043" t="s">
        <v>204</v>
      </c>
    </row>
    <row r="1533" spans="1:5" x14ac:dyDescent="0.25">
      <c r="A1533" s="1324">
        <v>1532</v>
      </c>
      <c r="B1533" s="974" t="s">
        <v>1401</v>
      </c>
      <c r="C1533" s="1046" t="s">
        <v>2166</v>
      </c>
      <c r="D1533" s="1046" t="s">
        <v>1410</v>
      </c>
      <c r="E1533" s="1043" t="s">
        <v>1178</v>
      </c>
    </row>
    <row r="1534" spans="1:5" x14ac:dyDescent="0.25">
      <c r="A1534" s="1324">
        <v>1533</v>
      </c>
      <c r="B1534" s="974" t="s">
        <v>870</v>
      </c>
      <c r="C1534" s="1046" t="s">
        <v>2166</v>
      </c>
      <c r="D1534" s="1046" t="s">
        <v>1410</v>
      </c>
      <c r="E1534" s="1043" t="s">
        <v>1182</v>
      </c>
    </row>
    <row r="1535" spans="1:5" x14ac:dyDescent="0.25">
      <c r="A1535" s="1324">
        <v>1534</v>
      </c>
      <c r="B1535" s="974" t="s">
        <v>1401</v>
      </c>
      <c r="C1535" s="1046" t="s">
        <v>2166</v>
      </c>
      <c r="D1535" s="1046" t="s">
        <v>1410</v>
      </c>
      <c r="E1535" s="1043" t="s">
        <v>766</v>
      </c>
    </row>
    <row r="1536" spans="1:5" x14ac:dyDescent="0.25">
      <c r="A1536" s="1324">
        <v>1535</v>
      </c>
      <c r="B1536" s="974" t="s">
        <v>870</v>
      </c>
      <c r="C1536" s="1046" t="s">
        <v>2166</v>
      </c>
      <c r="D1536" s="1046" t="s">
        <v>1410</v>
      </c>
      <c r="E1536" s="1045" t="s">
        <v>1262</v>
      </c>
    </row>
    <row r="1537" spans="1:5" ht="30" x14ac:dyDescent="0.25">
      <c r="A1537" s="1324">
        <v>1536</v>
      </c>
      <c r="B1537" s="974" t="s">
        <v>870</v>
      </c>
      <c r="C1537" s="1046" t="s">
        <v>2166</v>
      </c>
      <c r="D1537" s="1046" t="s">
        <v>1410</v>
      </c>
      <c r="E1537" s="1045" t="s">
        <v>1263</v>
      </c>
    </row>
    <row r="1538" spans="1:5" x14ac:dyDescent="0.25">
      <c r="A1538" s="1324">
        <v>1537</v>
      </c>
      <c r="B1538" s="974" t="s">
        <v>870</v>
      </c>
      <c r="C1538" s="1046" t="s">
        <v>2166</v>
      </c>
      <c r="D1538" s="1046" t="s">
        <v>1410</v>
      </c>
      <c r="E1538" s="1045" t="s">
        <v>1185</v>
      </c>
    </row>
    <row r="1539" spans="1:5" x14ac:dyDescent="0.25">
      <c r="A1539" s="1324">
        <v>1538</v>
      </c>
      <c r="B1539" s="974" t="s">
        <v>870</v>
      </c>
      <c r="C1539" s="1046" t="s">
        <v>2166</v>
      </c>
      <c r="D1539" s="1046" t="s">
        <v>1410</v>
      </c>
      <c r="E1539" s="1045" t="s">
        <v>1186</v>
      </c>
    </row>
    <row r="1540" spans="1:5" x14ac:dyDescent="0.25">
      <c r="A1540" s="1324">
        <v>1539</v>
      </c>
      <c r="B1540" s="974" t="s">
        <v>870</v>
      </c>
      <c r="C1540" s="1046" t="s">
        <v>2166</v>
      </c>
      <c r="D1540" s="1046" t="s">
        <v>1410</v>
      </c>
      <c r="E1540" s="1045" t="s">
        <v>1187</v>
      </c>
    </row>
    <row r="1541" spans="1:5" x14ac:dyDescent="0.25">
      <c r="A1541" s="1324">
        <v>1540</v>
      </c>
      <c r="B1541" s="974" t="s">
        <v>870</v>
      </c>
      <c r="C1541" s="1046" t="s">
        <v>2166</v>
      </c>
      <c r="D1541" s="1046" t="s">
        <v>1410</v>
      </c>
      <c r="E1541" s="1045" t="s">
        <v>1188</v>
      </c>
    </row>
    <row r="1542" spans="1:5" x14ac:dyDescent="0.25">
      <c r="A1542" s="1324">
        <v>1541</v>
      </c>
      <c r="B1542" s="974" t="s">
        <v>870</v>
      </c>
      <c r="C1542" s="1046" t="s">
        <v>2166</v>
      </c>
      <c r="D1542" s="1046" t="s">
        <v>1410</v>
      </c>
      <c r="E1542" s="1045" t="s">
        <v>1189</v>
      </c>
    </row>
    <row r="1543" spans="1:5" x14ac:dyDescent="0.25">
      <c r="A1543" s="1324">
        <v>1542</v>
      </c>
      <c r="B1543" s="974" t="s">
        <v>870</v>
      </c>
      <c r="C1543" s="1046" t="s">
        <v>2166</v>
      </c>
      <c r="D1543" s="1046" t="s">
        <v>1410</v>
      </c>
      <c r="E1543" s="1045" t="s">
        <v>1428</v>
      </c>
    </row>
    <row r="1544" spans="1:5" x14ac:dyDescent="0.25">
      <c r="A1544" s="1324">
        <v>1543</v>
      </c>
      <c r="B1544" s="974" t="s">
        <v>870</v>
      </c>
      <c r="C1544" s="1046" t="s">
        <v>2166</v>
      </c>
      <c r="D1544" s="1046" t="s">
        <v>1410</v>
      </c>
      <c r="E1544" s="1045" t="s">
        <v>1631</v>
      </c>
    </row>
    <row r="1545" spans="1:5" x14ac:dyDescent="0.25">
      <c r="A1545" s="1324">
        <v>1544</v>
      </c>
      <c r="B1545" s="974" t="s">
        <v>1401</v>
      </c>
      <c r="C1545" s="1046" t="s">
        <v>2166</v>
      </c>
      <c r="D1545" s="1046" t="s">
        <v>1429</v>
      </c>
      <c r="E1545" s="1043" t="s">
        <v>765</v>
      </c>
    </row>
    <row r="1546" spans="1:5" x14ac:dyDescent="0.25">
      <c r="A1546" s="1324">
        <v>1545</v>
      </c>
      <c r="B1546" s="974" t="s">
        <v>1401</v>
      </c>
      <c r="C1546" s="1046" t="s">
        <v>2166</v>
      </c>
      <c r="D1546" s="1046" t="s">
        <v>1429</v>
      </c>
      <c r="E1546" s="1043" t="s">
        <v>1179</v>
      </c>
    </row>
    <row r="1547" spans="1:5" x14ac:dyDescent="0.25">
      <c r="A1547" s="1324">
        <v>1546</v>
      </c>
      <c r="B1547" s="974" t="s">
        <v>1401</v>
      </c>
      <c r="C1547" s="1046" t="s">
        <v>2166</v>
      </c>
      <c r="D1547" s="1046" t="s">
        <v>1410</v>
      </c>
      <c r="E1547" s="1043" t="s">
        <v>1180</v>
      </c>
    </row>
    <row r="1548" spans="1:5" x14ac:dyDescent="0.25">
      <c r="A1548" s="1324">
        <v>1547</v>
      </c>
      <c r="B1548" s="974" t="s">
        <v>1401</v>
      </c>
      <c r="C1548" s="1046" t="s">
        <v>2166</v>
      </c>
      <c r="D1548" s="1046" t="s">
        <v>1410</v>
      </c>
      <c r="E1548" s="1043" t="s">
        <v>1367</v>
      </c>
    </row>
    <row r="1549" spans="1:5" x14ac:dyDescent="0.25">
      <c r="A1549" s="1324">
        <v>1548</v>
      </c>
      <c r="B1549" s="974" t="s">
        <v>1401</v>
      </c>
      <c r="C1549" s="1046" t="s">
        <v>2166</v>
      </c>
      <c r="D1549" s="1046" t="s">
        <v>1410</v>
      </c>
      <c r="E1549" s="1043" t="s">
        <v>1297</v>
      </c>
    </row>
    <row r="1550" spans="1:5" x14ac:dyDescent="0.25">
      <c r="A1550" s="1324">
        <v>1549</v>
      </c>
      <c r="B1550" s="974" t="s">
        <v>1401</v>
      </c>
      <c r="C1550" s="1046" t="s">
        <v>2166</v>
      </c>
      <c r="D1550" s="1046" t="s">
        <v>1410</v>
      </c>
      <c r="E1550" s="1043" t="s">
        <v>767</v>
      </c>
    </row>
    <row r="1551" spans="1:5" x14ac:dyDescent="0.25">
      <c r="A1551" s="1324">
        <v>1550</v>
      </c>
      <c r="B1551" s="974" t="s">
        <v>1401</v>
      </c>
      <c r="C1551" s="1046" t="s">
        <v>2166</v>
      </c>
      <c r="D1551" s="1046" t="s">
        <v>1410</v>
      </c>
      <c r="E1551" s="1043" t="s">
        <v>768</v>
      </c>
    </row>
    <row r="1552" spans="1:5" x14ac:dyDescent="0.25">
      <c r="A1552" s="1324">
        <v>1551</v>
      </c>
      <c r="B1552" s="974" t="s">
        <v>1401</v>
      </c>
      <c r="C1552" s="1046" t="s">
        <v>2166</v>
      </c>
      <c r="D1552" s="1046" t="s">
        <v>1410</v>
      </c>
      <c r="E1552" s="1043" t="s">
        <v>769</v>
      </c>
    </row>
    <row r="1553" spans="1:5" x14ac:dyDescent="0.25">
      <c r="A1553" s="1324">
        <v>1552</v>
      </c>
      <c r="B1553" s="974" t="s">
        <v>1401</v>
      </c>
      <c r="C1553" s="1046" t="s">
        <v>2166</v>
      </c>
      <c r="D1553" s="1046" t="s">
        <v>1410</v>
      </c>
      <c r="E1553" s="1043" t="s">
        <v>204</v>
      </c>
    </row>
    <row r="1554" spans="1:5" x14ac:dyDescent="0.25">
      <c r="A1554" s="1324">
        <v>1553</v>
      </c>
      <c r="B1554" s="974" t="s">
        <v>1401</v>
      </c>
      <c r="C1554" s="1046" t="s">
        <v>2167</v>
      </c>
      <c r="D1554" s="1046" t="s">
        <v>1410</v>
      </c>
      <c r="E1554" s="1043" t="s">
        <v>1178</v>
      </c>
    </row>
    <row r="1555" spans="1:5" x14ac:dyDescent="0.25">
      <c r="A1555" s="1324">
        <v>1554</v>
      </c>
      <c r="B1555" s="974" t="s">
        <v>870</v>
      </c>
      <c r="C1555" s="1046" t="s">
        <v>2167</v>
      </c>
      <c r="D1555" s="1046" t="s">
        <v>1410</v>
      </c>
      <c r="E1555" s="1043" t="s">
        <v>1182</v>
      </c>
    </row>
    <row r="1556" spans="1:5" x14ac:dyDescent="0.25">
      <c r="A1556" s="1324">
        <v>1555</v>
      </c>
      <c r="B1556" s="974" t="s">
        <v>1401</v>
      </c>
      <c r="C1556" s="1046" t="s">
        <v>2167</v>
      </c>
      <c r="D1556" s="1046" t="s">
        <v>1410</v>
      </c>
      <c r="E1556" s="1043" t="s">
        <v>766</v>
      </c>
    </row>
    <row r="1557" spans="1:5" x14ac:dyDescent="0.25">
      <c r="A1557" s="1324">
        <v>1556</v>
      </c>
      <c r="B1557" s="974" t="s">
        <v>870</v>
      </c>
      <c r="C1557" s="1046" t="s">
        <v>2167</v>
      </c>
      <c r="D1557" s="1046" t="s">
        <v>1410</v>
      </c>
      <c r="E1557" s="1045" t="s">
        <v>1262</v>
      </c>
    </row>
    <row r="1558" spans="1:5" ht="30" x14ac:dyDescent="0.25">
      <c r="A1558" s="1324">
        <v>1557</v>
      </c>
      <c r="B1558" s="974" t="s">
        <v>870</v>
      </c>
      <c r="C1558" s="1046" t="s">
        <v>2167</v>
      </c>
      <c r="D1558" s="1046" t="s">
        <v>1410</v>
      </c>
      <c r="E1558" s="1045" t="s">
        <v>1263</v>
      </c>
    </row>
    <row r="1559" spans="1:5" x14ac:dyDescent="0.25">
      <c r="A1559" s="1324">
        <v>1558</v>
      </c>
      <c r="B1559" s="974" t="s">
        <v>870</v>
      </c>
      <c r="C1559" s="1046" t="s">
        <v>2167</v>
      </c>
      <c r="D1559" s="1046" t="s">
        <v>1410</v>
      </c>
      <c r="E1559" s="1045" t="s">
        <v>1185</v>
      </c>
    </row>
    <row r="1560" spans="1:5" x14ac:dyDescent="0.25">
      <c r="A1560" s="1324">
        <v>1559</v>
      </c>
      <c r="B1560" s="974" t="s">
        <v>870</v>
      </c>
      <c r="C1560" s="1046" t="s">
        <v>2167</v>
      </c>
      <c r="D1560" s="1046" t="s">
        <v>1410</v>
      </c>
      <c r="E1560" s="1045" t="s">
        <v>1186</v>
      </c>
    </row>
    <row r="1561" spans="1:5" x14ac:dyDescent="0.25">
      <c r="A1561" s="1324">
        <v>1560</v>
      </c>
      <c r="B1561" s="974" t="s">
        <v>870</v>
      </c>
      <c r="C1561" s="1046" t="s">
        <v>2167</v>
      </c>
      <c r="D1561" s="1046" t="s">
        <v>1410</v>
      </c>
      <c r="E1561" s="1045" t="s">
        <v>1187</v>
      </c>
    </row>
    <row r="1562" spans="1:5" x14ac:dyDescent="0.25">
      <c r="A1562" s="1324">
        <v>1561</v>
      </c>
      <c r="B1562" s="974" t="s">
        <v>870</v>
      </c>
      <c r="C1562" s="1046" t="s">
        <v>2167</v>
      </c>
      <c r="D1562" s="1046" t="s">
        <v>1410</v>
      </c>
      <c r="E1562" s="1045" t="s">
        <v>1188</v>
      </c>
    </row>
    <row r="1563" spans="1:5" x14ac:dyDescent="0.25">
      <c r="A1563" s="1324">
        <v>1562</v>
      </c>
      <c r="B1563" s="974" t="s">
        <v>870</v>
      </c>
      <c r="C1563" s="1046" t="s">
        <v>2167</v>
      </c>
      <c r="D1563" s="1046" t="s">
        <v>1410</v>
      </c>
      <c r="E1563" s="1045" t="s">
        <v>1189</v>
      </c>
    </row>
    <row r="1564" spans="1:5" x14ac:dyDescent="0.25">
      <c r="A1564" s="1324">
        <v>1563</v>
      </c>
      <c r="B1564" s="974" t="s">
        <v>870</v>
      </c>
      <c r="C1564" s="1046" t="s">
        <v>2167</v>
      </c>
      <c r="D1564" s="1046" t="s">
        <v>1410</v>
      </c>
      <c r="E1564" s="1045" t="s">
        <v>1428</v>
      </c>
    </row>
    <row r="1565" spans="1:5" x14ac:dyDescent="0.25">
      <c r="A1565" s="1324">
        <v>1564</v>
      </c>
      <c r="B1565" s="974" t="s">
        <v>870</v>
      </c>
      <c r="C1565" s="1046" t="s">
        <v>2167</v>
      </c>
      <c r="D1565" s="1046" t="s">
        <v>1410</v>
      </c>
      <c r="E1565" s="1045" t="s">
        <v>1631</v>
      </c>
    </row>
    <row r="1566" spans="1:5" x14ac:dyDescent="0.25">
      <c r="A1566" s="1324">
        <v>1565</v>
      </c>
      <c r="B1566" s="974" t="s">
        <v>1401</v>
      </c>
      <c r="C1566" s="1046" t="s">
        <v>2167</v>
      </c>
      <c r="D1566" s="1046" t="s">
        <v>1429</v>
      </c>
      <c r="E1566" s="1043" t="s">
        <v>765</v>
      </c>
    </row>
    <row r="1567" spans="1:5" x14ac:dyDescent="0.25">
      <c r="A1567" s="1324">
        <v>1566</v>
      </c>
      <c r="B1567" s="974" t="s">
        <v>1401</v>
      </c>
      <c r="C1567" s="1046" t="s">
        <v>2167</v>
      </c>
      <c r="D1567" s="1046" t="s">
        <v>1429</v>
      </c>
      <c r="E1567" s="1043" t="s">
        <v>1179</v>
      </c>
    </row>
    <row r="1568" spans="1:5" x14ac:dyDescent="0.25">
      <c r="A1568" s="1324">
        <v>1567</v>
      </c>
      <c r="B1568" s="974" t="s">
        <v>1401</v>
      </c>
      <c r="C1568" s="1046" t="s">
        <v>2167</v>
      </c>
      <c r="D1568" s="1046" t="s">
        <v>1410</v>
      </c>
      <c r="E1568" s="1043" t="s">
        <v>1180</v>
      </c>
    </row>
    <row r="1569" spans="1:5" x14ac:dyDescent="0.25">
      <c r="A1569" s="1324">
        <v>1568</v>
      </c>
      <c r="B1569" s="974" t="s">
        <v>1401</v>
      </c>
      <c r="C1569" s="1046" t="s">
        <v>2167</v>
      </c>
      <c r="D1569" s="1046" t="s">
        <v>1410</v>
      </c>
      <c r="E1569" s="1043" t="s">
        <v>1367</v>
      </c>
    </row>
    <row r="1570" spans="1:5" x14ac:dyDescent="0.25">
      <c r="A1570" s="1324">
        <v>1569</v>
      </c>
      <c r="B1570" s="974" t="s">
        <v>1401</v>
      </c>
      <c r="C1570" s="1046" t="s">
        <v>2167</v>
      </c>
      <c r="D1570" s="1046" t="s">
        <v>1410</v>
      </c>
      <c r="E1570" s="1043" t="s">
        <v>1297</v>
      </c>
    </row>
    <row r="1571" spans="1:5" x14ac:dyDescent="0.25">
      <c r="A1571" s="1324">
        <v>1570</v>
      </c>
      <c r="B1571" s="974" t="s">
        <v>1401</v>
      </c>
      <c r="C1571" s="1046" t="s">
        <v>2167</v>
      </c>
      <c r="D1571" s="1046" t="s">
        <v>1410</v>
      </c>
      <c r="E1571" s="1043" t="s">
        <v>767</v>
      </c>
    </row>
    <row r="1572" spans="1:5" x14ac:dyDescent="0.25">
      <c r="A1572" s="1324">
        <v>1571</v>
      </c>
      <c r="B1572" s="974" t="s">
        <v>1401</v>
      </c>
      <c r="C1572" s="1046" t="s">
        <v>2167</v>
      </c>
      <c r="D1572" s="1046" t="s">
        <v>1410</v>
      </c>
      <c r="E1572" s="1043" t="s">
        <v>768</v>
      </c>
    </row>
    <row r="1573" spans="1:5" x14ac:dyDescent="0.25">
      <c r="A1573" s="1324">
        <v>1572</v>
      </c>
      <c r="B1573" s="974" t="s">
        <v>1401</v>
      </c>
      <c r="C1573" s="1046" t="s">
        <v>2167</v>
      </c>
      <c r="D1573" s="1046" t="s">
        <v>1410</v>
      </c>
      <c r="E1573" s="1043" t="s">
        <v>769</v>
      </c>
    </row>
    <row r="1574" spans="1:5" x14ac:dyDescent="0.25">
      <c r="A1574" s="1324">
        <v>1573</v>
      </c>
      <c r="B1574" s="974" t="s">
        <v>1401</v>
      </c>
      <c r="C1574" s="1046" t="s">
        <v>2167</v>
      </c>
      <c r="D1574" s="1046" t="s">
        <v>1410</v>
      </c>
      <c r="E1574" s="1043" t="s">
        <v>204</v>
      </c>
    </row>
    <row r="1575" spans="1:5" x14ac:dyDescent="0.25">
      <c r="A1575" s="1324">
        <v>1574</v>
      </c>
      <c r="B1575" s="974" t="s">
        <v>1401</v>
      </c>
      <c r="C1575" s="1046" t="s">
        <v>2168</v>
      </c>
      <c r="D1575" s="1046" t="s">
        <v>1410</v>
      </c>
      <c r="E1575" s="1043" t="s">
        <v>1178</v>
      </c>
    </row>
    <row r="1576" spans="1:5" x14ac:dyDescent="0.25">
      <c r="A1576" s="1324">
        <v>1575</v>
      </c>
      <c r="B1576" s="974" t="s">
        <v>870</v>
      </c>
      <c r="C1576" s="1046" t="s">
        <v>2168</v>
      </c>
      <c r="D1576" s="1046" t="s">
        <v>1410</v>
      </c>
      <c r="E1576" s="1043" t="s">
        <v>1182</v>
      </c>
    </row>
    <row r="1577" spans="1:5" x14ac:dyDescent="0.25">
      <c r="A1577" s="1324">
        <v>1576</v>
      </c>
      <c r="B1577" s="974" t="s">
        <v>1401</v>
      </c>
      <c r="C1577" s="1046" t="s">
        <v>2168</v>
      </c>
      <c r="D1577" s="1046" t="s">
        <v>1410</v>
      </c>
      <c r="E1577" s="1043" t="s">
        <v>766</v>
      </c>
    </row>
    <row r="1578" spans="1:5" x14ac:dyDescent="0.25">
      <c r="A1578" s="1324">
        <v>1577</v>
      </c>
      <c r="B1578" s="974" t="s">
        <v>870</v>
      </c>
      <c r="C1578" s="1046" t="s">
        <v>2168</v>
      </c>
      <c r="D1578" s="1046" t="s">
        <v>1410</v>
      </c>
      <c r="E1578" s="1045" t="s">
        <v>1262</v>
      </c>
    </row>
    <row r="1579" spans="1:5" ht="30" x14ac:dyDescent="0.25">
      <c r="A1579" s="1324">
        <v>1578</v>
      </c>
      <c r="B1579" s="974" t="s">
        <v>870</v>
      </c>
      <c r="C1579" s="1046" t="s">
        <v>2168</v>
      </c>
      <c r="D1579" s="1046" t="s">
        <v>1410</v>
      </c>
      <c r="E1579" s="1045" t="s">
        <v>1263</v>
      </c>
    </row>
    <row r="1580" spans="1:5" x14ac:dyDescent="0.25">
      <c r="A1580" s="1324">
        <v>1579</v>
      </c>
      <c r="B1580" s="974" t="s">
        <v>870</v>
      </c>
      <c r="C1580" s="1046" t="s">
        <v>2168</v>
      </c>
      <c r="D1580" s="1046" t="s">
        <v>1410</v>
      </c>
      <c r="E1580" s="1045" t="s">
        <v>1185</v>
      </c>
    </row>
    <row r="1581" spans="1:5" x14ac:dyDescent="0.25">
      <c r="A1581" s="1324">
        <v>1580</v>
      </c>
      <c r="B1581" s="974" t="s">
        <v>870</v>
      </c>
      <c r="C1581" s="1046" t="s">
        <v>2168</v>
      </c>
      <c r="D1581" s="1046" t="s">
        <v>1410</v>
      </c>
      <c r="E1581" s="1045" t="s">
        <v>1186</v>
      </c>
    </row>
    <row r="1582" spans="1:5" x14ac:dyDescent="0.25">
      <c r="A1582" s="1324">
        <v>1581</v>
      </c>
      <c r="B1582" s="974" t="s">
        <v>870</v>
      </c>
      <c r="C1582" s="1046" t="s">
        <v>2168</v>
      </c>
      <c r="D1582" s="1046" t="s">
        <v>1410</v>
      </c>
      <c r="E1582" s="1045" t="s">
        <v>1187</v>
      </c>
    </row>
    <row r="1583" spans="1:5" x14ac:dyDescent="0.25">
      <c r="A1583" s="1324">
        <v>1582</v>
      </c>
      <c r="B1583" s="974" t="s">
        <v>870</v>
      </c>
      <c r="C1583" s="1046" t="s">
        <v>2168</v>
      </c>
      <c r="D1583" s="1046" t="s">
        <v>1410</v>
      </c>
      <c r="E1583" s="1045" t="s">
        <v>1188</v>
      </c>
    </row>
    <row r="1584" spans="1:5" x14ac:dyDescent="0.25">
      <c r="A1584" s="1324">
        <v>1583</v>
      </c>
      <c r="B1584" s="974" t="s">
        <v>870</v>
      </c>
      <c r="C1584" s="1046" t="s">
        <v>2168</v>
      </c>
      <c r="D1584" s="1046" t="s">
        <v>1410</v>
      </c>
      <c r="E1584" s="1045" t="s">
        <v>1189</v>
      </c>
    </row>
    <row r="1585" spans="1:5" x14ac:dyDescent="0.25">
      <c r="A1585" s="1324">
        <v>1584</v>
      </c>
      <c r="B1585" s="974" t="s">
        <v>870</v>
      </c>
      <c r="C1585" s="1046" t="s">
        <v>2168</v>
      </c>
      <c r="D1585" s="1046" t="s">
        <v>1410</v>
      </c>
      <c r="E1585" s="1045" t="s">
        <v>1428</v>
      </c>
    </row>
    <row r="1586" spans="1:5" x14ac:dyDescent="0.25">
      <c r="A1586" s="1324">
        <v>1585</v>
      </c>
      <c r="B1586" s="974" t="s">
        <v>870</v>
      </c>
      <c r="C1586" s="1046" t="s">
        <v>2168</v>
      </c>
      <c r="D1586" s="1046" t="s">
        <v>1410</v>
      </c>
      <c r="E1586" s="1045" t="s">
        <v>1631</v>
      </c>
    </row>
    <row r="1587" spans="1:5" x14ac:dyDescent="0.25">
      <c r="A1587" s="1324">
        <v>1586</v>
      </c>
      <c r="B1587" s="974" t="s">
        <v>1401</v>
      </c>
      <c r="C1587" s="1046" t="s">
        <v>2168</v>
      </c>
      <c r="D1587" s="1046" t="s">
        <v>1429</v>
      </c>
      <c r="E1587" s="1043" t="s">
        <v>765</v>
      </c>
    </row>
    <row r="1588" spans="1:5" x14ac:dyDescent="0.25">
      <c r="A1588" s="1324">
        <v>1587</v>
      </c>
      <c r="B1588" s="974" t="s">
        <v>1401</v>
      </c>
      <c r="C1588" s="1046" t="s">
        <v>2168</v>
      </c>
      <c r="D1588" s="1046" t="s">
        <v>1429</v>
      </c>
      <c r="E1588" s="1043" t="s">
        <v>1179</v>
      </c>
    </row>
    <row r="1589" spans="1:5" x14ac:dyDescent="0.25">
      <c r="A1589" s="1324">
        <v>1588</v>
      </c>
      <c r="B1589" s="974" t="s">
        <v>1401</v>
      </c>
      <c r="C1589" s="1046" t="s">
        <v>2168</v>
      </c>
      <c r="D1589" s="1046" t="s">
        <v>1410</v>
      </c>
      <c r="E1589" s="1043" t="s">
        <v>1180</v>
      </c>
    </row>
    <row r="1590" spans="1:5" x14ac:dyDescent="0.25">
      <c r="A1590" s="1324">
        <v>1589</v>
      </c>
      <c r="B1590" s="974" t="s">
        <v>1401</v>
      </c>
      <c r="C1590" s="1046" t="s">
        <v>2168</v>
      </c>
      <c r="D1590" s="1046" t="s">
        <v>1410</v>
      </c>
      <c r="E1590" s="1043" t="s">
        <v>1367</v>
      </c>
    </row>
    <row r="1591" spans="1:5" x14ac:dyDescent="0.25">
      <c r="A1591" s="1324">
        <v>1590</v>
      </c>
      <c r="B1591" s="974" t="s">
        <v>1401</v>
      </c>
      <c r="C1591" s="1046" t="s">
        <v>2168</v>
      </c>
      <c r="D1591" s="1046" t="s">
        <v>1410</v>
      </c>
      <c r="E1591" s="1043" t="s">
        <v>1297</v>
      </c>
    </row>
    <row r="1592" spans="1:5" x14ac:dyDescent="0.25">
      <c r="A1592" s="1324">
        <v>1591</v>
      </c>
      <c r="B1592" s="974" t="s">
        <v>1401</v>
      </c>
      <c r="C1592" s="1046" t="s">
        <v>2168</v>
      </c>
      <c r="D1592" s="1046" t="s">
        <v>1410</v>
      </c>
      <c r="E1592" s="1043" t="s">
        <v>767</v>
      </c>
    </row>
    <row r="1593" spans="1:5" x14ac:dyDescent="0.25">
      <c r="A1593" s="1324">
        <v>1592</v>
      </c>
      <c r="B1593" s="974" t="s">
        <v>1401</v>
      </c>
      <c r="C1593" s="1046" t="s">
        <v>2168</v>
      </c>
      <c r="D1593" s="1046" t="s">
        <v>1410</v>
      </c>
      <c r="E1593" s="1043" t="s">
        <v>768</v>
      </c>
    </row>
    <row r="1594" spans="1:5" x14ac:dyDescent="0.25">
      <c r="A1594" s="1324">
        <v>1593</v>
      </c>
      <c r="B1594" s="974" t="s">
        <v>1401</v>
      </c>
      <c r="C1594" s="1046" t="s">
        <v>2168</v>
      </c>
      <c r="D1594" s="1046" t="s">
        <v>1410</v>
      </c>
      <c r="E1594" s="1043" t="s">
        <v>769</v>
      </c>
    </row>
    <row r="1595" spans="1:5" x14ac:dyDescent="0.25">
      <c r="A1595" s="1324">
        <v>1594</v>
      </c>
      <c r="B1595" s="974" t="s">
        <v>1401</v>
      </c>
      <c r="C1595" s="1046" t="s">
        <v>2168</v>
      </c>
      <c r="D1595" s="1046" t="s">
        <v>1410</v>
      </c>
      <c r="E1595" s="1043" t="s">
        <v>204</v>
      </c>
    </row>
    <row r="1596" spans="1:5" x14ac:dyDescent="0.25">
      <c r="A1596" s="1324">
        <v>1595</v>
      </c>
      <c r="B1596" s="974" t="s">
        <v>1401</v>
      </c>
      <c r="C1596" s="1046" t="s">
        <v>2169</v>
      </c>
      <c r="D1596" s="1046" t="s">
        <v>1410</v>
      </c>
      <c r="E1596" s="1043" t="s">
        <v>1178</v>
      </c>
    </row>
    <row r="1597" spans="1:5" x14ac:dyDescent="0.25">
      <c r="A1597" s="1324">
        <v>1596</v>
      </c>
      <c r="B1597" s="974" t="s">
        <v>870</v>
      </c>
      <c r="C1597" s="1046" t="s">
        <v>2169</v>
      </c>
      <c r="D1597" s="1046" t="s">
        <v>1410</v>
      </c>
      <c r="E1597" s="1043" t="s">
        <v>1182</v>
      </c>
    </row>
    <row r="1598" spans="1:5" x14ac:dyDescent="0.25">
      <c r="A1598" s="1324">
        <v>1597</v>
      </c>
      <c r="B1598" s="974" t="s">
        <v>1401</v>
      </c>
      <c r="C1598" s="1046" t="s">
        <v>2169</v>
      </c>
      <c r="D1598" s="1046" t="s">
        <v>1410</v>
      </c>
      <c r="E1598" s="1043" t="s">
        <v>766</v>
      </c>
    </row>
    <row r="1599" spans="1:5" x14ac:dyDescent="0.25">
      <c r="A1599" s="1324">
        <v>1598</v>
      </c>
      <c r="B1599" s="974" t="s">
        <v>870</v>
      </c>
      <c r="C1599" s="1046" t="s">
        <v>2169</v>
      </c>
      <c r="D1599" s="1046" t="s">
        <v>1410</v>
      </c>
      <c r="E1599" s="1045" t="s">
        <v>1262</v>
      </c>
    </row>
    <row r="1600" spans="1:5" ht="30" x14ac:dyDescent="0.25">
      <c r="A1600" s="1324">
        <v>1599</v>
      </c>
      <c r="B1600" s="974" t="s">
        <v>870</v>
      </c>
      <c r="C1600" s="1046" t="s">
        <v>2169</v>
      </c>
      <c r="D1600" s="1046" t="s">
        <v>1410</v>
      </c>
      <c r="E1600" s="1045" t="s">
        <v>1263</v>
      </c>
    </row>
    <row r="1601" spans="1:5" x14ac:dyDescent="0.25">
      <c r="A1601" s="1324">
        <v>1600</v>
      </c>
      <c r="B1601" s="974" t="s">
        <v>870</v>
      </c>
      <c r="C1601" s="1046" t="s">
        <v>2169</v>
      </c>
      <c r="D1601" s="1046" t="s">
        <v>1410</v>
      </c>
      <c r="E1601" s="1045" t="s">
        <v>1185</v>
      </c>
    </row>
    <row r="1602" spans="1:5" x14ac:dyDescent="0.25">
      <c r="A1602" s="1324">
        <v>1601</v>
      </c>
      <c r="B1602" s="974" t="s">
        <v>870</v>
      </c>
      <c r="C1602" s="1046" t="s">
        <v>2169</v>
      </c>
      <c r="D1602" s="1046" t="s">
        <v>1410</v>
      </c>
      <c r="E1602" s="1045" t="s">
        <v>1186</v>
      </c>
    </row>
    <row r="1603" spans="1:5" x14ac:dyDescent="0.25">
      <c r="A1603" s="1324">
        <v>1602</v>
      </c>
      <c r="B1603" s="974" t="s">
        <v>870</v>
      </c>
      <c r="C1603" s="1046" t="s">
        <v>2169</v>
      </c>
      <c r="D1603" s="1046" t="s">
        <v>1410</v>
      </c>
      <c r="E1603" s="1045" t="s">
        <v>1187</v>
      </c>
    </row>
    <row r="1604" spans="1:5" x14ac:dyDescent="0.25">
      <c r="A1604" s="1324">
        <v>1603</v>
      </c>
      <c r="B1604" s="974" t="s">
        <v>870</v>
      </c>
      <c r="C1604" s="1046" t="s">
        <v>2169</v>
      </c>
      <c r="D1604" s="1046" t="s">
        <v>1410</v>
      </c>
      <c r="E1604" s="1045" t="s">
        <v>1188</v>
      </c>
    </row>
    <row r="1605" spans="1:5" x14ac:dyDescent="0.25">
      <c r="A1605" s="1324">
        <v>1604</v>
      </c>
      <c r="B1605" s="974" t="s">
        <v>870</v>
      </c>
      <c r="C1605" s="1046" t="s">
        <v>2169</v>
      </c>
      <c r="D1605" s="1046" t="s">
        <v>1410</v>
      </c>
      <c r="E1605" s="1045" t="s">
        <v>1189</v>
      </c>
    </row>
    <row r="1606" spans="1:5" x14ac:dyDescent="0.25">
      <c r="A1606" s="1324">
        <v>1605</v>
      </c>
      <c r="B1606" s="974" t="s">
        <v>870</v>
      </c>
      <c r="C1606" s="1046" t="s">
        <v>2169</v>
      </c>
      <c r="D1606" s="1046" t="s">
        <v>1410</v>
      </c>
      <c r="E1606" s="1045" t="s">
        <v>1428</v>
      </c>
    </row>
    <row r="1607" spans="1:5" x14ac:dyDescent="0.25">
      <c r="A1607" s="1324">
        <v>1606</v>
      </c>
      <c r="B1607" s="974" t="s">
        <v>870</v>
      </c>
      <c r="C1607" s="1046" t="s">
        <v>2169</v>
      </c>
      <c r="D1607" s="1046" t="s">
        <v>1410</v>
      </c>
      <c r="E1607" s="1045" t="s">
        <v>1631</v>
      </c>
    </row>
    <row r="1608" spans="1:5" x14ac:dyDescent="0.25">
      <c r="A1608" s="1324">
        <v>1607</v>
      </c>
      <c r="B1608" s="974" t="s">
        <v>1401</v>
      </c>
      <c r="C1608" s="1046" t="s">
        <v>2169</v>
      </c>
      <c r="D1608" s="1046" t="s">
        <v>1429</v>
      </c>
      <c r="E1608" s="1043" t="s">
        <v>765</v>
      </c>
    </row>
    <row r="1609" spans="1:5" x14ac:dyDescent="0.25">
      <c r="A1609" s="1324">
        <v>1608</v>
      </c>
      <c r="B1609" s="974" t="s">
        <v>1401</v>
      </c>
      <c r="C1609" s="1046" t="s">
        <v>2169</v>
      </c>
      <c r="D1609" s="1046" t="s">
        <v>1429</v>
      </c>
      <c r="E1609" s="1043" t="s">
        <v>1179</v>
      </c>
    </row>
    <row r="1610" spans="1:5" x14ac:dyDescent="0.25">
      <c r="A1610" s="1324">
        <v>1609</v>
      </c>
      <c r="B1610" s="974" t="s">
        <v>1401</v>
      </c>
      <c r="C1610" s="1046" t="s">
        <v>2169</v>
      </c>
      <c r="D1610" s="1046" t="s">
        <v>1410</v>
      </c>
      <c r="E1610" s="1043" t="s">
        <v>1180</v>
      </c>
    </row>
    <row r="1611" spans="1:5" x14ac:dyDescent="0.25">
      <c r="A1611" s="1324">
        <v>1610</v>
      </c>
      <c r="B1611" s="974" t="s">
        <v>1401</v>
      </c>
      <c r="C1611" s="1046" t="s">
        <v>2169</v>
      </c>
      <c r="D1611" s="1046" t="s">
        <v>1410</v>
      </c>
      <c r="E1611" s="1043" t="s">
        <v>1367</v>
      </c>
    </row>
    <row r="1612" spans="1:5" x14ac:dyDescent="0.25">
      <c r="A1612" s="1324">
        <v>1611</v>
      </c>
      <c r="B1612" s="974" t="s">
        <v>1401</v>
      </c>
      <c r="C1612" s="1046" t="s">
        <v>2169</v>
      </c>
      <c r="D1612" s="1046" t="s">
        <v>1410</v>
      </c>
      <c r="E1612" s="1043" t="s">
        <v>1297</v>
      </c>
    </row>
    <row r="1613" spans="1:5" x14ac:dyDescent="0.25">
      <c r="A1613" s="1324">
        <v>1612</v>
      </c>
      <c r="B1613" s="974" t="s">
        <v>1401</v>
      </c>
      <c r="C1613" s="1046" t="s">
        <v>2169</v>
      </c>
      <c r="D1613" s="1046" t="s">
        <v>1410</v>
      </c>
      <c r="E1613" s="1043" t="s">
        <v>767</v>
      </c>
    </row>
    <row r="1614" spans="1:5" x14ac:dyDescent="0.25">
      <c r="A1614" s="1324">
        <v>1613</v>
      </c>
      <c r="B1614" s="974" t="s">
        <v>1401</v>
      </c>
      <c r="C1614" s="1046" t="s">
        <v>2169</v>
      </c>
      <c r="D1614" s="1046" t="s">
        <v>1410</v>
      </c>
      <c r="E1614" s="1043" t="s">
        <v>768</v>
      </c>
    </row>
    <row r="1615" spans="1:5" x14ac:dyDescent="0.25">
      <c r="A1615" s="1324">
        <v>1614</v>
      </c>
      <c r="B1615" s="974" t="s">
        <v>1401</v>
      </c>
      <c r="C1615" s="1046" t="s">
        <v>2169</v>
      </c>
      <c r="D1615" s="1046" t="s">
        <v>1410</v>
      </c>
      <c r="E1615" s="1043" t="s">
        <v>769</v>
      </c>
    </row>
    <row r="1616" spans="1:5" x14ac:dyDescent="0.25">
      <c r="A1616" s="1324">
        <v>1615</v>
      </c>
      <c r="B1616" s="974" t="s">
        <v>1401</v>
      </c>
      <c r="C1616" s="1046" t="s">
        <v>2169</v>
      </c>
      <c r="D1616" s="1046" t="s">
        <v>1410</v>
      </c>
      <c r="E1616" s="1043" t="s">
        <v>204</v>
      </c>
    </row>
    <row r="1617" spans="1:5" x14ac:dyDescent="0.25">
      <c r="A1617" s="1324">
        <v>1616</v>
      </c>
      <c r="B1617" s="974" t="s">
        <v>1516</v>
      </c>
      <c r="C1617" s="1046" t="s">
        <v>2181</v>
      </c>
      <c r="D1617" s="1046" t="s">
        <v>1410</v>
      </c>
      <c r="E1617" s="974" t="s">
        <v>1491</v>
      </c>
    </row>
    <row r="1618" spans="1:5" x14ac:dyDescent="0.25">
      <c r="A1618" s="1324">
        <v>1617</v>
      </c>
      <c r="B1618" s="974" t="s">
        <v>1516</v>
      </c>
      <c r="C1618" s="1046" t="s">
        <v>2181</v>
      </c>
      <c r="D1618" s="1046" t="s">
        <v>1410</v>
      </c>
      <c r="E1618" s="974" t="s">
        <v>1705</v>
      </c>
    </row>
    <row r="1619" spans="1:5" x14ac:dyDescent="0.25">
      <c r="A1619" s="1324">
        <v>1618</v>
      </c>
      <c r="B1619" s="974" t="s">
        <v>1516</v>
      </c>
      <c r="C1619" s="1046" t="s">
        <v>2181</v>
      </c>
      <c r="D1619" s="1046" t="s">
        <v>1410</v>
      </c>
      <c r="E1619" s="974" t="s">
        <v>1383</v>
      </c>
    </row>
    <row r="1620" spans="1:5" x14ac:dyDescent="0.25">
      <c r="A1620" s="1324">
        <v>1619</v>
      </c>
      <c r="B1620" s="974" t="s">
        <v>1516</v>
      </c>
      <c r="C1620" s="1046" t="s">
        <v>2181</v>
      </c>
      <c r="D1620" s="1046" t="s">
        <v>1775</v>
      </c>
      <c r="E1620" s="974" t="s">
        <v>1381</v>
      </c>
    </row>
    <row r="1621" spans="1:5" x14ac:dyDescent="0.25">
      <c r="A1621" s="1324">
        <v>1620</v>
      </c>
      <c r="B1621" s="974" t="s">
        <v>1516</v>
      </c>
      <c r="C1621" s="1046" t="s">
        <v>2181</v>
      </c>
      <c r="D1621" s="1046" t="s">
        <v>1410</v>
      </c>
      <c r="E1621" s="974" t="s">
        <v>1382</v>
      </c>
    </row>
    <row r="1622" spans="1:5" ht="30" x14ac:dyDescent="0.25">
      <c r="A1622" s="1324">
        <v>1621</v>
      </c>
      <c r="B1622" s="974" t="s">
        <v>1516</v>
      </c>
      <c r="C1622" s="1046" t="s">
        <v>2181</v>
      </c>
      <c r="D1622" s="1046" t="s">
        <v>1544</v>
      </c>
      <c r="E1622" s="974" t="s">
        <v>1385</v>
      </c>
    </row>
    <row r="1623" spans="1:5" ht="30" x14ac:dyDescent="0.25">
      <c r="A1623" s="1324">
        <v>1622</v>
      </c>
      <c r="B1623" s="974" t="s">
        <v>1516</v>
      </c>
      <c r="C1623" s="1046" t="s">
        <v>2181</v>
      </c>
      <c r="D1623" s="1046" t="s">
        <v>1544</v>
      </c>
      <c r="E1623" s="974" t="s">
        <v>1386</v>
      </c>
    </row>
    <row r="1624" spans="1:5" x14ac:dyDescent="0.25">
      <c r="A1624" s="1324">
        <v>1623</v>
      </c>
      <c r="B1624" s="974" t="s">
        <v>1516</v>
      </c>
      <c r="C1624" s="1046" t="s">
        <v>2181</v>
      </c>
      <c r="D1624" s="1046" t="s">
        <v>1775</v>
      </c>
      <c r="E1624" s="974" t="s">
        <v>1396</v>
      </c>
    </row>
    <row r="1625" spans="1:5" x14ac:dyDescent="0.25">
      <c r="A1625" s="1324">
        <v>1624</v>
      </c>
      <c r="B1625" s="974" t="s">
        <v>1516</v>
      </c>
      <c r="C1625" s="1046" t="s">
        <v>2181</v>
      </c>
      <c r="D1625" s="1046" t="s">
        <v>1775</v>
      </c>
      <c r="E1625" s="974" t="s">
        <v>2005</v>
      </c>
    </row>
    <row r="1626" spans="1:5" x14ac:dyDescent="0.25">
      <c r="A1626" s="1324">
        <v>1625</v>
      </c>
      <c r="B1626" s="974" t="s">
        <v>1516</v>
      </c>
      <c r="C1626" s="1046" t="s">
        <v>2181</v>
      </c>
      <c r="D1626" s="1046" t="s">
        <v>1775</v>
      </c>
      <c r="E1626" s="974" t="s">
        <v>1482</v>
      </c>
    </row>
    <row r="1627" spans="1:5" x14ac:dyDescent="0.25">
      <c r="A1627" s="1324">
        <v>1626</v>
      </c>
      <c r="B1627" s="974" t="s">
        <v>1516</v>
      </c>
      <c r="C1627" s="1046" t="s">
        <v>2181</v>
      </c>
      <c r="D1627" s="1046" t="s">
        <v>1775</v>
      </c>
      <c r="E1627" s="974" t="s">
        <v>1397</v>
      </c>
    </row>
    <row r="1628" spans="1:5" x14ac:dyDescent="0.25">
      <c r="A1628" s="1324">
        <v>1627</v>
      </c>
      <c r="B1628" s="974" t="s">
        <v>1516</v>
      </c>
      <c r="C1628" s="1046" t="s">
        <v>2181</v>
      </c>
      <c r="D1628" s="1325" t="s">
        <v>1410</v>
      </c>
      <c r="E1628" s="1325" t="s">
        <v>2135</v>
      </c>
    </row>
    <row r="1629" spans="1:5" x14ac:dyDescent="0.25">
      <c r="A1629" s="1324">
        <v>1628</v>
      </c>
      <c r="B1629" s="974" t="s">
        <v>1516</v>
      </c>
      <c r="C1629" s="1046" t="s">
        <v>2182</v>
      </c>
      <c r="D1629" s="1046" t="s">
        <v>1410</v>
      </c>
      <c r="E1629" s="974" t="s">
        <v>1491</v>
      </c>
    </row>
    <row r="1630" spans="1:5" x14ac:dyDescent="0.25">
      <c r="A1630" s="1324">
        <v>1629</v>
      </c>
      <c r="B1630" s="974" t="s">
        <v>1516</v>
      </c>
      <c r="C1630" s="1046" t="s">
        <v>2182</v>
      </c>
      <c r="D1630" s="1046" t="s">
        <v>1410</v>
      </c>
      <c r="E1630" s="974" t="s">
        <v>1705</v>
      </c>
    </row>
    <row r="1631" spans="1:5" x14ac:dyDescent="0.25">
      <c r="A1631" s="1324">
        <v>1630</v>
      </c>
      <c r="B1631" s="974" t="s">
        <v>1516</v>
      </c>
      <c r="C1631" s="1046" t="s">
        <v>2182</v>
      </c>
      <c r="D1631" s="1046" t="s">
        <v>1410</v>
      </c>
      <c r="E1631" s="974" t="s">
        <v>1383</v>
      </c>
    </row>
    <row r="1632" spans="1:5" x14ac:dyDescent="0.25">
      <c r="A1632" s="1324">
        <v>1631</v>
      </c>
      <c r="B1632" s="974" t="s">
        <v>1516</v>
      </c>
      <c r="C1632" s="1046" t="s">
        <v>2182</v>
      </c>
      <c r="D1632" s="1046" t="s">
        <v>1775</v>
      </c>
      <c r="E1632" s="974" t="s">
        <v>1381</v>
      </c>
    </row>
    <row r="1633" spans="1:5" x14ac:dyDescent="0.25">
      <c r="A1633" s="1324">
        <v>1632</v>
      </c>
      <c r="B1633" s="974" t="s">
        <v>1516</v>
      </c>
      <c r="C1633" s="1046" t="s">
        <v>2182</v>
      </c>
      <c r="D1633" s="1046" t="s">
        <v>1410</v>
      </c>
      <c r="E1633" s="974" t="s">
        <v>1382</v>
      </c>
    </row>
    <row r="1634" spans="1:5" ht="30" x14ac:dyDescent="0.25">
      <c r="A1634" s="1324">
        <v>1633</v>
      </c>
      <c r="B1634" s="974" t="s">
        <v>1516</v>
      </c>
      <c r="C1634" s="1046" t="s">
        <v>2182</v>
      </c>
      <c r="D1634" s="1046" t="s">
        <v>1544</v>
      </c>
      <c r="E1634" s="974" t="s">
        <v>1385</v>
      </c>
    </row>
    <row r="1635" spans="1:5" ht="30" x14ac:dyDescent="0.25">
      <c r="A1635" s="1324">
        <v>1634</v>
      </c>
      <c r="B1635" s="974" t="s">
        <v>1516</v>
      </c>
      <c r="C1635" s="1046" t="s">
        <v>2182</v>
      </c>
      <c r="D1635" s="1046" t="s">
        <v>1544</v>
      </c>
      <c r="E1635" s="974" t="s">
        <v>1386</v>
      </c>
    </row>
    <row r="1636" spans="1:5" x14ac:dyDescent="0.25">
      <c r="A1636" s="1324">
        <v>1635</v>
      </c>
      <c r="B1636" s="974" t="s">
        <v>1516</v>
      </c>
      <c r="C1636" s="1046" t="s">
        <v>2182</v>
      </c>
      <c r="D1636" s="1046" t="s">
        <v>1775</v>
      </c>
      <c r="E1636" s="974" t="s">
        <v>1396</v>
      </c>
    </row>
    <row r="1637" spans="1:5" x14ac:dyDescent="0.25">
      <c r="A1637" s="1324">
        <v>1636</v>
      </c>
      <c r="B1637" s="974" t="s">
        <v>1516</v>
      </c>
      <c r="C1637" s="1046" t="s">
        <v>2182</v>
      </c>
      <c r="D1637" s="1046" t="s">
        <v>1775</v>
      </c>
      <c r="E1637" s="974" t="s">
        <v>2005</v>
      </c>
    </row>
    <row r="1638" spans="1:5" x14ac:dyDescent="0.25">
      <c r="A1638" s="1324">
        <v>1637</v>
      </c>
      <c r="B1638" s="974" t="s">
        <v>1516</v>
      </c>
      <c r="C1638" s="1046" t="s">
        <v>2182</v>
      </c>
      <c r="D1638" s="1046" t="s">
        <v>1775</v>
      </c>
      <c r="E1638" s="974" t="s">
        <v>1482</v>
      </c>
    </row>
    <row r="1639" spans="1:5" x14ac:dyDescent="0.25">
      <c r="A1639" s="1324">
        <v>1638</v>
      </c>
      <c r="B1639" s="974" t="s">
        <v>1516</v>
      </c>
      <c r="C1639" s="1046" t="s">
        <v>2182</v>
      </c>
      <c r="D1639" s="1046" t="s">
        <v>1775</v>
      </c>
      <c r="E1639" s="974" t="s">
        <v>1397</v>
      </c>
    </row>
    <row r="1640" spans="1:5" x14ac:dyDescent="0.25">
      <c r="A1640" s="1324">
        <v>1639</v>
      </c>
      <c r="B1640" s="974" t="s">
        <v>1516</v>
      </c>
      <c r="C1640" s="1046" t="s">
        <v>2182</v>
      </c>
      <c r="D1640" s="1325" t="s">
        <v>1410</v>
      </c>
      <c r="E1640" s="1325" t="s">
        <v>2135</v>
      </c>
    </row>
    <row r="1641" spans="1:5" x14ac:dyDescent="0.25">
      <c r="A1641" s="1324">
        <v>1640</v>
      </c>
      <c r="B1641" s="974" t="s">
        <v>1516</v>
      </c>
      <c r="C1641" s="1046" t="s">
        <v>2183</v>
      </c>
      <c r="D1641" s="1046" t="s">
        <v>1410</v>
      </c>
      <c r="E1641" s="974" t="s">
        <v>1491</v>
      </c>
    </row>
    <row r="1642" spans="1:5" x14ac:dyDescent="0.25">
      <c r="A1642" s="1324">
        <v>1641</v>
      </c>
      <c r="B1642" s="974" t="s">
        <v>1516</v>
      </c>
      <c r="C1642" s="1046" t="s">
        <v>2183</v>
      </c>
      <c r="D1642" s="1046" t="s">
        <v>1410</v>
      </c>
      <c r="E1642" s="974" t="s">
        <v>1705</v>
      </c>
    </row>
    <row r="1643" spans="1:5" x14ac:dyDescent="0.25">
      <c r="A1643" s="1324">
        <v>1642</v>
      </c>
      <c r="B1643" s="974" t="s">
        <v>1516</v>
      </c>
      <c r="C1643" s="1046" t="s">
        <v>2183</v>
      </c>
      <c r="D1643" s="1046" t="s">
        <v>1410</v>
      </c>
      <c r="E1643" s="974" t="s">
        <v>1383</v>
      </c>
    </row>
    <row r="1644" spans="1:5" x14ac:dyDescent="0.25">
      <c r="A1644" s="1324">
        <v>1643</v>
      </c>
      <c r="B1644" s="974" t="s">
        <v>1516</v>
      </c>
      <c r="C1644" s="1046" t="s">
        <v>2183</v>
      </c>
      <c r="D1644" s="1046" t="s">
        <v>1775</v>
      </c>
      <c r="E1644" s="974" t="s">
        <v>1381</v>
      </c>
    </row>
    <row r="1645" spans="1:5" x14ac:dyDescent="0.25">
      <c r="A1645" s="1324">
        <v>1644</v>
      </c>
      <c r="B1645" s="974" t="s">
        <v>1516</v>
      </c>
      <c r="C1645" s="1046" t="s">
        <v>2183</v>
      </c>
      <c r="D1645" s="1046" t="s">
        <v>1410</v>
      </c>
      <c r="E1645" s="974" t="s">
        <v>1382</v>
      </c>
    </row>
    <row r="1646" spans="1:5" ht="30" x14ac:dyDescent="0.25">
      <c r="A1646" s="1324">
        <v>1645</v>
      </c>
      <c r="B1646" s="974" t="s">
        <v>1516</v>
      </c>
      <c r="C1646" s="1046" t="s">
        <v>2183</v>
      </c>
      <c r="D1646" s="1046" t="s">
        <v>1544</v>
      </c>
      <c r="E1646" s="974" t="s">
        <v>1385</v>
      </c>
    </row>
    <row r="1647" spans="1:5" ht="30" x14ac:dyDescent="0.25">
      <c r="A1647" s="1324">
        <v>1646</v>
      </c>
      <c r="B1647" s="974" t="s">
        <v>1516</v>
      </c>
      <c r="C1647" s="1046" t="s">
        <v>2183</v>
      </c>
      <c r="D1647" s="1046" t="s">
        <v>1544</v>
      </c>
      <c r="E1647" s="974" t="s">
        <v>1386</v>
      </c>
    </row>
    <row r="1648" spans="1:5" x14ac:dyDescent="0.25">
      <c r="A1648" s="1324">
        <v>1647</v>
      </c>
      <c r="B1648" s="974" t="s">
        <v>1516</v>
      </c>
      <c r="C1648" s="1046" t="s">
        <v>2183</v>
      </c>
      <c r="D1648" s="1046" t="s">
        <v>1775</v>
      </c>
      <c r="E1648" s="974" t="s">
        <v>1396</v>
      </c>
    </row>
    <row r="1649" spans="1:5" x14ac:dyDescent="0.25">
      <c r="A1649" s="1324">
        <v>1648</v>
      </c>
      <c r="B1649" s="974" t="s">
        <v>1516</v>
      </c>
      <c r="C1649" s="1046" t="s">
        <v>2183</v>
      </c>
      <c r="D1649" s="1046" t="s">
        <v>1775</v>
      </c>
      <c r="E1649" s="974" t="s">
        <v>2005</v>
      </c>
    </row>
    <row r="1650" spans="1:5" x14ac:dyDescent="0.25">
      <c r="A1650" s="1324">
        <v>1649</v>
      </c>
      <c r="B1650" s="974" t="s">
        <v>1516</v>
      </c>
      <c r="C1650" s="1046" t="s">
        <v>2183</v>
      </c>
      <c r="D1650" s="1046" t="s">
        <v>1775</v>
      </c>
      <c r="E1650" s="974" t="s">
        <v>1482</v>
      </c>
    </row>
    <row r="1651" spans="1:5" x14ac:dyDescent="0.25">
      <c r="A1651" s="1324">
        <v>1650</v>
      </c>
      <c r="B1651" s="974" t="s">
        <v>1516</v>
      </c>
      <c r="C1651" s="1046" t="s">
        <v>2183</v>
      </c>
      <c r="D1651" s="1046" t="s">
        <v>1775</v>
      </c>
      <c r="E1651" s="974" t="s">
        <v>1397</v>
      </c>
    </row>
    <row r="1652" spans="1:5" x14ac:dyDescent="0.25">
      <c r="A1652" s="1324">
        <v>1651</v>
      </c>
      <c r="B1652" s="974" t="s">
        <v>1516</v>
      </c>
      <c r="C1652" s="1046" t="s">
        <v>2183</v>
      </c>
      <c r="D1652" s="1325" t="s">
        <v>1410</v>
      </c>
      <c r="E1652" s="1325" t="s">
        <v>2135</v>
      </c>
    </row>
    <row r="1653" spans="1:5" x14ac:dyDescent="0.25">
      <c r="A1653" s="1324">
        <v>1652</v>
      </c>
      <c r="B1653" s="974" t="s">
        <v>1516</v>
      </c>
      <c r="C1653" s="1046" t="s">
        <v>2184</v>
      </c>
      <c r="D1653" s="1046" t="s">
        <v>1410</v>
      </c>
      <c r="E1653" s="974" t="s">
        <v>1491</v>
      </c>
    </row>
    <row r="1654" spans="1:5" x14ac:dyDescent="0.25">
      <c r="A1654" s="1324">
        <v>1653</v>
      </c>
      <c r="B1654" s="974" t="s">
        <v>1516</v>
      </c>
      <c r="C1654" s="1046" t="s">
        <v>2184</v>
      </c>
      <c r="D1654" s="1046" t="s">
        <v>1410</v>
      </c>
      <c r="E1654" s="974" t="s">
        <v>1705</v>
      </c>
    </row>
    <row r="1655" spans="1:5" x14ac:dyDescent="0.25">
      <c r="A1655" s="1324">
        <v>1654</v>
      </c>
      <c r="B1655" s="974" t="s">
        <v>1516</v>
      </c>
      <c r="C1655" s="1046" t="s">
        <v>2184</v>
      </c>
      <c r="D1655" s="1046" t="s">
        <v>1410</v>
      </c>
      <c r="E1655" s="974" t="s">
        <v>1383</v>
      </c>
    </row>
    <row r="1656" spans="1:5" x14ac:dyDescent="0.25">
      <c r="A1656" s="1324">
        <v>1655</v>
      </c>
      <c r="B1656" s="974" t="s">
        <v>1516</v>
      </c>
      <c r="C1656" s="1046" t="s">
        <v>2184</v>
      </c>
      <c r="D1656" s="1046" t="s">
        <v>1775</v>
      </c>
      <c r="E1656" s="974" t="s">
        <v>1381</v>
      </c>
    </row>
    <row r="1657" spans="1:5" x14ac:dyDescent="0.25">
      <c r="A1657" s="1324">
        <v>1656</v>
      </c>
      <c r="B1657" s="974" t="s">
        <v>1516</v>
      </c>
      <c r="C1657" s="1046" t="s">
        <v>2184</v>
      </c>
      <c r="D1657" s="1046" t="s">
        <v>1410</v>
      </c>
      <c r="E1657" s="974" t="s">
        <v>1382</v>
      </c>
    </row>
    <row r="1658" spans="1:5" ht="30" x14ac:dyDescent="0.25">
      <c r="A1658" s="1324">
        <v>1657</v>
      </c>
      <c r="B1658" s="974" t="s">
        <v>1516</v>
      </c>
      <c r="C1658" s="1046" t="s">
        <v>2184</v>
      </c>
      <c r="D1658" s="1046" t="s">
        <v>1544</v>
      </c>
      <c r="E1658" s="974" t="s">
        <v>1385</v>
      </c>
    </row>
    <row r="1659" spans="1:5" ht="30" x14ac:dyDescent="0.25">
      <c r="A1659" s="1324">
        <v>1658</v>
      </c>
      <c r="B1659" s="974" t="s">
        <v>1516</v>
      </c>
      <c r="C1659" s="1046" t="s">
        <v>2184</v>
      </c>
      <c r="D1659" s="1046" t="s">
        <v>1544</v>
      </c>
      <c r="E1659" s="974" t="s">
        <v>1386</v>
      </c>
    </row>
    <row r="1660" spans="1:5" x14ac:dyDescent="0.25">
      <c r="A1660" s="1324">
        <v>1659</v>
      </c>
      <c r="B1660" s="974" t="s">
        <v>1516</v>
      </c>
      <c r="C1660" s="1046" t="s">
        <v>2184</v>
      </c>
      <c r="D1660" s="1046" t="s">
        <v>1775</v>
      </c>
      <c r="E1660" s="974" t="s">
        <v>1396</v>
      </c>
    </row>
    <row r="1661" spans="1:5" x14ac:dyDescent="0.25">
      <c r="A1661" s="1324">
        <v>1660</v>
      </c>
      <c r="B1661" s="974" t="s">
        <v>1516</v>
      </c>
      <c r="C1661" s="1046" t="s">
        <v>2184</v>
      </c>
      <c r="D1661" s="1046" t="s">
        <v>1775</v>
      </c>
      <c r="E1661" s="974" t="s">
        <v>2005</v>
      </c>
    </row>
    <row r="1662" spans="1:5" x14ac:dyDescent="0.25">
      <c r="A1662" s="1324">
        <v>1661</v>
      </c>
      <c r="B1662" s="974" t="s">
        <v>1516</v>
      </c>
      <c r="C1662" s="1046" t="s">
        <v>2184</v>
      </c>
      <c r="D1662" s="1046" t="s">
        <v>1775</v>
      </c>
      <c r="E1662" s="974" t="s">
        <v>1482</v>
      </c>
    </row>
    <row r="1663" spans="1:5" x14ac:dyDescent="0.25">
      <c r="A1663" s="1324">
        <v>1662</v>
      </c>
      <c r="B1663" s="974" t="s">
        <v>1516</v>
      </c>
      <c r="C1663" s="1046" t="s">
        <v>2184</v>
      </c>
      <c r="D1663" s="1046" t="s">
        <v>1775</v>
      </c>
      <c r="E1663" s="974" t="s">
        <v>1397</v>
      </c>
    </row>
    <row r="1664" spans="1:5" x14ac:dyDescent="0.25">
      <c r="A1664" s="1324">
        <v>1663</v>
      </c>
      <c r="B1664" s="974" t="s">
        <v>1516</v>
      </c>
      <c r="C1664" s="1046" t="s">
        <v>2184</v>
      </c>
      <c r="D1664" s="1325" t="s">
        <v>1410</v>
      </c>
      <c r="E1664" s="1325" t="s">
        <v>2135</v>
      </c>
    </row>
    <row r="1665" spans="1:5" x14ac:dyDescent="0.25">
      <c r="A1665" s="1324">
        <v>1664</v>
      </c>
      <c r="B1665" s="974" t="s">
        <v>1516</v>
      </c>
      <c r="C1665" s="1046" t="s">
        <v>2185</v>
      </c>
      <c r="D1665" s="1046" t="s">
        <v>1410</v>
      </c>
      <c r="E1665" s="974" t="s">
        <v>1491</v>
      </c>
    </row>
    <row r="1666" spans="1:5" x14ac:dyDescent="0.25">
      <c r="A1666" s="1324">
        <v>1665</v>
      </c>
      <c r="B1666" s="974" t="s">
        <v>1516</v>
      </c>
      <c r="C1666" s="1046" t="s">
        <v>2185</v>
      </c>
      <c r="D1666" s="1046" t="s">
        <v>1410</v>
      </c>
      <c r="E1666" s="974" t="s">
        <v>1705</v>
      </c>
    </row>
    <row r="1667" spans="1:5" x14ac:dyDescent="0.25">
      <c r="A1667" s="1324">
        <v>1666</v>
      </c>
      <c r="B1667" s="974" t="s">
        <v>1516</v>
      </c>
      <c r="C1667" s="1046" t="s">
        <v>2185</v>
      </c>
      <c r="D1667" s="1046" t="s">
        <v>1410</v>
      </c>
      <c r="E1667" s="974" t="s">
        <v>1383</v>
      </c>
    </row>
    <row r="1668" spans="1:5" x14ac:dyDescent="0.25">
      <c r="A1668" s="1324">
        <v>1667</v>
      </c>
      <c r="B1668" s="974" t="s">
        <v>1516</v>
      </c>
      <c r="C1668" s="1046" t="s">
        <v>2185</v>
      </c>
      <c r="D1668" s="1046" t="s">
        <v>1775</v>
      </c>
      <c r="E1668" s="974" t="s">
        <v>1381</v>
      </c>
    </row>
    <row r="1669" spans="1:5" x14ac:dyDescent="0.25">
      <c r="A1669" s="1324">
        <v>1668</v>
      </c>
      <c r="B1669" s="974" t="s">
        <v>1516</v>
      </c>
      <c r="C1669" s="1046" t="s">
        <v>2185</v>
      </c>
      <c r="D1669" s="1046" t="s">
        <v>1410</v>
      </c>
      <c r="E1669" s="974" t="s">
        <v>1382</v>
      </c>
    </row>
    <row r="1670" spans="1:5" ht="30" x14ac:dyDescent="0.25">
      <c r="A1670" s="1324">
        <v>1669</v>
      </c>
      <c r="B1670" s="974" t="s">
        <v>1516</v>
      </c>
      <c r="C1670" s="1046" t="s">
        <v>2185</v>
      </c>
      <c r="D1670" s="1046" t="s">
        <v>1544</v>
      </c>
      <c r="E1670" s="974" t="s">
        <v>1385</v>
      </c>
    </row>
    <row r="1671" spans="1:5" ht="30" x14ac:dyDescent="0.25">
      <c r="A1671" s="1324">
        <v>1670</v>
      </c>
      <c r="B1671" s="974" t="s">
        <v>1516</v>
      </c>
      <c r="C1671" s="1046" t="s">
        <v>2185</v>
      </c>
      <c r="D1671" s="1046" t="s">
        <v>1544</v>
      </c>
      <c r="E1671" s="974" t="s">
        <v>1386</v>
      </c>
    </row>
    <row r="1672" spans="1:5" x14ac:dyDescent="0.25">
      <c r="A1672" s="1324">
        <v>1671</v>
      </c>
      <c r="B1672" s="974" t="s">
        <v>1516</v>
      </c>
      <c r="C1672" s="1046" t="s">
        <v>2185</v>
      </c>
      <c r="D1672" s="1046" t="s">
        <v>1775</v>
      </c>
      <c r="E1672" s="974" t="s">
        <v>1396</v>
      </c>
    </row>
    <row r="1673" spans="1:5" x14ac:dyDescent="0.25">
      <c r="A1673" s="1324">
        <v>1672</v>
      </c>
      <c r="B1673" s="974" t="s">
        <v>1516</v>
      </c>
      <c r="C1673" s="1046" t="s">
        <v>2185</v>
      </c>
      <c r="D1673" s="1046" t="s">
        <v>1775</v>
      </c>
      <c r="E1673" s="974" t="s">
        <v>2005</v>
      </c>
    </row>
    <row r="1674" spans="1:5" x14ac:dyDescent="0.25">
      <c r="A1674" s="1324">
        <v>1673</v>
      </c>
      <c r="B1674" s="974" t="s">
        <v>1516</v>
      </c>
      <c r="C1674" s="1046" t="s">
        <v>2185</v>
      </c>
      <c r="D1674" s="1046" t="s">
        <v>1775</v>
      </c>
      <c r="E1674" s="974" t="s">
        <v>1482</v>
      </c>
    </row>
    <row r="1675" spans="1:5" x14ac:dyDescent="0.25">
      <c r="A1675" s="1324">
        <v>1674</v>
      </c>
      <c r="B1675" s="974" t="s">
        <v>1516</v>
      </c>
      <c r="C1675" s="1046" t="s">
        <v>2185</v>
      </c>
      <c r="D1675" s="1046" t="s">
        <v>1775</v>
      </c>
      <c r="E1675" s="974" t="s">
        <v>1397</v>
      </c>
    </row>
    <row r="1676" spans="1:5" x14ac:dyDescent="0.25">
      <c r="A1676" s="1324">
        <v>1675</v>
      </c>
      <c r="B1676" s="974" t="s">
        <v>1516</v>
      </c>
      <c r="C1676" s="1046" t="s">
        <v>2185</v>
      </c>
      <c r="D1676" s="1325" t="s">
        <v>1410</v>
      </c>
      <c r="E1676" s="1325" t="s">
        <v>2135</v>
      </c>
    </row>
    <row r="1677" spans="1:5" x14ac:dyDescent="0.25">
      <c r="A1677" s="1324">
        <v>1676</v>
      </c>
      <c r="B1677" s="974" t="s">
        <v>1516</v>
      </c>
      <c r="C1677" s="1046" t="s">
        <v>2186</v>
      </c>
      <c r="D1677" s="1046" t="s">
        <v>1410</v>
      </c>
      <c r="E1677" s="974" t="s">
        <v>1491</v>
      </c>
    </row>
    <row r="1678" spans="1:5" x14ac:dyDescent="0.25">
      <c r="A1678" s="1324">
        <v>1677</v>
      </c>
      <c r="B1678" s="974" t="s">
        <v>1516</v>
      </c>
      <c r="C1678" s="1046" t="s">
        <v>2186</v>
      </c>
      <c r="D1678" s="1046" t="s">
        <v>1410</v>
      </c>
      <c r="E1678" s="974" t="s">
        <v>1705</v>
      </c>
    </row>
    <row r="1679" spans="1:5" x14ac:dyDescent="0.25">
      <c r="A1679" s="1324">
        <v>1678</v>
      </c>
      <c r="B1679" s="974" t="s">
        <v>1516</v>
      </c>
      <c r="C1679" s="1046" t="s">
        <v>2186</v>
      </c>
      <c r="D1679" s="1046" t="s">
        <v>1410</v>
      </c>
      <c r="E1679" s="974" t="s">
        <v>1383</v>
      </c>
    </row>
    <row r="1680" spans="1:5" x14ac:dyDescent="0.25">
      <c r="A1680" s="1324">
        <v>1679</v>
      </c>
      <c r="B1680" s="974" t="s">
        <v>1516</v>
      </c>
      <c r="C1680" s="1046" t="s">
        <v>2186</v>
      </c>
      <c r="D1680" s="1046" t="s">
        <v>1775</v>
      </c>
      <c r="E1680" s="974" t="s">
        <v>1381</v>
      </c>
    </row>
    <row r="1681" spans="1:5" x14ac:dyDescent="0.25">
      <c r="A1681" s="1324">
        <v>1680</v>
      </c>
      <c r="B1681" s="974" t="s">
        <v>1516</v>
      </c>
      <c r="C1681" s="1046" t="s">
        <v>2186</v>
      </c>
      <c r="D1681" s="1046" t="s">
        <v>1410</v>
      </c>
      <c r="E1681" s="974" t="s">
        <v>1382</v>
      </c>
    </row>
    <row r="1682" spans="1:5" ht="30" x14ac:dyDescent="0.25">
      <c r="A1682" s="1324">
        <v>1681</v>
      </c>
      <c r="B1682" s="974" t="s">
        <v>1516</v>
      </c>
      <c r="C1682" s="1046" t="s">
        <v>2186</v>
      </c>
      <c r="D1682" s="1046" t="s">
        <v>1544</v>
      </c>
      <c r="E1682" s="974" t="s">
        <v>1385</v>
      </c>
    </row>
    <row r="1683" spans="1:5" ht="30" x14ac:dyDescent="0.25">
      <c r="A1683" s="1324">
        <v>1682</v>
      </c>
      <c r="B1683" s="974" t="s">
        <v>1516</v>
      </c>
      <c r="C1683" s="1046" t="s">
        <v>2186</v>
      </c>
      <c r="D1683" s="1046" t="s">
        <v>1544</v>
      </c>
      <c r="E1683" s="974" t="s">
        <v>1386</v>
      </c>
    </row>
    <row r="1684" spans="1:5" x14ac:dyDescent="0.25">
      <c r="A1684" s="1324">
        <v>1683</v>
      </c>
      <c r="B1684" s="974" t="s">
        <v>1516</v>
      </c>
      <c r="C1684" s="1046" t="s">
        <v>2186</v>
      </c>
      <c r="D1684" s="1046" t="s">
        <v>1775</v>
      </c>
      <c r="E1684" s="974" t="s">
        <v>1396</v>
      </c>
    </row>
    <row r="1685" spans="1:5" x14ac:dyDescent="0.25">
      <c r="A1685" s="1324">
        <v>1684</v>
      </c>
      <c r="B1685" s="974" t="s">
        <v>1516</v>
      </c>
      <c r="C1685" s="1046" t="s">
        <v>2186</v>
      </c>
      <c r="D1685" s="1046" t="s">
        <v>1775</v>
      </c>
      <c r="E1685" s="974" t="s">
        <v>2005</v>
      </c>
    </row>
    <row r="1686" spans="1:5" x14ac:dyDescent="0.25">
      <c r="A1686" s="1324">
        <v>1685</v>
      </c>
      <c r="B1686" s="974" t="s">
        <v>1516</v>
      </c>
      <c r="C1686" s="1046" t="s">
        <v>2186</v>
      </c>
      <c r="D1686" s="1046" t="s">
        <v>1775</v>
      </c>
      <c r="E1686" s="974" t="s">
        <v>1482</v>
      </c>
    </row>
    <row r="1687" spans="1:5" x14ac:dyDescent="0.25">
      <c r="A1687" s="1324">
        <v>1686</v>
      </c>
      <c r="B1687" s="974" t="s">
        <v>1516</v>
      </c>
      <c r="C1687" s="1046" t="s">
        <v>2186</v>
      </c>
      <c r="D1687" s="1046" t="s">
        <v>1775</v>
      </c>
      <c r="E1687" s="974" t="s">
        <v>1397</v>
      </c>
    </row>
    <row r="1688" spans="1:5" x14ac:dyDescent="0.25">
      <c r="A1688" s="1324">
        <v>1687</v>
      </c>
      <c r="B1688" s="974" t="s">
        <v>1516</v>
      </c>
      <c r="C1688" s="1046" t="s">
        <v>2186</v>
      </c>
      <c r="D1688" s="1325" t="s">
        <v>1410</v>
      </c>
      <c r="E1688" s="1325" t="s">
        <v>2135</v>
      </c>
    </row>
    <row r="1689" spans="1:5" x14ac:dyDescent="0.25">
      <c r="A1689" s="1324">
        <v>1688</v>
      </c>
      <c r="B1689" s="974" t="s">
        <v>1516</v>
      </c>
      <c r="C1689" s="1046" t="s">
        <v>2187</v>
      </c>
      <c r="D1689" s="1046" t="s">
        <v>1410</v>
      </c>
      <c r="E1689" s="974" t="s">
        <v>1491</v>
      </c>
    </row>
    <row r="1690" spans="1:5" x14ac:dyDescent="0.25">
      <c r="A1690" s="1324">
        <v>1689</v>
      </c>
      <c r="B1690" s="974" t="s">
        <v>1516</v>
      </c>
      <c r="C1690" s="1046" t="s">
        <v>2187</v>
      </c>
      <c r="D1690" s="1046" t="s">
        <v>1410</v>
      </c>
      <c r="E1690" s="974" t="s">
        <v>1705</v>
      </c>
    </row>
    <row r="1691" spans="1:5" x14ac:dyDescent="0.25">
      <c r="A1691" s="1324">
        <v>1690</v>
      </c>
      <c r="B1691" s="974" t="s">
        <v>1516</v>
      </c>
      <c r="C1691" s="1046" t="s">
        <v>2187</v>
      </c>
      <c r="D1691" s="1046" t="s">
        <v>1410</v>
      </c>
      <c r="E1691" s="974" t="s">
        <v>1383</v>
      </c>
    </row>
    <row r="1692" spans="1:5" x14ac:dyDescent="0.25">
      <c r="A1692" s="1324">
        <v>1691</v>
      </c>
      <c r="B1692" s="974" t="s">
        <v>1516</v>
      </c>
      <c r="C1692" s="1046" t="s">
        <v>2187</v>
      </c>
      <c r="D1692" s="1046" t="s">
        <v>1775</v>
      </c>
      <c r="E1692" s="974" t="s">
        <v>1381</v>
      </c>
    </row>
    <row r="1693" spans="1:5" x14ac:dyDescent="0.25">
      <c r="A1693" s="1324">
        <v>1692</v>
      </c>
      <c r="B1693" s="974" t="s">
        <v>1516</v>
      </c>
      <c r="C1693" s="1046" t="s">
        <v>2187</v>
      </c>
      <c r="D1693" s="1046" t="s">
        <v>1410</v>
      </c>
      <c r="E1693" s="974" t="s">
        <v>1382</v>
      </c>
    </row>
    <row r="1694" spans="1:5" ht="30" x14ac:dyDescent="0.25">
      <c r="A1694" s="1324">
        <v>1693</v>
      </c>
      <c r="B1694" s="974" t="s">
        <v>1516</v>
      </c>
      <c r="C1694" s="1046" t="s">
        <v>2187</v>
      </c>
      <c r="D1694" s="1046" t="s">
        <v>1544</v>
      </c>
      <c r="E1694" s="974" t="s">
        <v>1385</v>
      </c>
    </row>
    <row r="1695" spans="1:5" ht="30" x14ac:dyDescent="0.25">
      <c r="A1695" s="1324">
        <v>1694</v>
      </c>
      <c r="B1695" s="974" t="s">
        <v>1516</v>
      </c>
      <c r="C1695" s="1046" t="s">
        <v>2187</v>
      </c>
      <c r="D1695" s="1046" t="s">
        <v>1544</v>
      </c>
      <c r="E1695" s="974" t="s">
        <v>1386</v>
      </c>
    </row>
    <row r="1696" spans="1:5" x14ac:dyDescent="0.25">
      <c r="A1696" s="1324">
        <v>1695</v>
      </c>
      <c r="B1696" s="974" t="s">
        <v>1516</v>
      </c>
      <c r="C1696" s="1046" t="s">
        <v>2187</v>
      </c>
      <c r="D1696" s="1046" t="s">
        <v>1775</v>
      </c>
      <c r="E1696" s="974" t="s">
        <v>1396</v>
      </c>
    </row>
    <row r="1697" spans="1:5" x14ac:dyDescent="0.25">
      <c r="A1697" s="1324">
        <v>1696</v>
      </c>
      <c r="B1697" s="974" t="s">
        <v>1516</v>
      </c>
      <c r="C1697" s="1046" t="s">
        <v>2187</v>
      </c>
      <c r="D1697" s="1046" t="s">
        <v>1775</v>
      </c>
      <c r="E1697" s="974" t="s">
        <v>2005</v>
      </c>
    </row>
    <row r="1698" spans="1:5" x14ac:dyDescent="0.25">
      <c r="A1698" s="1324">
        <v>1697</v>
      </c>
      <c r="B1698" s="974" t="s">
        <v>1516</v>
      </c>
      <c r="C1698" s="1046" t="s">
        <v>2187</v>
      </c>
      <c r="D1698" s="1046" t="s">
        <v>1775</v>
      </c>
      <c r="E1698" s="974" t="s">
        <v>1482</v>
      </c>
    </row>
    <row r="1699" spans="1:5" x14ac:dyDescent="0.25">
      <c r="A1699" s="1324">
        <v>1698</v>
      </c>
      <c r="B1699" s="974" t="s">
        <v>1516</v>
      </c>
      <c r="C1699" s="1046" t="s">
        <v>2187</v>
      </c>
      <c r="D1699" s="1046" t="s">
        <v>1775</v>
      </c>
      <c r="E1699" s="974" t="s">
        <v>1397</v>
      </c>
    </row>
    <row r="1700" spans="1:5" x14ac:dyDescent="0.25">
      <c r="A1700" s="1324">
        <v>1699</v>
      </c>
      <c r="B1700" s="974" t="s">
        <v>1516</v>
      </c>
      <c r="C1700" s="1046" t="s">
        <v>2187</v>
      </c>
      <c r="D1700" s="1325" t="s">
        <v>1410</v>
      </c>
      <c r="E1700" s="1325" t="s">
        <v>2135</v>
      </c>
    </row>
    <row r="1701" spans="1:5" x14ac:dyDescent="0.25">
      <c r="A1701" s="1324">
        <v>1700</v>
      </c>
      <c r="B1701" s="974" t="s">
        <v>1516</v>
      </c>
      <c r="C1701" s="1046" t="s">
        <v>2188</v>
      </c>
      <c r="D1701" s="1046" t="s">
        <v>1410</v>
      </c>
      <c r="E1701" s="974" t="s">
        <v>1491</v>
      </c>
    </row>
    <row r="1702" spans="1:5" x14ac:dyDescent="0.25">
      <c r="A1702" s="1324">
        <v>1701</v>
      </c>
      <c r="B1702" s="974" t="s">
        <v>1516</v>
      </c>
      <c r="C1702" s="1046" t="s">
        <v>2188</v>
      </c>
      <c r="D1702" s="1046" t="s">
        <v>1410</v>
      </c>
      <c r="E1702" s="974" t="s">
        <v>1705</v>
      </c>
    </row>
    <row r="1703" spans="1:5" x14ac:dyDescent="0.25">
      <c r="A1703" s="1324">
        <v>1702</v>
      </c>
      <c r="B1703" s="974" t="s">
        <v>1516</v>
      </c>
      <c r="C1703" s="1046" t="s">
        <v>2188</v>
      </c>
      <c r="D1703" s="1046" t="s">
        <v>1410</v>
      </c>
      <c r="E1703" s="974" t="s">
        <v>1383</v>
      </c>
    </row>
    <row r="1704" spans="1:5" x14ac:dyDescent="0.25">
      <c r="A1704" s="1324">
        <v>1703</v>
      </c>
      <c r="B1704" s="974" t="s">
        <v>1516</v>
      </c>
      <c r="C1704" s="1046" t="s">
        <v>2188</v>
      </c>
      <c r="D1704" s="1046" t="s">
        <v>1775</v>
      </c>
      <c r="E1704" s="974" t="s">
        <v>1381</v>
      </c>
    </row>
    <row r="1705" spans="1:5" x14ac:dyDescent="0.25">
      <c r="A1705" s="1324">
        <v>1704</v>
      </c>
      <c r="B1705" s="974" t="s">
        <v>1516</v>
      </c>
      <c r="C1705" s="1046" t="s">
        <v>2188</v>
      </c>
      <c r="D1705" s="1046" t="s">
        <v>1410</v>
      </c>
      <c r="E1705" s="974" t="s">
        <v>1382</v>
      </c>
    </row>
    <row r="1706" spans="1:5" ht="30" x14ac:dyDescent="0.25">
      <c r="A1706" s="1324">
        <v>1705</v>
      </c>
      <c r="B1706" s="974" t="s">
        <v>1516</v>
      </c>
      <c r="C1706" s="1046" t="s">
        <v>2188</v>
      </c>
      <c r="D1706" s="1046" t="s">
        <v>1544</v>
      </c>
      <c r="E1706" s="974" t="s">
        <v>1385</v>
      </c>
    </row>
    <row r="1707" spans="1:5" ht="30" x14ac:dyDescent="0.25">
      <c r="A1707" s="1324">
        <v>1706</v>
      </c>
      <c r="B1707" s="974" t="s">
        <v>1516</v>
      </c>
      <c r="C1707" s="1046" t="s">
        <v>2188</v>
      </c>
      <c r="D1707" s="1046" t="s">
        <v>1544</v>
      </c>
      <c r="E1707" s="974" t="s">
        <v>1386</v>
      </c>
    </row>
    <row r="1708" spans="1:5" x14ac:dyDescent="0.25">
      <c r="A1708" s="1324">
        <v>1707</v>
      </c>
      <c r="B1708" s="974" t="s">
        <v>1516</v>
      </c>
      <c r="C1708" s="1046" t="s">
        <v>2188</v>
      </c>
      <c r="D1708" s="1046" t="s">
        <v>1775</v>
      </c>
      <c r="E1708" s="974" t="s">
        <v>1396</v>
      </c>
    </row>
    <row r="1709" spans="1:5" x14ac:dyDescent="0.25">
      <c r="A1709" s="1324">
        <v>1708</v>
      </c>
      <c r="B1709" s="974" t="s">
        <v>1516</v>
      </c>
      <c r="C1709" s="1046" t="s">
        <v>2188</v>
      </c>
      <c r="D1709" s="1046" t="s">
        <v>1775</v>
      </c>
      <c r="E1709" s="974" t="s">
        <v>2005</v>
      </c>
    </row>
    <row r="1710" spans="1:5" x14ac:dyDescent="0.25">
      <c r="A1710" s="1324">
        <v>1709</v>
      </c>
      <c r="B1710" s="974" t="s">
        <v>1516</v>
      </c>
      <c r="C1710" s="1046" t="s">
        <v>2188</v>
      </c>
      <c r="D1710" s="1046" t="s">
        <v>1775</v>
      </c>
      <c r="E1710" s="974" t="s">
        <v>1482</v>
      </c>
    </row>
    <row r="1711" spans="1:5" x14ac:dyDescent="0.25">
      <c r="A1711" s="1324">
        <v>1710</v>
      </c>
      <c r="B1711" s="974" t="s">
        <v>1516</v>
      </c>
      <c r="C1711" s="1046" t="s">
        <v>2188</v>
      </c>
      <c r="D1711" s="1046" t="s">
        <v>1775</v>
      </c>
      <c r="E1711" s="974" t="s">
        <v>1397</v>
      </c>
    </row>
    <row r="1712" spans="1:5" x14ac:dyDescent="0.25">
      <c r="A1712" s="1324">
        <v>1711</v>
      </c>
      <c r="B1712" s="974" t="s">
        <v>1516</v>
      </c>
      <c r="C1712" s="1046" t="s">
        <v>2188</v>
      </c>
      <c r="D1712" s="1325" t="s">
        <v>1410</v>
      </c>
      <c r="E1712" s="1325" t="s">
        <v>2135</v>
      </c>
    </row>
    <row r="1713" spans="1:5" x14ac:dyDescent="0.25">
      <c r="A1713" s="1324">
        <v>1712</v>
      </c>
      <c r="B1713" s="974" t="s">
        <v>1516</v>
      </c>
      <c r="C1713" s="1046" t="s">
        <v>2189</v>
      </c>
      <c r="D1713" s="1046" t="s">
        <v>1410</v>
      </c>
      <c r="E1713" s="974" t="s">
        <v>1491</v>
      </c>
    </row>
    <row r="1714" spans="1:5" x14ac:dyDescent="0.25">
      <c r="A1714" s="1324">
        <v>1713</v>
      </c>
      <c r="B1714" s="974" t="s">
        <v>1516</v>
      </c>
      <c r="C1714" s="1046" t="s">
        <v>2189</v>
      </c>
      <c r="D1714" s="1046" t="s">
        <v>1410</v>
      </c>
      <c r="E1714" s="974" t="s">
        <v>1705</v>
      </c>
    </row>
    <row r="1715" spans="1:5" x14ac:dyDescent="0.25">
      <c r="A1715" s="1324">
        <v>1714</v>
      </c>
      <c r="B1715" s="974" t="s">
        <v>1516</v>
      </c>
      <c r="C1715" s="1046" t="s">
        <v>2189</v>
      </c>
      <c r="D1715" s="1046" t="s">
        <v>1410</v>
      </c>
      <c r="E1715" s="974" t="s">
        <v>1383</v>
      </c>
    </row>
    <row r="1716" spans="1:5" x14ac:dyDescent="0.25">
      <c r="A1716" s="1324">
        <v>1715</v>
      </c>
      <c r="B1716" s="974" t="s">
        <v>1516</v>
      </c>
      <c r="C1716" s="1046" t="s">
        <v>2189</v>
      </c>
      <c r="D1716" s="1046" t="s">
        <v>1775</v>
      </c>
      <c r="E1716" s="974" t="s">
        <v>1381</v>
      </c>
    </row>
    <row r="1717" spans="1:5" x14ac:dyDescent="0.25">
      <c r="A1717" s="1324">
        <v>1716</v>
      </c>
      <c r="B1717" s="974" t="s">
        <v>1516</v>
      </c>
      <c r="C1717" s="1046" t="s">
        <v>2189</v>
      </c>
      <c r="D1717" s="1046" t="s">
        <v>1410</v>
      </c>
      <c r="E1717" s="974" t="s">
        <v>1382</v>
      </c>
    </row>
    <row r="1718" spans="1:5" ht="30" x14ac:dyDescent="0.25">
      <c r="A1718" s="1324">
        <v>1717</v>
      </c>
      <c r="B1718" s="974" t="s">
        <v>1516</v>
      </c>
      <c r="C1718" s="1046" t="s">
        <v>2189</v>
      </c>
      <c r="D1718" s="1046" t="s">
        <v>1544</v>
      </c>
      <c r="E1718" s="974" t="s">
        <v>1385</v>
      </c>
    </row>
    <row r="1719" spans="1:5" ht="30" x14ac:dyDescent="0.25">
      <c r="A1719" s="1324">
        <v>1718</v>
      </c>
      <c r="B1719" s="974" t="s">
        <v>1516</v>
      </c>
      <c r="C1719" s="1046" t="s">
        <v>2189</v>
      </c>
      <c r="D1719" s="1046" t="s">
        <v>1544</v>
      </c>
      <c r="E1719" s="974" t="s">
        <v>1386</v>
      </c>
    </row>
    <row r="1720" spans="1:5" x14ac:dyDescent="0.25">
      <c r="A1720" s="1324">
        <v>1719</v>
      </c>
      <c r="B1720" s="974" t="s">
        <v>1516</v>
      </c>
      <c r="C1720" s="1046" t="s">
        <v>2189</v>
      </c>
      <c r="D1720" s="1046" t="s">
        <v>1775</v>
      </c>
      <c r="E1720" s="974" t="s">
        <v>1396</v>
      </c>
    </row>
    <row r="1721" spans="1:5" x14ac:dyDescent="0.25">
      <c r="A1721" s="1324">
        <v>1720</v>
      </c>
      <c r="B1721" s="974" t="s">
        <v>1516</v>
      </c>
      <c r="C1721" s="1046" t="s">
        <v>2189</v>
      </c>
      <c r="D1721" s="1046" t="s">
        <v>1775</v>
      </c>
      <c r="E1721" s="974" t="s">
        <v>2005</v>
      </c>
    </row>
    <row r="1722" spans="1:5" x14ac:dyDescent="0.25">
      <c r="A1722" s="1324">
        <v>1721</v>
      </c>
      <c r="B1722" s="974" t="s">
        <v>1516</v>
      </c>
      <c r="C1722" s="1046" t="s">
        <v>2189</v>
      </c>
      <c r="D1722" s="1046" t="s">
        <v>1775</v>
      </c>
      <c r="E1722" s="974" t="s">
        <v>1482</v>
      </c>
    </row>
    <row r="1723" spans="1:5" x14ac:dyDescent="0.25">
      <c r="A1723" s="1324">
        <v>1722</v>
      </c>
      <c r="B1723" s="974" t="s">
        <v>1516</v>
      </c>
      <c r="C1723" s="1046" t="s">
        <v>2189</v>
      </c>
      <c r="D1723" s="1046" t="s">
        <v>1775</v>
      </c>
      <c r="E1723" s="974" t="s">
        <v>1397</v>
      </c>
    </row>
    <row r="1724" spans="1:5" x14ac:dyDescent="0.25">
      <c r="A1724" s="1324">
        <v>1723</v>
      </c>
      <c r="B1724" s="974" t="s">
        <v>1516</v>
      </c>
      <c r="C1724" s="1046" t="s">
        <v>2189</v>
      </c>
      <c r="D1724" s="1325" t="s">
        <v>1410</v>
      </c>
      <c r="E1724" s="1325" t="s">
        <v>2135</v>
      </c>
    </row>
    <row r="1725" spans="1:5" x14ac:dyDescent="0.25">
      <c r="A1725" s="1324">
        <v>1724</v>
      </c>
      <c r="B1725" s="974" t="s">
        <v>1516</v>
      </c>
      <c r="C1725" s="1046" t="s">
        <v>2190</v>
      </c>
      <c r="D1725" s="1046" t="s">
        <v>1410</v>
      </c>
      <c r="E1725" s="974" t="s">
        <v>1491</v>
      </c>
    </row>
    <row r="1726" spans="1:5" x14ac:dyDescent="0.25">
      <c r="A1726" s="1324">
        <v>1725</v>
      </c>
      <c r="B1726" s="974" t="s">
        <v>1516</v>
      </c>
      <c r="C1726" s="1046" t="s">
        <v>2190</v>
      </c>
      <c r="D1726" s="1046" t="s">
        <v>1410</v>
      </c>
      <c r="E1726" s="974" t="s">
        <v>1705</v>
      </c>
    </row>
    <row r="1727" spans="1:5" x14ac:dyDescent="0.25">
      <c r="A1727" s="1324">
        <v>1726</v>
      </c>
      <c r="B1727" s="974" t="s">
        <v>1516</v>
      </c>
      <c r="C1727" s="1046" t="s">
        <v>2190</v>
      </c>
      <c r="D1727" s="1046" t="s">
        <v>1410</v>
      </c>
      <c r="E1727" s="974" t="s">
        <v>1383</v>
      </c>
    </row>
    <row r="1728" spans="1:5" x14ac:dyDescent="0.25">
      <c r="A1728" s="1324">
        <v>1727</v>
      </c>
      <c r="B1728" s="974" t="s">
        <v>1516</v>
      </c>
      <c r="C1728" s="1046" t="s">
        <v>2190</v>
      </c>
      <c r="D1728" s="1046" t="s">
        <v>1775</v>
      </c>
      <c r="E1728" s="974" t="s">
        <v>1381</v>
      </c>
    </row>
    <row r="1729" spans="1:5" x14ac:dyDescent="0.25">
      <c r="A1729" s="1324">
        <v>1728</v>
      </c>
      <c r="B1729" s="974" t="s">
        <v>1516</v>
      </c>
      <c r="C1729" s="1046" t="s">
        <v>2190</v>
      </c>
      <c r="D1729" s="1046" t="s">
        <v>1410</v>
      </c>
      <c r="E1729" s="974" t="s">
        <v>1382</v>
      </c>
    </row>
    <row r="1730" spans="1:5" ht="30" x14ac:dyDescent="0.25">
      <c r="A1730" s="1324">
        <v>1729</v>
      </c>
      <c r="B1730" s="974" t="s">
        <v>1516</v>
      </c>
      <c r="C1730" s="1046" t="s">
        <v>2190</v>
      </c>
      <c r="D1730" s="1046" t="s">
        <v>1544</v>
      </c>
      <c r="E1730" s="974" t="s">
        <v>1385</v>
      </c>
    </row>
    <row r="1731" spans="1:5" ht="30" x14ac:dyDescent="0.25">
      <c r="A1731" s="1324">
        <v>1730</v>
      </c>
      <c r="B1731" s="974" t="s">
        <v>1516</v>
      </c>
      <c r="C1731" s="1046" t="s">
        <v>2190</v>
      </c>
      <c r="D1731" s="1046" t="s">
        <v>1544</v>
      </c>
      <c r="E1731" s="974" t="s">
        <v>1386</v>
      </c>
    </row>
    <row r="1732" spans="1:5" x14ac:dyDescent="0.25">
      <c r="A1732" s="1324">
        <v>1731</v>
      </c>
      <c r="B1732" s="974" t="s">
        <v>1516</v>
      </c>
      <c r="C1732" s="1046" t="s">
        <v>2190</v>
      </c>
      <c r="D1732" s="1046" t="s">
        <v>1775</v>
      </c>
      <c r="E1732" s="974" t="s">
        <v>1396</v>
      </c>
    </row>
    <row r="1733" spans="1:5" x14ac:dyDescent="0.25">
      <c r="A1733" s="1324">
        <v>1732</v>
      </c>
      <c r="B1733" s="974" t="s">
        <v>1516</v>
      </c>
      <c r="C1733" s="1046" t="s">
        <v>2190</v>
      </c>
      <c r="D1733" s="1046" t="s">
        <v>1775</v>
      </c>
      <c r="E1733" s="974" t="s">
        <v>2005</v>
      </c>
    </row>
    <row r="1734" spans="1:5" x14ac:dyDescent="0.25">
      <c r="A1734" s="1324">
        <v>1733</v>
      </c>
      <c r="B1734" s="974" t="s">
        <v>1516</v>
      </c>
      <c r="C1734" s="1046" t="s">
        <v>2190</v>
      </c>
      <c r="D1734" s="1046" t="s">
        <v>1775</v>
      </c>
      <c r="E1734" s="974" t="s">
        <v>1482</v>
      </c>
    </row>
    <row r="1735" spans="1:5" x14ac:dyDescent="0.25">
      <c r="A1735" s="1324">
        <v>1734</v>
      </c>
      <c r="B1735" s="974" t="s">
        <v>1516</v>
      </c>
      <c r="C1735" s="1046" t="s">
        <v>2190</v>
      </c>
      <c r="D1735" s="1046" t="s">
        <v>1775</v>
      </c>
      <c r="E1735" s="974" t="s">
        <v>1397</v>
      </c>
    </row>
    <row r="1736" spans="1:5" x14ac:dyDescent="0.25">
      <c r="A1736" s="1324">
        <v>1735</v>
      </c>
      <c r="B1736" s="974" t="s">
        <v>1516</v>
      </c>
      <c r="C1736" s="1046" t="s">
        <v>2190</v>
      </c>
      <c r="D1736" s="1325" t="s">
        <v>1410</v>
      </c>
      <c r="E1736" s="1325" t="s">
        <v>2135</v>
      </c>
    </row>
  </sheetData>
  <sheetProtection algorithmName="SHA-512" hashValue="BtMmubvHhVMKlZb5FuuBp9mMn6doeXNGPJZu2gxM7arNE71ogPMjO/mQGjpHhMK6Em17P6Dk4b6MyXrx+sXsHQ==" saltValue="VrbHLR7fE5FQAIigXBN7qQ=="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36" t="s">
        <v>1341</v>
      </c>
      <c r="B1" s="2136"/>
      <c r="C1" s="2136"/>
      <c r="D1" s="2136"/>
      <c r="E1" s="2136"/>
      <c r="F1" s="2136" t="s">
        <v>1342</v>
      </c>
      <c r="G1" s="2136"/>
      <c r="H1" s="2136"/>
      <c r="I1" s="2136" t="s">
        <v>1343</v>
      </c>
      <c r="J1" s="2136"/>
      <c r="K1" s="2136"/>
      <c r="L1" s="2136" t="s">
        <v>1344</v>
      </c>
      <c r="M1" s="2137"/>
      <c r="N1" s="2136"/>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1470</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1440</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1467</v>
      </c>
      <c r="B42" s="1307" t="str">
        <f>IFERROR(_xlfn.CONCAT("C",MATCH(A42,Welcome!C$1:C$60,0)),"")</f>
        <v>C18</v>
      </c>
      <c r="C42" s="1307" t="str">
        <f>IFERROR(_xlfn.CONCAT("D",MATCH(A42,Welcome!C$1:C$61,0)),"")</f>
        <v>D18</v>
      </c>
      <c r="D42" s="817" t="s">
        <v>1350</v>
      </c>
      <c r="E42" s="817" t="s">
        <v>1374</v>
      </c>
      <c r="F42" s="817" t="s">
        <v>1969</v>
      </c>
      <c r="G42" s="817" t="s">
        <v>1970</v>
      </c>
      <c r="H42" s="817"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1428</v>
      </c>
      <c r="M51" s="1351">
        <v>44</v>
      </c>
      <c r="N51" s="817"/>
      <c r="O51" s="1348"/>
      <c r="P51" s="1348"/>
      <c r="Q51" s="1348"/>
      <c r="R51" s="1348"/>
      <c r="S51" s="1348"/>
      <c r="T51" s="1348"/>
      <c r="U51" s="1348"/>
      <c r="V51" s="1348"/>
      <c r="W51" s="1348"/>
      <c r="X51" s="1348"/>
      <c r="Y51" s="1348"/>
      <c r="Z51" s="134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1631</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1428</v>
      </c>
      <c r="M61" s="1351">
        <v>65</v>
      </c>
      <c r="N61" s="817"/>
      <c r="O61" s="1348"/>
      <c r="P61" s="1348"/>
      <c r="Q61" s="1348"/>
      <c r="R61" s="1348"/>
      <c r="S61" s="1348"/>
      <c r="T61" s="1348"/>
      <c r="U61" s="1348"/>
      <c r="V61" s="1348"/>
      <c r="W61" s="1348"/>
      <c r="X61" s="1348"/>
      <c r="Y61" s="1348"/>
      <c r="Z61" s="1348"/>
    </row>
    <row r="62" spans="1:26" x14ac:dyDescent="0.25">
      <c r="A62" s="866" t="s">
        <v>1631</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1631</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1428</v>
      </c>
      <c r="M71" s="1351">
        <v>86</v>
      </c>
      <c r="N71" s="817"/>
      <c r="O71" s="1348"/>
      <c r="P71" s="1348"/>
      <c r="Q71" s="1348"/>
      <c r="R71" s="1348"/>
      <c r="S71" s="1348"/>
      <c r="T71" s="1348"/>
      <c r="U71" s="1348"/>
      <c r="V71" s="1348"/>
      <c r="W71" s="1348"/>
      <c r="X71" s="1348"/>
      <c r="Y71" s="1348"/>
      <c r="Z71" s="1348"/>
    </row>
    <row r="72" spans="1:26" x14ac:dyDescent="0.25">
      <c r="A72" s="863" t="s">
        <v>1631</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1631</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1428</v>
      </c>
      <c r="M81" s="1351">
        <v>107</v>
      </c>
      <c r="N81" s="817"/>
      <c r="O81" s="1348"/>
      <c r="P81" s="1348"/>
      <c r="Q81" s="1348"/>
      <c r="R81" s="1348"/>
      <c r="S81" s="1348"/>
      <c r="T81" s="1348"/>
      <c r="U81" s="1348"/>
      <c r="V81" s="1348"/>
      <c r="W81" s="1348"/>
      <c r="X81" s="1348"/>
      <c r="Y81" s="1348"/>
      <c r="Z81" s="1348"/>
    </row>
    <row r="82" spans="1:26" x14ac:dyDescent="0.25">
      <c r="A82" s="866" t="s">
        <v>1631</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1631</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1428</v>
      </c>
      <c r="M91" s="1351">
        <v>128</v>
      </c>
      <c r="N91" s="817"/>
      <c r="O91" s="1348"/>
      <c r="P91" s="1348"/>
      <c r="Q91" s="1348"/>
      <c r="R91" s="1348"/>
      <c r="S91" s="1348"/>
      <c r="T91" s="1348"/>
      <c r="U91" s="1348"/>
      <c r="V91" s="1348"/>
      <c r="W91" s="1348"/>
      <c r="X91" s="1348"/>
      <c r="Y91" s="1348"/>
      <c r="Z91" s="1348"/>
    </row>
    <row r="92" spans="1:26" x14ac:dyDescent="0.25">
      <c r="A92" s="863" t="s">
        <v>1631</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1631</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1428</v>
      </c>
      <c r="M101" s="1351">
        <v>149</v>
      </c>
      <c r="N101" s="1351"/>
      <c r="O101" s="1348"/>
      <c r="P101" s="1348"/>
      <c r="Q101" s="1348"/>
      <c r="R101" s="1348"/>
      <c r="S101" s="1348"/>
      <c r="T101" s="1348"/>
      <c r="U101" s="1348"/>
      <c r="V101" s="1348"/>
      <c r="W101" s="1348"/>
      <c r="X101" s="1348"/>
      <c r="Y101" s="1348"/>
      <c r="Z101" s="1348"/>
    </row>
    <row r="102" spans="1:26" x14ac:dyDescent="0.25">
      <c r="A102" s="866" t="s">
        <v>1631</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1631</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1428</v>
      </c>
      <c r="M111" s="1351">
        <v>170</v>
      </c>
      <c r="N111" s="1351"/>
      <c r="O111" s="1348"/>
      <c r="P111" s="1348"/>
      <c r="Q111" s="1348"/>
      <c r="R111" s="1348"/>
      <c r="S111" s="1348"/>
      <c r="T111" s="1348"/>
      <c r="U111" s="1348"/>
      <c r="V111" s="1348"/>
      <c r="W111" s="1348"/>
      <c r="X111" s="1348"/>
      <c r="Y111" s="1348"/>
      <c r="Z111" s="1348"/>
    </row>
    <row r="112" spans="1:26" x14ac:dyDescent="0.25">
      <c r="A112" s="863" t="s">
        <v>1631</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1631</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1428</v>
      </c>
      <c r="M121" s="1351">
        <v>191</v>
      </c>
      <c r="N121" s="1351"/>
      <c r="O121" s="1348"/>
      <c r="P121" s="1348"/>
      <c r="Q121" s="1348"/>
      <c r="R121" s="1348"/>
      <c r="S121" s="1348"/>
      <c r="T121" s="1348"/>
      <c r="U121" s="1348"/>
      <c r="V121" s="1348"/>
      <c r="W121" s="1348"/>
      <c r="X121" s="1348"/>
      <c r="Y121" s="1348"/>
      <c r="Z121" s="1348"/>
    </row>
    <row r="122" spans="1:26" x14ac:dyDescent="0.25">
      <c r="A122" s="866" t="s">
        <v>1631</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1631</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1428</v>
      </c>
      <c r="M131" s="1351">
        <v>212</v>
      </c>
      <c r="N131" s="1351"/>
      <c r="O131" s="1348"/>
      <c r="P131" s="1348"/>
      <c r="Q131" s="1348"/>
      <c r="R131" s="1348"/>
      <c r="S131" s="1348"/>
      <c r="T131" s="1348"/>
      <c r="U131" s="1348"/>
      <c r="V131" s="1348"/>
      <c r="W131" s="1348"/>
      <c r="X131" s="1348"/>
      <c r="Y131" s="1348"/>
      <c r="Z131" s="1348"/>
    </row>
    <row r="132" spans="1:26" x14ac:dyDescent="0.25">
      <c r="A132" s="863" t="s">
        <v>1631</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1631</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1428</v>
      </c>
      <c r="M141" s="1351">
        <v>233</v>
      </c>
      <c r="N141" s="1351"/>
      <c r="O141" s="1348"/>
      <c r="P141" s="1348"/>
      <c r="Q141" s="1348"/>
      <c r="R141" s="1348"/>
      <c r="S141" s="1348"/>
      <c r="T141" s="1348"/>
      <c r="U141" s="1348"/>
      <c r="V141" s="1348"/>
      <c r="W141" s="1348"/>
      <c r="X141" s="1348"/>
      <c r="Y141" s="1348"/>
      <c r="Z141" s="134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1783</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7" t="str">
        <f t="shared" si="22"/>
        <v>Legacy Agreement Flag</v>
      </c>
      <c r="J156" s="1351" t="str">
        <f t="shared" si="23"/>
        <v>F24</v>
      </c>
      <c r="K156" s="1351" t="str">
        <f t="shared" si="24"/>
        <v>Agreement Worksheet</v>
      </c>
      <c r="L156" s="867" t="s">
        <v>1725</v>
      </c>
      <c r="M156" s="1351">
        <v>24</v>
      </c>
      <c r="N156" s="1351"/>
      <c r="O156" s="1348"/>
      <c r="P156" s="1348"/>
      <c r="Q156" s="1348"/>
      <c r="R156" s="1348"/>
      <c r="S156" s="1348"/>
      <c r="T156" s="1348"/>
      <c r="U156" s="1348"/>
      <c r="V156" s="1348"/>
      <c r="W156" s="1348"/>
      <c r="X156" s="1348"/>
      <c r="Y156" s="1348"/>
      <c r="Z156" s="134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7" t="str">
        <f t="shared" si="22"/>
        <v>Agreement Calendar</v>
      </c>
      <c r="J157" s="1351" t="str">
        <f t="shared" si="23"/>
        <v>F25</v>
      </c>
      <c r="K157" s="1351" t="str">
        <f t="shared" si="24"/>
        <v>Agreement Worksheet</v>
      </c>
      <c r="L157" s="867" t="s">
        <v>1723</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7" t="str">
        <f t="shared" si="22"/>
        <v xml:space="preserve">Agreement Effective Date: </v>
      </c>
      <c r="J158" s="1351" t="str">
        <f t="shared" si="23"/>
        <v>F7</v>
      </c>
      <c r="K158" s="1351" t="str">
        <f t="shared" si="24"/>
        <v>Required Info to Submit</v>
      </c>
      <c r="L158" s="817" t="s">
        <v>1419</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7" t="str">
        <f t="shared" si="22"/>
        <v>Agreement Expiration Date:</v>
      </c>
      <c r="J159" s="1351" t="str">
        <f t="shared" si="23"/>
        <v>F8</v>
      </c>
      <c r="K159" s="1351" t="str">
        <f t="shared" si="24"/>
        <v>Required Info to Submit</v>
      </c>
      <c r="L159" s="817" t="s">
        <v>1420</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1446</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1447</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7" t="str">
        <f t="shared" si="22"/>
        <v xml:space="preserve">DBA Name: </v>
      </c>
      <c r="J162" s="1351" t="str">
        <f t="shared" si="23"/>
        <v>F504</v>
      </c>
      <c r="K162" s="1351" t="str">
        <f t="shared" si="24"/>
        <v>Required Info to Submit</v>
      </c>
      <c r="L162" s="867" t="s">
        <v>1449</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1450</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1451</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1452</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1453</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1463</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1459</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1461</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1" t="s">
        <v>1491</v>
      </c>
      <c r="G539" s="1351" t="str">
        <f>IF(T539&lt;&gt;"","A","")</f>
        <v/>
      </c>
      <c r="H539" s="1351" t="s">
        <v>1990</v>
      </c>
      <c r="I539" s="1307" t="str">
        <f t="shared" si="51"/>
        <v/>
      </c>
      <c r="J539" s="1351"/>
      <c r="K539" s="1351" t="str">
        <f t="shared" si="52"/>
        <v/>
      </c>
      <c r="L539" s="852"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1"/>
      <c r="G540" s="1351"/>
      <c r="H540" s="1351"/>
      <c r="I540" s="1307" t="str">
        <f t="shared" si="51"/>
        <v/>
      </c>
      <c r="J540" s="1351" t="str">
        <f t="shared" ref="J540:J552" si="56">IF(M540&lt;&gt;"",IF($Q$540="Yes",Q$1&amp;M540,""))</f>
        <v/>
      </c>
      <c r="K540" s="1351" t="str">
        <f t="shared" si="52"/>
        <v/>
      </c>
      <c r="L540" s="852"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1" t="s">
        <v>1383</v>
      </c>
      <c r="G541" s="1351" t="str">
        <f>IF(T541&lt;&gt;"","B","")</f>
        <v/>
      </c>
      <c r="H541" s="1351" t="s">
        <v>1990</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1" t="s">
        <v>1991</v>
      </c>
      <c r="G542" s="1351" t="str">
        <f>IF(T542&lt;&gt;"","E","")</f>
        <v/>
      </c>
      <c r="H542" s="1351" t="s">
        <v>1990</v>
      </c>
      <c r="I542" s="1307" t="str">
        <f t="shared" si="51"/>
        <v/>
      </c>
      <c r="J542" s="1351" t="str">
        <f t="shared" si="56"/>
        <v/>
      </c>
      <c r="K542" s="1351" t="str">
        <f t="shared" si="52"/>
        <v/>
      </c>
      <c r="L542" s="852"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1516</v>
      </c>
      <c r="F543" s="1351" t="s">
        <v>1992</v>
      </c>
      <c r="G543" s="1351" t="str">
        <f>IF(T543&lt;&gt;"","I","")</f>
        <v/>
      </c>
      <c r="H543" s="1351" t="s">
        <v>1990</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1516</v>
      </c>
      <c r="F544" s="1351" t="s">
        <v>1993</v>
      </c>
      <c r="G544" s="1351" t="str">
        <f>IF(T544&lt;&gt;"","H","")</f>
        <v/>
      </c>
      <c r="H544" s="1351" t="s">
        <v>1990</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1516</v>
      </c>
      <c r="F545" s="1351" t="s">
        <v>1382</v>
      </c>
      <c r="G545" s="1351" t="str">
        <f>IF(T545&lt;&gt;"",IF(Q543="Credit Memo","J",IF(Q543="Check","K","")),"")</f>
        <v/>
      </c>
      <c r="H545" s="1351" t="s">
        <v>1990</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1486</v>
      </c>
      <c r="B546" s="852" t="str">
        <f t="shared" ca="1" si="57"/>
        <v>P5</v>
      </c>
      <c r="C546" s="852" t="str">
        <f t="shared" ca="1" si="58"/>
        <v>P6</v>
      </c>
      <c r="D546" s="852" t="s">
        <v>1350</v>
      </c>
      <c r="E546" s="852" t="s">
        <v>1516</v>
      </c>
      <c r="F546" s="1351" t="s">
        <v>1994</v>
      </c>
      <c r="G546" s="1351" t="str">
        <f>IF(T546&lt;&gt;"","F","")</f>
        <v/>
      </c>
      <c r="H546" s="1351" t="s">
        <v>1990</v>
      </c>
      <c r="I546" s="1307" t="str">
        <f t="shared" si="51"/>
        <v/>
      </c>
      <c r="J546" s="1351" t="str">
        <f t="shared" si="56"/>
        <v/>
      </c>
      <c r="K546" s="1351" t="str">
        <f t="shared" si="52"/>
        <v/>
      </c>
      <c r="L546" s="852"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1487</v>
      </c>
      <c r="B547" s="852" t="str">
        <f t="shared" ca="1" si="57"/>
        <v>R5</v>
      </c>
      <c r="C547" s="852" t="str">
        <f t="shared" ca="1" si="58"/>
        <v>R6</v>
      </c>
      <c r="D547" s="852" t="s">
        <v>1350</v>
      </c>
      <c r="E547" s="852" t="s">
        <v>1516</v>
      </c>
      <c r="F547" s="1351" t="s">
        <v>1995</v>
      </c>
      <c r="G547" s="1351" t="str">
        <f>IF(T547&lt;&gt;"","G","")</f>
        <v/>
      </c>
      <c r="H547" s="1351" t="s">
        <v>1990</v>
      </c>
      <c r="I547" s="1307" t="str">
        <f t="shared" si="51"/>
        <v/>
      </c>
      <c r="J547" s="1351" t="str">
        <f t="shared" si="56"/>
        <v/>
      </c>
      <c r="K547" s="1351" t="str">
        <f t="shared" si="52"/>
        <v/>
      </c>
      <c r="L547" s="852"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1488</v>
      </c>
      <c r="B548" s="852" t="str">
        <f t="shared" ca="1" si="57"/>
        <v>T5</v>
      </c>
      <c r="C548" s="852" t="str">
        <f t="shared" ca="1" si="58"/>
        <v>T6</v>
      </c>
      <c r="D548" s="852" t="s">
        <v>1350</v>
      </c>
      <c r="E548" s="852" t="s">
        <v>1516</v>
      </c>
      <c r="F548" s="867" t="s">
        <v>1488</v>
      </c>
      <c r="G548" s="1351" t="str">
        <f>IF(T548&lt;&gt;"","AW","")</f>
        <v/>
      </c>
      <c r="H548" s="1351" t="s">
        <v>1990</v>
      </c>
      <c r="I548" s="1307" t="str">
        <f t="shared" si="51"/>
        <v/>
      </c>
      <c r="J548" s="1351" t="str">
        <f t="shared" si="56"/>
        <v/>
      </c>
      <c r="K548" s="1351" t="str">
        <f t="shared" si="52"/>
        <v/>
      </c>
      <c r="L548" s="852"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1" t="s">
        <v>1385</v>
      </c>
      <c r="G549" s="1351" t="str">
        <f>IF(T549&lt;&gt;"","C","")</f>
        <v/>
      </c>
      <c r="H549" s="1351" t="s">
        <v>1990</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1" t="s">
        <v>1386</v>
      </c>
      <c r="G550" s="1351" t="str">
        <f>IF(T550&lt;&gt;"","D","")</f>
        <v/>
      </c>
      <c r="H550" s="1351" t="s">
        <v>1990</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1" t="s">
        <v>1495</v>
      </c>
      <c r="G551" s="1351" t="str">
        <f>IF(T551&lt;&gt;"","AN","")</f>
        <v/>
      </c>
      <c r="H551" s="1351" t="s">
        <v>1990</v>
      </c>
      <c r="I551" s="1307" t="str">
        <f t="shared" si="51"/>
        <v/>
      </c>
      <c r="J551" s="1351" t="str">
        <f t="shared" si="56"/>
        <v/>
      </c>
      <c r="K551" s="1351" t="str">
        <f t="shared" si="52"/>
        <v/>
      </c>
      <c r="L551" s="852"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1" t="s">
        <v>1492</v>
      </c>
      <c r="G552" s="1351" t="str">
        <f>IF(T552&lt;&gt;"","AL","")</f>
        <v/>
      </c>
      <c r="H552" s="1351" t="s">
        <v>1990</v>
      </c>
      <c r="I552" s="1307" t="str">
        <f t="shared" si="51"/>
        <v/>
      </c>
      <c r="J552" s="1351" t="str">
        <f t="shared" si="56"/>
        <v/>
      </c>
      <c r="K552" s="1351" t="str">
        <f t="shared" si="52"/>
        <v/>
      </c>
      <c r="L552" s="852"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1" t="s">
        <v>1912</v>
      </c>
      <c r="G553" s="1351" t="str">
        <f>IF(T553&lt;&gt;"","O","")</f>
        <v/>
      </c>
      <c r="H553" s="1351" t="s">
        <v>1990</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1" t="s">
        <v>1491</v>
      </c>
      <c r="G554" s="1351" t="str">
        <f>IF(T554&lt;&gt;"","A","")</f>
        <v/>
      </c>
      <c r="H554" s="1351" t="s">
        <v>1990</v>
      </c>
      <c r="I554" s="1307" t="str">
        <f t="shared" si="51"/>
        <v/>
      </c>
      <c r="J554" s="1351"/>
      <c r="K554" s="1351" t="str">
        <f t="shared" si="52"/>
        <v/>
      </c>
      <c r="L554" s="852"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1"/>
      <c r="G555" s="1351"/>
      <c r="H555" s="1351"/>
      <c r="I555" s="1307" t="str">
        <f t="shared" si="51"/>
        <v/>
      </c>
      <c r="J555" s="1351" t="str">
        <f t="shared" ref="J555:J567" si="60">IF(M555&lt;&gt;"",IF($Q$555="Yes",Q$1&amp;M555,""))</f>
        <v/>
      </c>
      <c r="K555" s="1351" t="str">
        <f t="shared" si="52"/>
        <v/>
      </c>
      <c r="L555" s="852"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1" t="s">
        <v>1383</v>
      </c>
      <c r="G556" s="1351" t="str">
        <f>IF(T556&lt;&gt;"","B","")</f>
        <v/>
      </c>
      <c r="H556" s="1351" t="s">
        <v>1990</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1" t="s">
        <v>1991</v>
      </c>
      <c r="G557" s="1351" t="str">
        <f>IF(T557&lt;&gt;"","E","")</f>
        <v/>
      </c>
      <c r="H557" s="1351" t="s">
        <v>1990</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1" t="s">
        <v>1992</v>
      </c>
      <c r="G558" s="1351" t="str">
        <f>IF(T558&lt;&gt;"","I","")</f>
        <v/>
      </c>
      <c r="H558" s="1351" t="s">
        <v>1990</v>
      </c>
      <c r="I558" s="1307" t="str">
        <f t="shared" si="51"/>
        <v/>
      </c>
      <c r="J558" s="1351" t="str">
        <f t="shared" si="60"/>
        <v/>
      </c>
      <c r="K558" s="1351" t="str">
        <f t="shared" si="52"/>
        <v/>
      </c>
      <c r="L558" s="852"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1516</v>
      </c>
      <c r="F559" s="1351" t="s">
        <v>1993</v>
      </c>
      <c r="G559" s="1351" t="str">
        <f>IF(T559&lt;&gt;"","H","")</f>
        <v/>
      </c>
      <c r="H559" s="1351" t="s">
        <v>1990</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1516</v>
      </c>
      <c r="F560" s="1351" t="s">
        <v>1382</v>
      </c>
      <c r="G560" s="1351" t="str">
        <f>IF(T560&lt;&gt;"",IF(Q558="Credit Memo","J",IF(Q558="Check","K","")),"")</f>
        <v/>
      </c>
      <c r="H560" s="1351" t="s">
        <v>1990</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1486</v>
      </c>
      <c r="B561" s="852" t="str">
        <f t="shared" ca="1" si="62"/>
        <v>P19</v>
      </c>
      <c r="C561" s="852" t="str">
        <f t="shared" ca="1" si="63"/>
        <v>P20</v>
      </c>
      <c r="D561" s="852" t="s">
        <v>1350</v>
      </c>
      <c r="E561" s="852" t="s">
        <v>1516</v>
      </c>
      <c r="F561" s="1351" t="s">
        <v>1994</v>
      </c>
      <c r="G561" s="1351" t="str">
        <f>IF(T561&lt;&gt;"","F","")</f>
        <v/>
      </c>
      <c r="H561" s="1351" t="s">
        <v>1990</v>
      </c>
      <c r="I561" s="1307" t="str">
        <f t="shared" si="51"/>
        <v/>
      </c>
      <c r="J561" s="1351" t="str">
        <f t="shared" si="60"/>
        <v/>
      </c>
      <c r="K561" s="1351" t="str">
        <f t="shared" si="52"/>
        <v/>
      </c>
      <c r="L561" s="852"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1487</v>
      </c>
      <c r="B562" s="852" t="str">
        <f t="shared" ca="1" si="62"/>
        <v>R19</v>
      </c>
      <c r="C562" s="852" t="str">
        <f t="shared" ca="1" si="63"/>
        <v>R20</v>
      </c>
      <c r="D562" s="852" t="s">
        <v>1350</v>
      </c>
      <c r="E562" s="852" t="s">
        <v>1516</v>
      </c>
      <c r="F562" s="1351" t="s">
        <v>1995</v>
      </c>
      <c r="G562" s="1351" t="str">
        <f>IF(T562&lt;&gt;"","G","")</f>
        <v/>
      </c>
      <c r="H562" s="1351" t="s">
        <v>1990</v>
      </c>
      <c r="I562" s="1307" t="str">
        <f t="shared" si="51"/>
        <v/>
      </c>
      <c r="J562" s="1351" t="str">
        <f t="shared" si="60"/>
        <v/>
      </c>
      <c r="K562" s="1351" t="str">
        <f t="shared" si="52"/>
        <v/>
      </c>
      <c r="L562" s="852"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1488</v>
      </c>
      <c r="B563" s="852" t="str">
        <f t="shared" ca="1" si="62"/>
        <v>T19</v>
      </c>
      <c r="C563" s="852" t="str">
        <f t="shared" ca="1" si="63"/>
        <v>T20</v>
      </c>
      <c r="D563" s="852" t="s">
        <v>1350</v>
      </c>
      <c r="E563" s="852" t="s">
        <v>1516</v>
      </c>
      <c r="F563" s="867" t="s">
        <v>1488</v>
      </c>
      <c r="G563" s="1351" t="str">
        <f>IF(T563&lt;&gt;"","AW","")</f>
        <v/>
      </c>
      <c r="H563" s="1351" t="s">
        <v>1990</v>
      </c>
      <c r="I563" s="1307" t="str">
        <f t="shared" si="51"/>
        <v/>
      </c>
      <c r="J563" s="1351" t="str">
        <f t="shared" si="60"/>
        <v/>
      </c>
      <c r="K563" s="1351" t="str">
        <f t="shared" si="52"/>
        <v/>
      </c>
      <c r="L563" s="852"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1" t="s">
        <v>1385</v>
      </c>
      <c r="G564" s="1351" t="str">
        <f>IF(T564&lt;&gt;"","C","")</f>
        <v/>
      </c>
      <c r="H564" s="1351" t="s">
        <v>1990</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1" t="s">
        <v>1386</v>
      </c>
      <c r="G565" s="1351" t="str">
        <f>IF(T565&lt;&gt;"","D","")</f>
        <v/>
      </c>
      <c r="H565" s="1351" t="s">
        <v>1990</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1" t="s">
        <v>1495</v>
      </c>
      <c r="G566" s="1351" t="str">
        <f>IF(T566&lt;&gt;"","AN","")</f>
        <v/>
      </c>
      <c r="H566" s="1351" t="s">
        <v>1990</v>
      </c>
      <c r="I566" s="1307" t="str">
        <f t="shared" si="51"/>
        <v/>
      </c>
      <c r="J566" s="1351" t="str">
        <f t="shared" si="60"/>
        <v/>
      </c>
      <c r="K566" s="1351" t="str">
        <f t="shared" si="52"/>
        <v/>
      </c>
      <c r="L566" s="852"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1" t="s">
        <v>1492</v>
      </c>
      <c r="G567" s="1351" t="str">
        <f>IF(T567&lt;&gt;"","AL","")</f>
        <v/>
      </c>
      <c r="H567" s="1351" t="s">
        <v>1990</v>
      </c>
      <c r="I567" s="1307" t="str">
        <f t="shared" si="51"/>
        <v/>
      </c>
      <c r="J567" s="1351" t="str">
        <f t="shared" si="60"/>
        <v/>
      </c>
      <c r="K567" s="1351" t="str">
        <f t="shared" si="52"/>
        <v/>
      </c>
      <c r="L567" s="852"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1" t="s">
        <v>1912</v>
      </c>
      <c r="G568" s="1351" t="str">
        <f>IF(T568&lt;&gt;"","O","")</f>
        <v/>
      </c>
      <c r="H568" s="1351" t="s">
        <v>1990</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1" t="s">
        <v>1491</v>
      </c>
      <c r="G569" s="1351" t="str">
        <f>IF(T569&lt;&gt;"","A","")</f>
        <v/>
      </c>
      <c r="H569" s="1351" t="s">
        <v>1990</v>
      </c>
      <c r="I569" s="1307" t="str">
        <f t="shared" si="51"/>
        <v/>
      </c>
      <c r="J569" s="1351"/>
      <c r="K569" s="1351" t="str">
        <f t="shared" si="52"/>
        <v/>
      </c>
      <c r="L569" s="852"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1"/>
      <c r="G570" s="1351"/>
      <c r="H570" s="1351"/>
      <c r="I570" s="1307" t="str">
        <f t="shared" si="51"/>
        <v/>
      </c>
      <c r="J570" s="1351" t="str">
        <f t="shared" ref="J570:J587" si="65">IF(M570&lt;&gt;"",IF($Q$570="Yes",Q$1&amp;M570,""))</f>
        <v/>
      </c>
      <c r="K570" s="1351" t="str">
        <f t="shared" si="52"/>
        <v/>
      </c>
      <c r="L570" s="852"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1" t="s">
        <v>1383</v>
      </c>
      <c r="G571" s="1351" t="str">
        <f>IF(T571&lt;&gt;"","B","")</f>
        <v/>
      </c>
      <c r="H571" s="1351" t="s">
        <v>1990</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1" t="s">
        <v>1991</v>
      </c>
      <c r="G572" s="1351" t="str">
        <f>IF(T572&lt;&gt;"","E","")</f>
        <v/>
      </c>
      <c r="H572" s="1351" t="s">
        <v>1990</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1" t="s">
        <v>1992</v>
      </c>
      <c r="G573" s="1351" t="str">
        <f>IF(T573&lt;&gt;"","I","")</f>
        <v/>
      </c>
      <c r="H573" s="1351" t="s">
        <v>1990</v>
      </c>
      <c r="I573" s="1307" t="str">
        <f t="shared" si="51"/>
        <v/>
      </c>
      <c r="J573" s="1351" t="str">
        <f t="shared" si="65"/>
        <v/>
      </c>
      <c r="K573" s="1351" t="str">
        <f t="shared" si="52"/>
        <v/>
      </c>
      <c r="L573" s="852"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1516</v>
      </c>
      <c r="F574" s="1351" t="s">
        <v>1993</v>
      </c>
      <c r="G574" s="1351" t="str">
        <f>IF(T574&lt;&gt;"","H","")</f>
        <v/>
      </c>
      <c r="H574" s="1351" t="s">
        <v>1990</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1516</v>
      </c>
      <c r="F575" s="1351" t="s">
        <v>1382</v>
      </c>
      <c r="G575" s="1351" t="str">
        <f>IF(T575&lt;&gt;"",IF(Q573="Credit Memo","J",IF(Q573="Check","K","")),"")</f>
        <v/>
      </c>
      <c r="H575" s="1351" t="s">
        <v>1990</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1486</v>
      </c>
      <c r="B576" s="852" t="str">
        <f t="shared" ca="1" si="66"/>
        <v>P33</v>
      </c>
      <c r="C576" s="852" t="str">
        <f t="shared" ca="1" si="67"/>
        <v>P34</v>
      </c>
      <c r="D576" s="852" t="s">
        <v>1350</v>
      </c>
      <c r="E576" s="852" t="s">
        <v>1516</v>
      </c>
      <c r="F576" s="1351" t="s">
        <v>1994</v>
      </c>
      <c r="G576" s="1351" t="str">
        <f>IF(T576&lt;&gt;"","F","")</f>
        <v/>
      </c>
      <c r="H576" s="1351" t="s">
        <v>1990</v>
      </c>
      <c r="I576" s="1307" t="str">
        <f t="shared" si="51"/>
        <v/>
      </c>
      <c r="J576" s="1351" t="str">
        <f t="shared" si="65"/>
        <v/>
      </c>
      <c r="K576" s="1351" t="str">
        <f t="shared" si="52"/>
        <v/>
      </c>
      <c r="L576" s="852"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1487</v>
      </c>
      <c r="B577" s="852" t="str">
        <f t="shared" ca="1" si="66"/>
        <v>R33</v>
      </c>
      <c r="C577" s="852" t="str">
        <f t="shared" ca="1" si="67"/>
        <v>R34</v>
      </c>
      <c r="D577" s="852" t="s">
        <v>1350</v>
      </c>
      <c r="E577" s="852" t="s">
        <v>1516</v>
      </c>
      <c r="F577" s="1351" t="s">
        <v>1995</v>
      </c>
      <c r="G577" s="1351" t="str">
        <f>IF(T577&lt;&gt;"","G","")</f>
        <v/>
      </c>
      <c r="H577" s="1351" t="s">
        <v>1990</v>
      </c>
      <c r="I577" s="1307" t="str">
        <f t="shared" si="51"/>
        <v/>
      </c>
      <c r="J577" s="1351" t="str">
        <f t="shared" si="65"/>
        <v/>
      </c>
      <c r="K577" s="1351" t="str">
        <f t="shared" si="52"/>
        <v/>
      </c>
      <c r="L577" s="852"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1488</v>
      </c>
      <c r="B578" s="852" t="str">
        <f t="shared" ca="1" si="66"/>
        <v>T33</v>
      </c>
      <c r="C578" s="852" t="str">
        <f t="shared" ca="1" si="67"/>
        <v>T34</v>
      </c>
      <c r="D578" s="852" t="s">
        <v>1350</v>
      </c>
      <c r="E578" s="852" t="s">
        <v>1516</v>
      </c>
      <c r="F578" s="867" t="s">
        <v>1488</v>
      </c>
      <c r="G578" s="1351" t="str">
        <f>IF(T578&lt;&gt;"","AW","")</f>
        <v/>
      </c>
      <c r="H578" s="1351" t="s">
        <v>1990</v>
      </c>
      <c r="I578" s="1307" t="str">
        <f t="shared" si="51"/>
        <v/>
      </c>
      <c r="J578" s="1351" t="str">
        <f t="shared" si="65"/>
        <v/>
      </c>
      <c r="K578" s="1351" t="str">
        <f t="shared" si="52"/>
        <v/>
      </c>
      <c r="L578" s="852"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1" t="s">
        <v>1385</v>
      </c>
      <c r="G579" s="1351" t="str">
        <f>IF(T579&lt;&gt;"","C","")</f>
        <v/>
      </c>
      <c r="H579" s="1351" t="s">
        <v>1990</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1" t="s">
        <v>1386</v>
      </c>
      <c r="G580" s="1351" t="str">
        <f>IF(T580&lt;&gt;"","D","")</f>
        <v/>
      </c>
      <c r="H580" s="1351" t="s">
        <v>1990</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1" t="s">
        <v>1495</v>
      </c>
      <c r="G581" s="1351" t="str">
        <f>IF(T581&lt;&gt;"","AN","")</f>
        <v/>
      </c>
      <c r="H581" s="1351" t="s">
        <v>1990</v>
      </c>
      <c r="I581" s="1307" t="str">
        <f t="shared" si="68"/>
        <v/>
      </c>
      <c r="J581" s="1351" t="str">
        <f t="shared" si="65"/>
        <v/>
      </c>
      <c r="K581" s="1351" t="str">
        <f t="shared" si="69"/>
        <v/>
      </c>
      <c r="L581" s="852"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1492</v>
      </c>
      <c r="B582" s="852" t="s">
        <v>1777</v>
      </c>
      <c r="C582" s="852" t="s">
        <v>1778</v>
      </c>
      <c r="D582" s="852" t="s">
        <v>1350</v>
      </c>
      <c r="E582" s="852" t="s">
        <v>1516</v>
      </c>
      <c r="F582" s="1351" t="s">
        <v>1492</v>
      </c>
      <c r="G582" s="1351" t="str">
        <f>IF(T582&lt;&gt;"","AL","")</f>
        <v/>
      </c>
      <c r="H582" s="1351" t="s">
        <v>1990</v>
      </c>
      <c r="I582" s="1307" t="str">
        <f t="shared" si="68"/>
        <v/>
      </c>
      <c r="J582" s="1351" t="str">
        <f t="shared" si="65"/>
        <v/>
      </c>
      <c r="K582" s="1351" t="str">
        <f t="shared" si="69"/>
        <v/>
      </c>
      <c r="L582" s="852"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1506</v>
      </c>
      <c r="B583" s="852" t="s">
        <v>1779</v>
      </c>
      <c r="C583" s="852" t="s">
        <v>1780</v>
      </c>
      <c r="D583" s="852" t="s">
        <v>1350</v>
      </c>
      <c r="E583" s="852" t="s">
        <v>1516</v>
      </c>
      <c r="F583" s="1351" t="s">
        <v>1996</v>
      </c>
      <c r="G583" s="1351" t="str">
        <f>IF(T583&lt;&gt;"","L","")</f>
        <v/>
      </c>
      <c r="H583" s="1351" t="s">
        <v>1990</v>
      </c>
      <c r="I583" s="1307" t="str">
        <f t="shared" si="68"/>
        <v/>
      </c>
      <c r="J583" s="1351" t="str">
        <f t="shared" si="65"/>
        <v/>
      </c>
      <c r="K583" s="1351" t="str">
        <f t="shared" si="69"/>
        <v/>
      </c>
      <c r="L583" s="852"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1" t="str">
        <f>IF(T584&lt;&gt;"","AH","")</f>
        <v/>
      </c>
      <c r="H584" s="1351" t="s">
        <v>1990</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1" t="s">
        <v>1912</v>
      </c>
      <c r="G586" s="1351" t="str">
        <f>IF(T586&lt;&gt;"","AI","")</f>
        <v/>
      </c>
      <c r="H586" s="1351" t="s">
        <v>1990</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1" t="s">
        <v>1508</v>
      </c>
      <c r="G587" s="1351" t="str">
        <f>IF(T587&lt;&gt;"","P","")</f>
        <v/>
      </c>
      <c r="H587" s="1351" t="s">
        <v>1990</v>
      </c>
      <c r="I587" s="1307" t="str">
        <f t="shared" si="68"/>
        <v/>
      </c>
      <c r="J587" s="1351" t="str">
        <f t="shared" si="65"/>
        <v/>
      </c>
      <c r="K587" s="1351" t="str">
        <f t="shared" si="69"/>
        <v/>
      </c>
      <c r="L587" s="852"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1" t="s">
        <v>1491</v>
      </c>
      <c r="G588" s="1351" t="str">
        <f>IF(T588&lt;&gt;"","A","")</f>
        <v/>
      </c>
      <c r="H588" s="1351" t="s">
        <v>1990</v>
      </c>
      <c r="I588" s="1307" t="str">
        <f t="shared" si="68"/>
        <v/>
      </c>
      <c r="J588" s="1351"/>
      <c r="K588" s="1351" t="str">
        <f t="shared" si="69"/>
        <v/>
      </c>
      <c r="L588" s="852"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1"/>
      <c r="G589" s="1351"/>
      <c r="H589" s="1351"/>
      <c r="I589" s="1307" t="str">
        <f t="shared" si="68"/>
        <v/>
      </c>
      <c r="J589" s="1351" t="str">
        <f t="shared" ref="J589:J606" si="71">IF(M589&lt;&gt;"",IF($Q$589="Yes",Q$1&amp;M589,""))</f>
        <v/>
      </c>
      <c r="K589" s="1351" t="str">
        <f t="shared" si="69"/>
        <v/>
      </c>
      <c r="L589" s="852"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1" t="s">
        <v>1383</v>
      </c>
      <c r="G590" s="1351" t="str">
        <f>IF(T590&lt;&gt;"","B","")</f>
        <v/>
      </c>
      <c r="H590" s="1351" t="s">
        <v>1990</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1" t="s">
        <v>1991</v>
      </c>
      <c r="G591" s="1351" t="str">
        <f>IF(T591&lt;&gt;"","E","")</f>
        <v/>
      </c>
      <c r="H591" s="1351" t="s">
        <v>1990</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1" t="s">
        <v>1992</v>
      </c>
      <c r="G592" s="1351" t="str">
        <f>IF(T592&lt;&gt;"","I","")</f>
        <v/>
      </c>
      <c r="H592" s="1351" t="s">
        <v>1990</v>
      </c>
      <c r="I592" s="1307" t="str">
        <f t="shared" si="68"/>
        <v/>
      </c>
      <c r="J592" s="1351" t="str">
        <f t="shared" si="71"/>
        <v/>
      </c>
      <c r="K592" s="1351" t="str">
        <f t="shared" si="69"/>
        <v/>
      </c>
      <c r="L592" s="852"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1516</v>
      </c>
      <c r="F593" s="1351" t="s">
        <v>1993</v>
      </c>
      <c r="G593" s="1351" t="str">
        <f>IF(T593&lt;&gt;"","H","")</f>
        <v/>
      </c>
      <c r="H593" s="1351" t="s">
        <v>1990</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1516</v>
      </c>
      <c r="F594" s="1351" t="s">
        <v>1382</v>
      </c>
      <c r="G594" s="1351" t="str">
        <f>IF(T594&lt;&gt;"",IF(Q592="Credit Memo","J",IF(Q592="Check","K","")),"")</f>
        <v/>
      </c>
      <c r="H594" s="1351" t="s">
        <v>1990</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1486</v>
      </c>
      <c r="B595" s="852" t="str">
        <f t="shared" ca="1" si="72"/>
        <v>P47</v>
      </c>
      <c r="C595" s="852" t="str">
        <f t="shared" ca="1" si="73"/>
        <v>P48</v>
      </c>
      <c r="D595" s="852" t="s">
        <v>1350</v>
      </c>
      <c r="E595" s="852" t="s">
        <v>1516</v>
      </c>
      <c r="F595" s="1351" t="s">
        <v>1994</v>
      </c>
      <c r="G595" s="1351" t="str">
        <f>IF(T595&lt;&gt;"","F","")</f>
        <v/>
      </c>
      <c r="H595" s="1351" t="s">
        <v>1990</v>
      </c>
      <c r="I595" s="1307" t="str">
        <f t="shared" si="68"/>
        <v/>
      </c>
      <c r="J595" s="1351" t="str">
        <f t="shared" si="71"/>
        <v/>
      </c>
      <c r="K595" s="1351" t="str">
        <f t="shared" si="69"/>
        <v/>
      </c>
      <c r="L595" s="852"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1487</v>
      </c>
      <c r="B596" s="852" t="str">
        <f t="shared" ca="1" si="72"/>
        <v>R47</v>
      </c>
      <c r="C596" s="852" t="str">
        <f t="shared" ca="1" si="73"/>
        <v>R48</v>
      </c>
      <c r="D596" s="852" t="s">
        <v>1350</v>
      </c>
      <c r="E596" s="852" t="s">
        <v>1516</v>
      </c>
      <c r="F596" s="1351" t="s">
        <v>1995</v>
      </c>
      <c r="G596" s="1351" t="str">
        <f>IF(T596&lt;&gt;"","G","")</f>
        <v/>
      </c>
      <c r="H596" s="1351" t="s">
        <v>1990</v>
      </c>
      <c r="I596" s="1307" t="str">
        <f t="shared" si="68"/>
        <v/>
      </c>
      <c r="J596" s="1351" t="str">
        <f t="shared" si="71"/>
        <v/>
      </c>
      <c r="K596" s="1351" t="str">
        <f t="shared" si="69"/>
        <v/>
      </c>
      <c r="L596" s="852"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1488</v>
      </c>
      <c r="B597" s="852" t="str">
        <f t="shared" ca="1" si="72"/>
        <v>T47</v>
      </c>
      <c r="C597" s="852" t="str">
        <f t="shared" ca="1" si="73"/>
        <v>T48</v>
      </c>
      <c r="D597" s="852" t="s">
        <v>1350</v>
      </c>
      <c r="E597" s="852" t="s">
        <v>1516</v>
      </c>
      <c r="F597" s="867" t="s">
        <v>1488</v>
      </c>
      <c r="G597" s="1351" t="str">
        <f>IF(T597&lt;&gt;"","AW","")</f>
        <v/>
      </c>
      <c r="H597" s="1351" t="s">
        <v>1990</v>
      </c>
      <c r="I597" s="1307" t="str">
        <f t="shared" si="68"/>
        <v/>
      </c>
      <c r="J597" s="1351" t="str">
        <f t="shared" si="71"/>
        <v/>
      </c>
      <c r="K597" s="1351" t="str">
        <f t="shared" si="69"/>
        <v/>
      </c>
      <c r="L597" s="852"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1" t="s">
        <v>1385</v>
      </c>
      <c r="G598" s="1351" t="str">
        <f>IF(T598&lt;&gt;"","C","")</f>
        <v/>
      </c>
      <c r="H598" s="1351" t="s">
        <v>1990</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1" t="s">
        <v>1386</v>
      </c>
      <c r="G599" s="1351" t="str">
        <f>IF(T599&lt;&gt;"","D","")</f>
        <v/>
      </c>
      <c r="H599" s="1351" t="s">
        <v>1990</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1" t="s">
        <v>1495</v>
      </c>
      <c r="G600" s="1351" t="str">
        <f>IF(T600&lt;&gt;"","AN","")</f>
        <v/>
      </c>
      <c r="H600" s="1351" t="s">
        <v>1990</v>
      </c>
      <c r="I600" s="1307" t="str">
        <f t="shared" si="68"/>
        <v/>
      </c>
      <c r="J600" s="1351" t="str">
        <f t="shared" si="71"/>
        <v/>
      </c>
      <c r="K600" s="1351" t="str">
        <f t="shared" si="69"/>
        <v/>
      </c>
      <c r="L600" s="852"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1" t="s">
        <v>1492</v>
      </c>
      <c r="G601" s="1351" t="str">
        <f>IF(T601&lt;&gt;"","AL","")</f>
        <v/>
      </c>
      <c r="H601" s="1351" t="s">
        <v>1990</v>
      </c>
      <c r="I601" s="1307" t="str">
        <f t="shared" si="68"/>
        <v/>
      </c>
      <c r="J601" s="1351" t="str">
        <f t="shared" si="71"/>
        <v/>
      </c>
      <c r="K601" s="1351" t="str">
        <f t="shared" si="69"/>
        <v/>
      </c>
      <c r="L601" s="852"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1" t="s">
        <v>1996</v>
      </c>
      <c r="G602" s="1351" t="str">
        <f>IF(T602&lt;&gt;"","L","")</f>
        <v/>
      </c>
      <c r="H602" s="1351" t="s">
        <v>1990</v>
      </c>
      <c r="I602" s="1307" t="str">
        <f t="shared" si="68"/>
        <v/>
      </c>
      <c r="J602" s="1351" t="str">
        <f t="shared" si="71"/>
        <v/>
      </c>
      <c r="K602" s="1351" t="str">
        <f t="shared" si="69"/>
        <v/>
      </c>
      <c r="L602" s="852"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1" t="str">
        <f>IF(T603&lt;&gt;"","AH","")</f>
        <v/>
      </c>
      <c r="H603" s="1351" t="s">
        <v>1990</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1" t="s">
        <v>1912</v>
      </c>
      <c r="G605" s="1351"/>
      <c r="H605" s="1351" t="s">
        <v>1990</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1" t="s">
        <v>1508</v>
      </c>
      <c r="G606" s="1351" t="str">
        <f>IF(T606&lt;&gt;"","P","")</f>
        <v/>
      </c>
      <c r="H606" s="1351" t="s">
        <v>1990</v>
      </c>
      <c r="I606" s="1307" t="str">
        <f t="shared" si="68"/>
        <v/>
      </c>
      <c r="J606" s="1351" t="str">
        <f t="shared" si="71"/>
        <v/>
      </c>
      <c r="K606" s="1351" t="str">
        <f t="shared" si="69"/>
        <v/>
      </c>
      <c r="L606" s="852"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1" t="s">
        <v>1491</v>
      </c>
      <c r="G607" s="1351" t="str">
        <f>IF(T607&lt;&gt;"","A","")</f>
        <v/>
      </c>
      <c r="H607" s="1351" t="s">
        <v>1990</v>
      </c>
      <c r="I607" s="1307" t="str">
        <f t="shared" si="68"/>
        <v/>
      </c>
      <c r="J607" s="1351"/>
      <c r="K607" s="1351" t="str">
        <f t="shared" si="69"/>
        <v/>
      </c>
      <c r="L607" s="852"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1"/>
      <c r="G608" s="1351"/>
      <c r="H608" s="1351"/>
      <c r="I608" s="1307" t="str">
        <f t="shared" si="68"/>
        <v/>
      </c>
      <c r="J608" s="1351" t="str">
        <f t="shared" ref="J608:J637" si="75">IF(M608&lt;&gt;"",IF($Q$608="Yes",Q$1&amp;M608,""))</f>
        <v/>
      </c>
      <c r="K608" s="1351" t="str">
        <f t="shared" si="69"/>
        <v/>
      </c>
      <c r="L608" s="852"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1" t="s">
        <v>1383</v>
      </c>
      <c r="G609" s="1351" t="str">
        <f>IF(T609&lt;&gt;"","B","")</f>
        <v/>
      </c>
      <c r="H609" s="1351" t="s">
        <v>1990</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1" t="s">
        <v>1991</v>
      </c>
      <c r="G610" s="1351" t="str">
        <f>IF(T610&lt;&gt;"","E","")</f>
        <v/>
      </c>
      <c r="H610" s="1351" t="s">
        <v>1990</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1516</v>
      </c>
      <c r="F611" s="1351" t="s">
        <v>1992</v>
      </c>
      <c r="G611" s="1351" t="str">
        <f>IF(T611&lt;&gt;"","I","")</f>
        <v/>
      </c>
      <c r="H611" s="1351" t="s">
        <v>1990</v>
      </c>
      <c r="I611" s="1307" t="str">
        <f t="shared" si="68"/>
        <v/>
      </c>
      <c r="J611" s="1351" t="str">
        <f t="shared" si="75"/>
        <v/>
      </c>
      <c r="K611" s="1351" t="str">
        <f t="shared" si="69"/>
        <v/>
      </c>
      <c r="L611" s="852"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1516</v>
      </c>
      <c r="F612" s="1351" t="s">
        <v>1993</v>
      </c>
      <c r="G612" s="1351" t="str">
        <f>IF(T612&lt;&gt;"","H","")</f>
        <v/>
      </c>
      <c r="H612" s="1351" t="s">
        <v>1990</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1516</v>
      </c>
      <c r="F613" s="1351" t="s">
        <v>1382</v>
      </c>
      <c r="G613" s="1351" t="str">
        <f>IF(T613&lt;&gt;"",IF(Q611="Credit Memo","J",IF(Q611="Check","K","")),"")</f>
        <v/>
      </c>
      <c r="H613" s="1351" t="s">
        <v>1990</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1486</v>
      </c>
      <c r="B614" s="852" t="str">
        <f t="shared" ca="1" si="76"/>
        <v>P61</v>
      </c>
      <c r="C614" s="852" t="str">
        <f t="shared" ca="1" si="77"/>
        <v>P62</v>
      </c>
      <c r="D614" s="852" t="s">
        <v>1350</v>
      </c>
      <c r="E614" s="852" t="s">
        <v>1516</v>
      </c>
      <c r="F614" s="1351" t="s">
        <v>1994</v>
      </c>
      <c r="G614" s="1351" t="str">
        <f>IF(T614&lt;&gt;"","F","")</f>
        <v/>
      </c>
      <c r="H614" s="1351" t="s">
        <v>1990</v>
      </c>
      <c r="I614" s="1307" t="str">
        <f t="shared" si="68"/>
        <v/>
      </c>
      <c r="J614" s="1351" t="str">
        <f t="shared" si="75"/>
        <v/>
      </c>
      <c r="K614" s="1351" t="str">
        <f t="shared" si="69"/>
        <v/>
      </c>
      <c r="L614" s="852"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1487</v>
      </c>
      <c r="B615" s="852" t="str">
        <f t="shared" ca="1" si="76"/>
        <v>R61</v>
      </c>
      <c r="C615" s="852" t="str">
        <f t="shared" ca="1" si="77"/>
        <v>R62</v>
      </c>
      <c r="D615" s="852" t="s">
        <v>1350</v>
      </c>
      <c r="E615" s="852" t="s">
        <v>1516</v>
      </c>
      <c r="F615" s="1351" t="s">
        <v>1995</v>
      </c>
      <c r="G615" s="1351" t="str">
        <f>IF(T615&lt;&gt;"","G","")</f>
        <v/>
      </c>
      <c r="H615" s="1351" t="s">
        <v>1990</v>
      </c>
      <c r="I615" s="1307" t="str">
        <f t="shared" si="68"/>
        <v/>
      </c>
      <c r="J615" s="1351" t="str">
        <f t="shared" si="75"/>
        <v/>
      </c>
      <c r="K615" s="1351" t="str">
        <f t="shared" si="69"/>
        <v/>
      </c>
      <c r="L615" s="852"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1488</v>
      </c>
      <c r="B616" s="852" t="str">
        <f t="shared" ca="1" si="76"/>
        <v>T61</v>
      </c>
      <c r="C616" s="852" t="str">
        <f t="shared" ca="1" si="77"/>
        <v>T62</v>
      </c>
      <c r="D616" s="852" t="s">
        <v>1350</v>
      </c>
      <c r="E616" s="852" t="s">
        <v>1516</v>
      </c>
      <c r="F616" s="867" t="s">
        <v>1488</v>
      </c>
      <c r="G616" s="1351" t="str">
        <f>IF(T616&lt;&gt;"","AW","")</f>
        <v/>
      </c>
      <c r="H616" s="1351" t="s">
        <v>1990</v>
      </c>
      <c r="I616" s="1307" t="str">
        <f t="shared" si="68"/>
        <v/>
      </c>
      <c r="J616" s="1351" t="str">
        <f t="shared" si="75"/>
        <v/>
      </c>
      <c r="K616" s="1351" t="str">
        <f t="shared" si="69"/>
        <v/>
      </c>
      <c r="L616" s="852"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1" t="s">
        <v>1385</v>
      </c>
      <c r="G617" s="1351" t="str">
        <f>IF(T617&lt;&gt;"","C","")</f>
        <v/>
      </c>
      <c r="H617" s="1351" t="s">
        <v>1990</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1" t="s">
        <v>1386</v>
      </c>
      <c r="G618" s="1351" t="str">
        <f>IF(T618&lt;&gt;"","D","")</f>
        <v/>
      </c>
      <c r="H618" s="1351" t="s">
        <v>1990</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1" t="s">
        <v>1495</v>
      </c>
      <c r="G619" s="1351" t="str">
        <f>IF(T619&lt;&gt;"","AN","")</f>
        <v/>
      </c>
      <c r="H619" s="1351" t="s">
        <v>1990</v>
      </c>
      <c r="I619" s="1307" t="str">
        <f t="shared" si="68"/>
        <v/>
      </c>
      <c r="J619" s="1351" t="str">
        <f t="shared" si="75"/>
        <v/>
      </c>
      <c r="K619" s="1351" t="str">
        <f t="shared" si="69"/>
        <v/>
      </c>
      <c r="L619" s="852"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1" t="s">
        <v>1492</v>
      </c>
      <c r="G620" s="1351" t="str">
        <f>IF(T620&lt;&gt;"","AL","")</f>
        <v/>
      </c>
      <c r="H620" s="1351" t="s">
        <v>1990</v>
      </c>
      <c r="I620" s="1307" t="str">
        <f t="shared" si="68"/>
        <v/>
      </c>
      <c r="J620" s="1351" t="str">
        <f t="shared" si="75"/>
        <v/>
      </c>
      <c r="K620" s="1351" t="str">
        <f t="shared" si="69"/>
        <v/>
      </c>
      <c r="L620" s="852"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1" t="s">
        <v>1996</v>
      </c>
      <c r="G621" s="1351" t="str">
        <f>IF(T621&lt;&gt;"","L","")</f>
        <v/>
      </c>
      <c r="H621" s="1351" t="s">
        <v>1990</v>
      </c>
      <c r="I621" s="1307" t="str">
        <f t="shared" si="68"/>
        <v/>
      </c>
      <c r="J621" s="1351" t="str">
        <f t="shared" si="75"/>
        <v/>
      </c>
      <c r="K621" s="1351" t="str">
        <f t="shared" si="69"/>
        <v/>
      </c>
      <c r="L621" s="852"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1" t="s">
        <v>1508</v>
      </c>
      <c r="G637" s="1351" t="str">
        <f>IF(T637&lt;&gt;"","P","")</f>
        <v/>
      </c>
      <c r="H637" s="1351" t="s">
        <v>1990</v>
      </c>
      <c r="I637" s="1307" t="str">
        <f t="shared" si="68"/>
        <v/>
      </c>
      <c r="J637" s="1351" t="str">
        <f t="shared" si="75"/>
        <v/>
      </c>
      <c r="K637" s="1351" t="str">
        <f t="shared" si="69"/>
        <v/>
      </c>
      <c r="L637" s="852"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1" t="s">
        <v>1491</v>
      </c>
      <c r="G638" s="1351" t="str">
        <f>IF(T638&lt;&gt;"","A","")</f>
        <v/>
      </c>
      <c r="H638" s="1351" t="s">
        <v>1990</v>
      </c>
      <c r="I638" s="1307" t="str">
        <f t="shared" si="68"/>
        <v/>
      </c>
      <c r="J638" s="1351"/>
      <c r="K638" s="1351" t="str">
        <f t="shared" si="69"/>
        <v/>
      </c>
      <c r="L638" s="852"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1"/>
      <c r="G639" s="1351"/>
      <c r="H639" s="1351"/>
      <c r="I639" s="1307" t="str">
        <f t="shared" si="68"/>
        <v/>
      </c>
      <c r="J639" s="1351" t="str">
        <f t="shared" ref="J639:J668" si="81">IF(M639&lt;&gt;"",IF($Q$639="Yes",Q$1&amp;M639,""))</f>
        <v/>
      </c>
      <c r="K639" s="1351" t="str">
        <f t="shared" si="69"/>
        <v/>
      </c>
      <c r="L639" s="852"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1" t="s">
        <v>1383</v>
      </c>
      <c r="G640" s="1351" t="str">
        <f>IF(T640&lt;&gt;"","B","")</f>
        <v/>
      </c>
      <c r="H640" s="1351" t="s">
        <v>1990</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1" t="s">
        <v>1991</v>
      </c>
      <c r="G641" s="1351" t="str">
        <f>IF(T641&lt;&gt;"","E","")</f>
        <v/>
      </c>
      <c r="H641" s="1351" t="s">
        <v>1990</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1516</v>
      </c>
      <c r="F642" s="1351" t="s">
        <v>1992</v>
      </c>
      <c r="G642" s="1351" t="str">
        <f>IF(T642&lt;&gt;"","I","")</f>
        <v/>
      </c>
      <c r="H642" s="1351" t="s">
        <v>1990</v>
      </c>
      <c r="I642" s="1307" t="str">
        <f t="shared" si="68"/>
        <v/>
      </c>
      <c r="J642" s="1351" t="str">
        <f t="shared" si="81"/>
        <v/>
      </c>
      <c r="K642" s="1351" t="str">
        <f t="shared" si="69"/>
        <v/>
      </c>
      <c r="L642" s="852"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1516</v>
      </c>
      <c r="F643" s="1351" t="s">
        <v>1993</v>
      </c>
      <c r="G643" s="1351" t="str">
        <f>IF(T643&lt;&gt;"","H","")</f>
        <v/>
      </c>
      <c r="H643" s="1351" t="s">
        <v>1990</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1486</v>
      </c>
      <c r="B645" s="852" t="str">
        <f t="shared" ca="1" si="82"/>
        <v>P77</v>
      </c>
      <c r="C645" s="852" t="str">
        <f t="shared" ca="1" si="83"/>
        <v>P78</v>
      </c>
      <c r="D645" s="852" t="s">
        <v>1350</v>
      </c>
      <c r="E645" s="852" t="s">
        <v>1516</v>
      </c>
      <c r="F645" s="1351" t="s">
        <v>1994</v>
      </c>
      <c r="G645" s="1351" t="str">
        <f>IF(T645&lt;&gt;"","F","")</f>
        <v/>
      </c>
      <c r="H645" s="1351" t="s">
        <v>1990</v>
      </c>
      <c r="I645" s="1307" t="str">
        <f t="shared" si="84"/>
        <v/>
      </c>
      <c r="J645" s="1351" t="str">
        <f t="shared" si="81"/>
        <v/>
      </c>
      <c r="K645" s="1351" t="str">
        <f t="shared" si="85"/>
        <v/>
      </c>
      <c r="L645" s="852"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1487</v>
      </c>
      <c r="B646" s="852" t="str">
        <f t="shared" ca="1" si="82"/>
        <v>R77</v>
      </c>
      <c r="C646" s="852" t="str">
        <f t="shared" ca="1" si="83"/>
        <v>R78</v>
      </c>
      <c r="D646" s="852" t="s">
        <v>1350</v>
      </c>
      <c r="E646" s="852" t="s">
        <v>1516</v>
      </c>
      <c r="F646" s="1351" t="s">
        <v>1995</v>
      </c>
      <c r="G646" s="1351" t="str">
        <f>IF(T646&lt;&gt;"","G","")</f>
        <v/>
      </c>
      <c r="H646" s="1351" t="s">
        <v>1990</v>
      </c>
      <c r="I646" s="1307" t="str">
        <f t="shared" si="84"/>
        <v/>
      </c>
      <c r="J646" s="1351" t="str">
        <f t="shared" si="81"/>
        <v/>
      </c>
      <c r="K646" s="1351" t="str">
        <f t="shared" si="85"/>
        <v/>
      </c>
      <c r="L646" s="852"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1488</v>
      </c>
      <c r="B647" s="852" t="str">
        <f t="shared" ca="1" si="82"/>
        <v>T77</v>
      </c>
      <c r="C647" s="852" t="str">
        <f t="shared" ca="1" si="83"/>
        <v>T78</v>
      </c>
      <c r="D647" s="852" t="s">
        <v>1350</v>
      </c>
      <c r="E647" s="852" t="s">
        <v>1516</v>
      </c>
      <c r="F647" s="867" t="s">
        <v>1488</v>
      </c>
      <c r="G647" s="1351" t="str">
        <f>IF(T647&lt;&gt;"","AW","")</f>
        <v/>
      </c>
      <c r="H647" s="1351" t="s">
        <v>1990</v>
      </c>
      <c r="I647" s="1307" t="str">
        <f t="shared" si="84"/>
        <v/>
      </c>
      <c r="J647" s="1351" t="str">
        <f t="shared" si="81"/>
        <v/>
      </c>
      <c r="K647" s="1351" t="str">
        <f t="shared" si="85"/>
        <v/>
      </c>
      <c r="L647" s="852"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1" t="s">
        <v>1385</v>
      </c>
      <c r="G648" s="1351" t="str">
        <f>IF(T648&lt;&gt;"","C","")</f>
        <v/>
      </c>
      <c r="H648" s="1351" t="s">
        <v>1990</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1" t="s">
        <v>1386</v>
      </c>
      <c r="G649" s="1351" t="str">
        <f>IF(T649&lt;&gt;"","D","")</f>
        <v/>
      </c>
      <c r="H649" s="1351" t="s">
        <v>1990</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1" t="s">
        <v>1495</v>
      </c>
      <c r="G650" s="1351" t="str">
        <f>IF(T650&lt;&gt;"","AN","")</f>
        <v/>
      </c>
      <c r="H650" s="1351" t="s">
        <v>1990</v>
      </c>
      <c r="I650" s="1307" t="str">
        <f t="shared" si="84"/>
        <v/>
      </c>
      <c r="J650" s="1351" t="str">
        <f t="shared" si="81"/>
        <v/>
      </c>
      <c r="K650" s="1351" t="str">
        <f t="shared" si="85"/>
        <v/>
      </c>
      <c r="L650" s="852"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1" t="s">
        <v>1492</v>
      </c>
      <c r="G651" s="1351" t="str">
        <f>IF(T651&lt;&gt;"","AL","")</f>
        <v/>
      </c>
      <c r="H651" s="1351" t="s">
        <v>1990</v>
      </c>
      <c r="I651" s="1307" t="str">
        <f t="shared" si="84"/>
        <v/>
      </c>
      <c r="J651" s="1351" t="str">
        <f t="shared" si="81"/>
        <v/>
      </c>
      <c r="K651" s="1351" t="str">
        <f t="shared" si="85"/>
        <v/>
      </c>
      <c r="L651" s="852"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1" t="s">
        <v>1996</v>
      </c>
      <c r="G652" s="1351" t="str">
        <f>IF(T652&lt;&gt;"","L","")</f>
        <v/>
      </c>
      <c r="H652" s="1351" t="s">
        <v>1990</v>
      </c>
      <c r="I652" s="1307" t="str">
        <f t="shared" si="84"/>
        <v/>
      </c>
      <c r="J652" s="1351" t="str">
        <f t="shared" si="81"/>
        <v/>
      </c>
      <c r="K652" s="1351" t="str">
        <f t="shared" si="85"/>
        <v/>
      </c>
      <c r="L652" s="852"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1" t="s">
        <v>1508</v>
      </c>
      <c r="G668" s="1351" t="str">
        <f>IF(T668&lt;&gt;"","P","")</f>
        <v/>
      </c>
      <c r="H668" s="1351" t="s">
        <v>1990</v>
      </c>
      <c r="I668" s="1307" t="str">
        <f t="shared" si="84"/>
        <v/>
      </c>
      <c r="J668" s="1351" t="str">
        <f t="shared" si="81"/>
        <v/>
      </c>
      <c r="K668" s="1351" t="str">
        <f t="shared" si="85"/>
        <v/>
      </c>
      <c r="L668" s="852"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1" t="s">
        <v>1491</v>
      </c>
      <c r="G669" s="1351" t="str">
        <f>IF(T669&lt;&gt;"","A","")</f>
        <v/>
      </c>
      <c r="H669" s="1351" t="s">
        <v>1990</v>
      </c>
      <c r="I669" s="1307" t="str">
        <f t="shared" si="84"/>
        <v/>
      </c>
      <c r="J669" s="1351"/>
      <c r="K669" s="1351" t="str">
        <f t="shared" si="85"/>
        <v/>
      </c>
      <c r="L669" s="852"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1"/>
      <c r="G670" s="1351"/>
      <c r="H670" s="1351"/>
      <c r="I670" s="1307" t="str">
        <f t="shared" si="84"/>
        <v/>
      </c>
      <c r="J670" s="1351" t="str">
        <f t="shared" ref="J670:J684" si="89">IF(M670&lt;&gt;"",IF($Q$670="Yes",Q$1&amp;M670,""))</f>
        <v/>
      </c>
      <c r="K670" s="1351" t="str">
        <f t="shared" si="85"/>
        <v/>
      </c>
      <c r="L670" s="852"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1" t="s">
        <v>1383</v>
      </c>
      <c r="G671" s="1351" t="str">
        <f>IF(T671&lt;&gt;"","B","")</f>
        <v/>
      </c>
      <c r="H671" s="1351" t="s">
        <v>1990</v>
      </c>
      <c r="I671" s="1307" t="str">
        <f t="shared" si="84"/>
        <v/>
      </c>
      <c r="J671" s="1351"/>
      <c r="K671" s="1351" t="str">
        <f t="shared" si="85"/>
        <v/>
      </c>
      <c r="L671" s="852"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1" t="s">
        <v>1991</v>
      </c>
      <c r="G672" s="1351" t="str">
        <f>IF(T672&lt;&gt;"","E","")</f>
        <v/>
      </c>
      <c r="H672" s="1351" t="s">
        <v>1990</v>
      </c>
      <c r="I672" s="1307" t="str">
        <f t="shared" si="84"/>
        <v/>
      </c>
      <c r="J672" s="1351" t="str">
        <f t="shared" si="89"/>
        <v/>
      </c>
      <c r="K672" s="1351" t="str">
        <f t="shared" si="85"/>
        <v/>
      </c>
      <c r="L672" s="852"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1516</v>
      </c>
      <c r="F673" s="1351" t="s">
        <v>1992</v>
      </c>
      <c r="G673" s="1351" t="str">
        <f>IF(T673&lt;&gt;"","I","")</f>
        <v/>
      </c>
      <c r="H673" s="1351" t="s">
        <v>1990</v>
      </c>
      <c r="I673" s="1307" t="str">
        <f t="shared" si="84"/>
        <v/>
      </c>
      <c r="J673" s="1351" t="str">
        <f t="shared" si="89"/>
        <v/>
      </c>
      <c r="K673" s="1351" t="str">
        <f t="shared" si="85"/>
        <v/>
      </c>
      <c r="L673" s="852"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1516</v>
      </c>
      <c r="F674" s="1351" t="s">
        <v>1993</v>
      </c>
      <c r="G674" s="1351" t="str">
        <f>IF(T674&lt;&gt;"","H","")</f>
        <v/>
      </c>
      <c r="H674" s="1351" t="s">
        <v>1990</v>
      </c>
      <c r="I674" s="1307" t="str">
        <f t="shared" si="84"/>
        <v/>
      </c>
      <c r="J674" s="1351" t="str">
        <f t="shared" si="89"/>
        <v/>
      </c>
      <c r="K674" s="1351" t="str">
        <f t="shared" si="85"/>
        <v/>
      </c>
      <c r="L674" s="852"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1516</v>
      </c>
      <c r="F675" s="1351" t="s">
        <v>1382</v>
      </c>
      <c r="G675" s="1351" t="str">
        <f>IF(T675&lt;&gt;"",IF(Q673="Credit Memo","J",IF(Q673="Check","K","")),"")</f>
        <v/>
      </c>
      <c r="H675" s="1351" t="s">
        <v>1990</v>
      </c>
      <c r="I675" s="1307" t="str">
        <f t="shared" si="84"/>
        <v/>
      </c>
      <c r="J675" s="1351" t="str">
        <f t="shared" si="89"/>
        <v/>
      </c>
      <c r="K675" s="1351" t="str">
        <f t="shared" si="85"/>
        <v/>
      </c>
      <c r="L675" s="852"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3" t="s">
        <v>1486</v>
      </c>
      <c r="B676" s="852" t="str">
        <f t="shared" ca="1" si="90"/>
        <v>P93</v>
      </c>
      <c r="C676" s="852" t="str">
        <f t="shared" ca="1" si="91"/>
        <v>P94</v>
      </c>
      <c r="D676" s="852" t="s">
        <v>1350</v>
      </c>
      <c r="E676" s="852" t="s">
        <v>1516</v>
      </c>
      <c r="F676" s="1351" t="s">
        <v>1994</v>
      </c>
      <c r="G676" s="1351" t="str">
        <f>IF(T676&lt;&gt;"","F","")</f>
        <v/>
      </c>
      <c r="H676" s="1351" t="s">
        <v>1990</v>
      </c>
      <c r="I676" s="1307" t="str">
        <f t="shared" si="84"/>
        <v/>
      </c>
      <c r="J676" s="1351" t="str">
        <f t="shared" si="89"/>
        <v/>
      </c>
      <c r="K676" s="1351" t="str">
        <f t="shared" si="85"/>
        <v/>
      </c>
      <c r="L676" s="852"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3" t="s">
        <v>1487</v>
      </c>
      <c r="B677" s="852" t="str">
        <f t="shared" ca="1" si="90"/>
        <v>R93</v>
      </c>
      <c r="C677" s="852" t="str">
        <f t="shared" ca="1" si="91"/>
        <v>R94</v>
      </c>
      <c r="D677" s="852" t="s">
        <v>1350</v>
      </c>
      <c r="E677" s="852" t="s">
        <v>1516</v>
      </c>
      <c r="F677" s="1351" t="s">
        <v>1995</v>
      </c>
      <c r="G677" s="1351" t="str">
        <f>IF(T677&lt;&gt;"","G","")</f>
        <v/>
      </c>
      <c r="H677" s="1351" t="s">
        <v>1990</v>
      </c>
      <c r="I677" s="1307" t="str">
        <f t="shared" si="84"/>
        <v/>
      </c>
      <c r="J677" s="1351" t="str">
        <f t="shared" si="89"/>
        <v/>
      </c>
      <c r="K677" s="1351" t="str">
        <f t="shared" si="85"/>
        <v/>
      </c>
      <c r="L677" s="852"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3" t="s">
        <v>1488</v>
      </c>
      <c r="B678" s="852" t="str">
        <f t="shared" ca="1" si="90"/>
        <v>T93</v>
      </c>
      <c r="C678" s="852" t="str">
        <f t="shared" ca="1" si="91"/>
        <v>T94</v>
      </c>
      <c r="D678" s="852" t="s">
        <v>1350</v>
      </c>
      <c r="E678" s="852" t="s">
        <v>1516</v>
      </c>
      <c r="F678" s="867" t="s">
        <v>1488</v>
      </c>
      <c r="G678" s="1351" t="str">
        <f>IF(T678&lt;&gt;"","AW","")</f>
        <v/>
      </c>
      <c r="H678" s="1351" t="s">
        <v>1990</v>
      </c>
      <c r="I678" s="1307" t="str">
        <f t="shared" si="84"/>
        <v/>
      </c>
      <c r="J678" s="1351" t="str">
        <f t="shared" si="89"/>
        <v/>
      </c>
      <c r="K678" s="1351" t="str">
        <f t="shared" si="85"/>
        <v/>
      </c>
      <c r="L678" s="852"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1" t="s">
        <v>1385</v>
      </c>
      <c r="G679" s="1351" t="str">
        <f>IF(T679&lt;&gt;"","C","")</f>
        <v/>
      </c>
      <c r="H679" s="1351" t="s">
        <v>1990</v>
      </c>
      <c r="I679" s="1307" t="str">
        <f t="shared" si="84"/>
        <v/>
      </c>
      <c r="J679" s="1351"/>
      <c r="K679" s="1351" t="str">
        <f t="shared" si="85"/>
        <v/>
      </c>
      <c r="L679" s="852"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1" t="s">
        <v>1386</v>
      </c>
      <c r="G680" s="1351" t="str">
        <f>IF(T680&lt;&gt;"","D","")</f>
        <v/>
      </c>
      <c r="H680" s="1351" t="s">
        <v>1990</v>
      </c>
      <c r="I680" s="1307" t="str">
        <f t="shared" si="84"/>
        <v/>
      </c>
      <c r="J680" s="1351"/>
      <c r="K680" s="1351" t="str">
        <f t="shared" si="85"/>
        <v/>
      </c>
      <c r="L680" s="852"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1" t="s">
        <v>1495</v>
      </c>
      <c r="G681" s="1351" t="str">
        <f>IF(T681&lt;&gt;"","AN","")</f>
        <v/>
      </c>
      <c r="H681" s="1351" t="s">
        <v>1990</v>
      </c>
      <c r="I681" s="1307" t="str">
        <f t="shared" si="84"/>
        <v/>
      </c>
      <c r="J681" s="1351" t="str">
        <f t="shared" si="89"/>
        <v/>
      </c>
      <c r="K681" s="1351" t="str">
        <f t="shared" si="85"/>
        <v/>
      </c>
      <c r="L681" s="852"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1" t="s">
        <v>1492</v>
      </c>
      <c r="G682" s="1351" t="str">
        <f>IF(T682&lt;&gt;"","AL","")</f>
        <v/>
      </c>
      <c r="H682" s="1351" t="s">
        <v>1990</v>
      </c>
      <c r="I682" s="1307" t="str">
        <f t="shared" si="84"/>
        <v/>
      </c>
      <c r="J682" s="1351" t="str">
        <f t="shared" si="89"/>
        <v/>
      </c>
      <c r="K682" s="1351" t="str">
        <f t="shared" si="85"/>
        <v/>
      </c>
      <c r="L682" s="852"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1" t="s">
        <v>1996</v>
      </c>
      <c r="G683" s="1351" t="str">
        <f>IF(T683&lt;&gt;"","L","")</f>
        <v/>
      </c>
      <c r="H683" s="1351" t="s">
        <v>1990</v>
      </c>
      <c r="I683" s="1307" t="str">
        <f t="shared" si="84"/>
        <v/>
      </c>
      <c r="J683" s="1351" t="str">
        <f t="shared" si="89"/>
        <v/>
      </c>
      <c r="K683" s="1351" t="str">
        <f t="shared" si="85"/>
        <v/>
      </c>
      <c r="L683" s="852"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1" t="str">
        <f>IF(T684&lt;&gt;"","AH","")</f>
        <v/>
      </c>
      <c r="H684" s="1351" t="s">
        <v>1990</v>
      </c>
      <c r="I684" s="1307" t="str">
        <f t="shared" si="84"/>
        <v/>
      </c>
      <c r="J684" s="1351" t="str">
        <f t="shared" si="89"/>
        <v/>
      </c>
      <c r="K684" s="1351" t="str">
        <f t="shared" si="85"/>
        <v/>
      </c>
      <c r="L684" s="852"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1"/>
      <c r="H685" s="1351"/>
      <c r="I685" s="1307" t="str">
        <f t="shared" si="84"/>
        <v/>
      </c>
      <c r="J685" s="1351"/>
      <c r="K685" s="1351" t="str">
        <f t="shared" si="85"/>
        <v/>
      </c>
      <c r="L685" s="852"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1" t="s">
        <v>1912</v>
      </c>
      <c r="G686" s="1351" t="str">
        <f>IF(T686&lt;&gt;"","AI","")</f>
        <v/>
      </c>
      <c r="H686" s="1351" t="s">
        <v>1990</v>
      </c>
      <c r="I686" s="1307" t="str">
        <f t="shared" si="84"/>
        <v/>
      </c>
      <c r="J686" s="1351"/>
      <c r="K686" s="1351" t="str">
        <f t="shared" si="85"/>
        <v/>
      </c>
      <c r="L686" s="852"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1" t="s">
        <v>1491</v>
      </c>
      <c r="G687" s="1351" t="str">
        <f>IF(T687&lt;&gt;"","A","")</f>
        <v/>
      </c>
      <c r="H687" s="1351" t="s">
        <v>1990</v>
      </c>
      <c r="I687" s="1307" t="str">
        <f t="shared" si="84"/>
        <v/>
      </c>
      <c r="J687" s="1351"/>
      <c r="K687" s="1351" t="str">
        <f t="shared" si="85"/>
        <v/>
      </c>
      <c r="L687" s="852"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1"/>
      <c r="G688" s="1351"/>
      <c r="H688" s="1351"/>
      <c r="I688" s="1307" t="str">
        <f t="shared" si="84"/>
        <v/>
      </c>
      <c r="J688" s="1351" t="str">
        <f t="shared" ref="J688:J702" si="94">IF(M688&lt;&gt;"",IF($Q$688="Yes",Q$1&amp;M688,""))</f>
        <v/>
      </c>
      <c r="K688" s="1351" t="str">
        <f t="shared" si="85"/>
        <v/>
      </c>
      <c r="L688" s="852"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1" t="s">
        <v>1383</v>
      </c>
      <c r="G689" s="1351" t="str">
        <f>IF(T689&lt;&gt;"","B","")</f>
        <v/>
      </c>
      <c r="H689" s="1351" t="s">
        <v>1990</v>
      </c>
      <c r="I689" s="1307" t="str">
        <f t="shared" si="84"/>
        <v/>
      </c>
      <c r="J689" s="1351"/>
      <c r="K689" s="1351" t="str">
        <f t="shared" si="85"/>
        <v/>
      </c>
      <c r="L689" s="852"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1" t="s">
        <v>1991</v>
      </c>
      <c r="G690" s="1351" t="str">
        <f>IF(T690&lt;&gt;"","E","")</f>
        <v/>
      </c>
      <c r="H690" s="1351" t="s">
        <v>1990</v>
      </c>
      <c r="I690" s="1307" t="str">
        <f t="shared" si="84"/>
        <v/>
      </c>
      <c r="J690" s="1351" t="str">
        <f t="shared" si="94"/>
        <v/>
      </c>
      <c r="K690" s="1351" t="str">
        <f t="shared" si="85"/>
        <v/>
      </c>
      <c r="L690" s="852"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1516</v>
      </c>
      <c r="F691" s="1351" t="s">
        <v>1992</v>
      </c>
      <c r="G691" s="1351" t="str">
        <f>IF(T691&lt;&gt;"","I","")</f>
        <v/>
      </c>
      <c r="H691" s="1351" t="s">
        <v>1990</v>
      </c>
      <c r="I691" s="1307" t="str">
        <f t="shared" si="84"/>
        <v/>
      </c>
      <c r="J691" s="1351" t="str">
        <f t="shared" si="94"/>
        <v/>
      </c>
      <c r="K691" s="1351" t="str">
        <f t="shared" si="85"/>
        <v/>
      </c>
      <c r="L691" s="852"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1516</v>
      </c>
      <c r="F692" s="1351" t="s">
        <v>1993</v>
      </c>
      <c r="G692" s="1351" t="str">
        <f>IF(T692&lt;&gt;"","H","")</f>
        <v/>
      </c>
      <c r="H692" s="1351" t="s">
        <v>1990</v>
      </c>
      <c r="I692" s="1307" t="str">
        <f t="shared" si="84"/>
        <v/>
      </c>
      <c r="J692" s="1351" t="str">
        <f t="shared" si="94"/>
        <v/>
      </c>
      <c r="K692" s="1351" t="str">
        <f t="shared" si="85"/>
        <v/>
      </c>
      <c r="L692" s="852"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1516</v>
      </c>
      <c r="F693" s="1351" t="s">
        <v>1382</v>
      </c>
      <c r="G693" s="1351" t="str">
        <f>IF(T693&lt;&gt;"",IF(Q691="Credit Memo","J",IF(Q691="Check","K","")),"")</f>
        <v/>
      </c>
      <c r="H693" s="1351" t="s">
        <v>1990</v>
      </c>
      <c r="I693" s="1307" t="str">
        <f t="shared" si="84"/>
        <v/>
      </c>
      <c r="J693" s="1351" t="str">
        <f t="shared" si="94"/>
        <v/>
      </c>
      <c r="K693" s="1351" t="str">
        <f t="shared" si="85"/>
        <v/>
      </c>
      <c r="L693" s="852"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6" t="s">
        <v>1486</v>
      </c>
      <c r="B694" s="852" t="str">
        <f t="shared" ca="1" si="95"/>
        <v>P107</v>
      </c>
      <c r="C694" s="852" t="str">
        <f t="shared" ca="1" si="96"/>
        <v>P108</v>
      </c>
      <c r="D694" s="852" t="s">
        <v>1350</v>
      </c>
      <c r="E694" s="852" t="s">
        <v>1516</v>
      </c>
      <c r="F694" s="1351" t="s">
        <v>1994</v>
      </c>
      <c r="G694" s="1351" t="str">
        <f>IF(T694&lt;&gt;"","F","")</f>
        <v/>
      </c>
      <c r="H694" s="1351" t="s">
        <v>1990</v>
      </c>
      <c r="I694" s="1307" t="str">
        <f t="shared" si="84"/>
        <v/>
      </c>
      <c r="J694" s="1351" t="str">
        <f t="shared" si="94"/>
        <v/>
      </c>
      <c r="K694" s="1351" t="str">
        <f t="shared" si="85"/>
        <v/>
      </c>
      <c r="L694" s="852"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6" t="s">
        <v>1487</v>
      </c>
      <c r="B695" s="852" t="str">
        <f t="shared" ca="1" si="95"/>
        <v>R107</v>
      </c>
      <c r="C695" s="852" t="str">
        <f t="shared" ca="1" si="96"/>
        <v>R108</v>
      </c>
      <c r="D695" s="852" t="s">
        <v>1350</v>
      </c>
      <c r="E695" s="852" t="s">
        <v>1516</v>
      </c>
      <c r="F695" s="1351" t="s">
        <v>1995</v>
      </c>
      <c r="G695" s="1351" t="str">
        <f>IF(T695&lt;&gt;"","G","")</f>
        <v/>
      </c>
      <c r="H695" s="1351" t="s">
        <v>1990</v>
      </c>
      <c r="I695" s="1307" t="str">
        <f t="shared" si="84"/>
        <v/>
      </c>
      <c r="J695" s="1351" t="str">
        <f t="shared" si="94"/>
        <v/>
      </c>
      <c r="K695" s="1351" t="str">
        <f t="shared" si="85"/>
        <v/>
      </c>
      <c r="L695" s="852"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6" t="s">
        <v>1488</v>
      </c>
      <c r="B696" s="852" t="str">
        <f t="shared" ca="1" si="95"/>
        <v>T107</v>
      </c>
      <c r="C696" s="852" t="str">
        <f t="shared" ca="1" si="96"/>
        <v>T108</v>
      </c>
      <c r="D696" s="852" t="s">
        <v>1350</v>
      </c>
      <c r="E696" s="852" t="s">
        <v>1516</v>
      </c>
      <c r="F696" s="867" t="s">
        <v>1488</v>
      </c>
      <c r="G696" s="1351" t="str">
        <f>IF(T696&lt;&gt;"","AW","")</f>
        <v/>
      </c>
      <c r="H696" s="1351" t="s">
        <v>1990</v>
      </c>
      <c r="I696" s="1307" t="str">
        <f t="shared" si="84"/>
        <v/>
      </c>
      <c r="J696" s="1351" t="str">
        <f t="shared" si="94"/>
        <v/>
      </c>
      <c r="K696" s="1351" t="str">
        <f t="shared" si="85"/>
        <v/>
      </c>
      <c r="L696" s="852"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1" t="s">
        <v>1385</v>
      </c>
      <c r="G697" s="1351" t="str">
        <f>IF(T697&lt;&gt;"","C","")</f>
        <v/>
      </c>
      <c r="H697" s="1351" t="s">
        <v>1990</v>
      </c>
      <c r="I697" s="1307" t="str">
        <f t="shared" si="84"/>
        <v/>
      </c>
      <c r="J697" s="1351"/>
      <c r="K697" s="1351" t="str">
        <f t="shared" si="85"/>
        <v/>
      </c>
      <c r="L697" s="852"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1" t="s">
        <v>1386</v>
      </c>
      <c r="G698" s="1351" t="str">
        <f>IF(T698&lt;&gt;"","D","")</f>
        <v/>
      </c>
      <c r="H698" s="1351" t="s">
        <v>1990</v>
      </c>
      <c r="I698" s="1307" t="str">
        <f t="shared" si="84"/>
        <v/>
      </c>
      <c r="J698" s="1351"/>
      <c r="K698" s="1351" t="str">
        <f t="shared" si="85"/>
        <v/>
      </c>
      <c r="L698" s="852"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1" t="s">
        <v>1495</v>
      </c>
      <c r="G699" s="1351" t="str">
        <f>IF(T699&lt;&gt;"","AN","")</f>
        <v/>
      </c>
      <c r="H699" s="1351" t="s">
        <v>1990</v>
      </c>
      <c r="I699" s="1307" t="str">
        <f t="shared" si="84"/>
        <v/>
      </c>
      <c r="J699" s="1351" t="str">
        <f t="shared" si="94"/>
        <v/>
      </c>
      <c r="K699" s="1351" t="str">
        <f t="shared" si="85"/>
        <v/>
      </c>
      <c r="L699" s="852"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1" t="s">
        <v>1492</v>
      </c>
      <c r="G700" s="1351" t="str">
        <f>IF(T700&lt;&gt;"","AL","")</f>
        <v/>
      </c>
      <c r="H700" s="1351" t="s">
        <v>1990</v>
      </c>
      <c r="I700" s="1307" t="str">
        <f t="shared" si="84"/>
        <v/>
      </c>
      <c r="J700" s="1351" t="str">
        <f t="shared" si="94"/>
        <v/>
      </c>
      <c r="K700" s="1351" t="str">
        <f t="shared" si="85"/>
        <v/>
      </c>
      <c r="L700" s="852"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1" t="s">
        <v>1996</v>
      </c>
      <c r="G701" s="1351" t="str">
        <f>IF(T701&lt;&gt;"","L","")</f>
        <v/>
      </c>
      <c r="H701" s="1351" t="s">
        <v>1990</v>
      </c>
      <c r="I701" s="1307" t="str">
        <f t="shared" si="84"/>
        <v/>
      </c>
      <c r="J701" s="1351" t="str">
        <f t="shared" si="94"/>
        <v/>
      </c>
      <c r="K701" s="1351" t="str">
        <f t="shared" si="85"/>
        <v/>
      </c>
      <c r="L701" s="852"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1" t="str">
        <f>IF(T702&lt;&gt;"","AH","")</f>
        <v/>
      </c>
      <c r="H702" s="1351" t="s">
        <v>1990</v>
      </c>
      <c r="I702" s="1307" t="str">
        <f t="shared" si="84"/>
        <v/>
      </c>
      <c r="J702" s="1351" t="str">
        <f t="shared" si="94"/>
        <v/>
      </c>
      <c r="K702" s="1351" t="str">
        <f t="shared" si="85"/>
        <v/>
      </c>
      <c r="L702" s="852"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1"/>
      <c r="H703" s="1351"/>
      <c r="I703" s="1307" t="str">
        <f t="shared" si="84"/>
        <v/>
      </c>
      <c r="J703" s="1351"/>
      <c r="K703" s="1351" t="str">
        <f t="shared" si="85"/>
        <v/>
      </c>
      <c r="L703" s="852"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1" t="s">
        <v>1912</v>
      </c>
      <c r="G704" s="1351" t="str">
        <f>IF(T704&lt;&gt;"","AI","")</f>
        <v/>
      </c>
      <c r="H704" s="1351" t="s">
        <v>1990</v>
      </c>
      <c r="I704" s="1307" t="str">
        <f t="shared" si="84"/>
        <v/>
      </c>
      <c r="J704" s="1351"/>
      <c r="K704" s="1351" t="str">
        <f t="shared" si="85"/>
        <v/>
      </c>
      <c r="L704" s="852"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1" t="s">
        <v>1491</v>
      </c>
      <c r="G705" s="1351" t="str">
        <f>IF(T705&lt;&gt;"","A","")</f>
        <v/>
      </c>
      <c r="H705" s="1351" t="s">
        <v>1990</v>
      </c>
      <c r="I705" s="1307" t="str">
        <f t="shared" si="84"/>
        <v/>
      </c>
      <c r="J705" s="1351"/>
      <c r="K705" s="1351" t="str">
        <f t="shared" si="85"/>
        <v/>
      </c>
      <c r="L705" s="852"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1"/>
      <c r="G706" s="1351"/>
      <c r="H706" s="1351"/>
      <c r="I706" s="1307" t="str">
        <f t="shared" si="84"/>
        <v/>
      </c>
      <c r="J706" s="1351" t="str">
        <f t="shared" ref="J706:J732" si="98">IF(M706&lt;&gt;"",IF($Q$706="Yes",Q$1&amp;M706,""))</f>
        <v/>
      </c>
      <c r="K706" s="1351" t="str">
        <f t="shared" si="85"/>
        <v/>
      </c>
      <c r="L706" s="852"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1" t="s">
        <v>1383</v>
      </c>
      <c r="G707" s="1351" t="str">
        <f>IF(T707&lt;&gt;"","B","")</f>
        <v/>
      </c>
      <c r="H707" s="1351" t="s">
        <v>1990</v>
      </c>
      <c r="I707" s="1307" t="str">
        <f t="shared" si="84"/>
        <v/>
      </c>
      <c r="J707" s="1351"/>
      <c r="K707" s="1351" t="str">
        <f t="shared" si="85"/>
        <v/>
      </c>
      <c r="L707" s="852"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1516</v>
      </c>
      <c r="F709" s="1351" t="s">
        <v>1992</v>
      </c>
      <c r="G709" s="1351" t="str">
        <f>IF(T709&lt;&gt;"","I","")</f>
        <v/>
      </c>
      <c r="H709" s="1351" t="s">
        <v>1990</v>
      </c>
      <c r="I709" s="1307" t="str">
        <f t="shared" si="101"/>
        <v/>
      </c>
      <c r="J709" s="1351" t="str">
        <f t="shared" si="98"/>
        <v/>
      </c>
      <c r="K709" s="1351" t="str">
        <f t="shared" si="102"/>
        <v/>
      </c>
      <c r="L709" s="852"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1516</v>
      </c>
      <c r="F710" s="1351" t="s">
        <v>1993</v>
      </c>
      <c r="G710" s="1351" t="str">
        <f>IF(T710&lt;&gt;"","H","")</f>
        <v/>
      </c>
      <c r="H710" s="1351" t="s">
        <v>1990</v>
      </c>
      <c r="I710" s="1307" t="str">
        <f t="shared" si="101"/>
        <v/>
      </c>
      <c r="J710" s="1351" t="str">
        <f t="shared" si="98"/>
        <v/>
      </c>
      <c r="K710" s="1351" t="str">
        <f t="shared" si="102"/>
        <v/>
      </c>
      <c r="L710" s="852"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1516</v>
      </c>
      <c r="F711" s="1351" t="s">
        <v>1382</v>
      </c>
      <c r="G711" s="1351" t="str">
        <f>IF(T711&lt;&gt;"",IF(Q709="Credit Memo","J",IF(Q709="Check","K","")),"")</f>
        <v/>
      </c>
      <c r="H711" s="1351" t="s">
        <v>1990</v>
      </c>
      <c r="I711" s="1307" t="str">
        <f t="shared" si="101"/>
        <v/>
      </c>
      <c r="J711" s="1351" t="str">
        <f t="shared" si="98"/>
        <v/>
      </c>
      <c r="K711" s="1351" t="str">
        <f t="shared" si="102"/>
        <v/>
      </c>
      <c r="L711" s="852"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3" t="s">
        <v>1486</v>
      </c>
      <c r="B712" s="852" t="str">
        <f t="shared" ca="1" si="99"/>
        <v>P121</v>
      </c>
      <c r="C712" s="852" t="str">
        <f t="shared" ca="1" si="100"/>
        <v>P122</v>
      </c>
      <c r="D712" s="852" t="s">
        <v>1350</v>
      </c>
      <c r="E712" s="852" t="s">
        <v>1516</v>
      </c>
      <c r="F712" s="1351" t="s">
        <v>1994</v>
      </c>
      <c r="G712" s="1351" t="str">
        <f>IF(T712&lt;&gt;"","F","")</f>
        <v/>
      </c>
      <c r="H712" s="1351" t="s">
        <v>1990</v>
      </c>
      <c r="I712" s="1307" t="str">
        <f t="shared" si="101"/>
        <v/>
      </c>
      <c r="J712" s="1351" t="str">
        <f t="shared" si="98"/>
        <v/>
      </c>
      <c r="K712" s="1351" t="str">
        <f t="shared" si="102"/>
        <v/>
      </c>
      <c r="L712" s="852"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3" t="s">
        <v>1487</v>
      </c>
      <c r="B713" s="852" t="str">
        <f t="shared" ca="1" si="99"/>
        <v>R121</v>
      </c>
      <c r="C713" s="852" t="str">
        <f t="shared" ca="1" si="100"/>
        <v>R122</v>
      </c>
      <c r="D713" s="852" t="s">
        <v>1350</v>
      </c>
      <c r="E713" s="852" t="s">
        <v>1516</v>
      </c>
      <c r="F713" s="1351" t="s">
        <v>1995</v>
      </c>
      <c r="G713" s="1351" t="str">
        <f>IF(T713&lt;&gt;"","G","")</f>
        <v/>
      </c>
      <c r="H713" s="1351" t="s">
        <v>1990</v>
      </c>
      <c r="I713" s="1307" t="str">
        <f t="shared" si="101"/>
        <v/>
      </c>
      <c r="J713" s="1351" t="str">
        <f t="shared" si="98"/>
        <v/>
      </c>
      <c r="K713" s="1351" t="str">
        <f t="shared" si="102"/>
        <v/>
      </c>
      <c r="L713" s="852"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3" t="s">
        <v>1488</v>
      </c>
      <c r="B714" s="852" t="str">
        <f t="shared" ca="1" si="99"/>
        <v>T121</v>
      </c>
      <c r="C714" s="852" t="str">
        <f t="shared" ca="1" si="100"/>
        <v>T122</v>
      </c>
      <c r="D714" s="852" t="s">
        <v>1350</v>
      </c>
      <c r="E714" s="852" t="s">
        <v>1516</v>
      </c>
      <c r="F714" s="867" t="s">
        <v>1488</v>
      </c>
      <c r="G714" s="1351" t="str">
        <f>IF(T714&lt;&gt;"","AW","")</f>
        <v/>
      </c>
      <c r="H714" s="1351" t="s">
        <v>1990</v>
      </c>
      <c r="I714" s="1307" t="str">
        <f t="shared" si="101"/>
        <v/>
      </c>
      <c r="J714" s="1351" t="str">
        <f t="shared" si="98"/>
        <v/>
      </c>
      <c r="K714" s="1351" t="str">
        <f t="shared" si="102"/>
        <v/>
      </c>
      <c r="L714" s="852"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1" t="s">
        <v>1385</v>
      </c>
      <c r="G715" s="1351" t="str">
        <f>IF(T715&lt;&gt;"","C","")</f>
        <v/>
      </c>
      <c r="H715" s="1351" t="s">
        <v>1990</v>
      </c>
      <c r="I715" s="1307" t="str">
        <f t="shared" si="101"/>
        <v/>
      </c>
      <c r="J715" s="1351"/>
      <c r="K715" s="1351" t="str">
        <f t="shared" si="102"/>
        <v/>
      </c>
      <c r="L715" s="852"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1" t="s">
        <v>1386</v>
      </c>
      <c r="G716" s="1351" t="str">
        <f>IF(T716&lt;&gt;"","D","")</f>
        <v/>
      </c>
      <c r="H716" s="1351" t="s">
        <v>1990</v>
      </c>
      <c r="I716" s="1307" t="str">
        <f t="shared" si="101"/>
        <v/>
      </c>
      <c r="J716" s="1351"/>
      <c r="K716" s="1351" t="str">
        <f t="shared" si="102"/>
        <v/>
      </c>
      <c r="L716" s="852"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1" t="s">
        <v>1495</v>
      </c>
      <c r="G717" s="1351" t="str">
        <f>IF(T717&lt;&gt;"","AN","")</f>
        <v/>
      </c>
      <c r="H717" s="1351" t="s">
        <v>1990</v>
      </c>
      <c r="I717" s="1307" t="str">
        <f t="shared" si="101"/>
        <v/>
      </c>
      <c r="J717" s="1351" t="str">
        <f t="shared" si="98"/>
        <v/>
      </c>
      <c r="K717" s="1351" t="str">
        <f t="shared" si="102"/>
        <v/>
      </c>
      <c r="L717" s="852"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1" t="s">
        <v>1492</v>
      </c>
      <c r="G718" s="1351" t="str">
        <f>IF(T718&lt;&gt;"","AL","")</f>
        <v/>
      </c>
      <c r="H718" s="1351" t="s">
        <v>1990</v>
      </c>
      <c r="I718" s="1307" t="str">
        <f t="shared" si="101"/>
        <v/>
      </c>
      <c r="J718" s="1351" t="str">
        <f t="shared" si="98"/>
        <v/>
      </c>
      <c r="K718" s="1351" t="str">
        <f t="shared" si="102"/>
        <v/>
      </c>
      <c r="L718" s="852"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1" t="s">
        <v>1996</v>
      </c>
      <c r="G719" s="1351" t="str">
        <f>IF(T719&lt;&gt;"","L","")</f>
        <v/>
      </c>
      <c r="H719" s="1351" t="s">
        <v>1990</v>
      </c>
      <c r="I719" s="1307" t="str">
        <f t="shared" si="101"/>
        <v/>
      </c>
      <c r="J719" s="1351" t="str">
        <f t="shared" si="98"/>
        <v/>
      </c>
      <c r="K719" s="1351" t="str">
        <f t="shared" si="102"/>
        <v/>
      </c>
      <c r="L719" s="852"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1"/>
      <c r="H721" s="1351"/>
      <c r="I721" s="1307" t="str">
        <f t="shared" si="101"/>
        <v/>
      </c>
      <c r="J721" s="1351"/>
      <c r="K721" s="1351" t="str">
        <f t="shared" si="102"/>
        <v/>
      </c>
      <c r="L721" s="852"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0"/>
      <c r="G722" s="1351"/>
      <c r="H722" s="1351"/>
      <c r="I722" s="1307" t="str">
        <f t="shared" si="101"/>
        <v/>
      </c>
      <c r="J722" s="1351"/>
      <c r="K722" s="1351" t="str">
        <f t="shared" si="102"/>
        <v/>
      </c>
      <c r="L722" s="852"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1"/>
      <c r="G724" s="1351"/>
      <c r="H724" s="1351"/>
      <c r="I724" s="1307" t="str">
        <f t="shared" si="101"/>
        <v/>
      </c>
      <c r="J724" s="1351"/>
      <c r="K724" s="1351" t="str">
        <f t="shared" si="102"/>
        <v/>
      </c>
      <c r="L724" s="852"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1"/>
      <c r="G725" s="1351"/>
      <c r="H725" s="1351"/>
      <c r="I725" s="1307" t="str">
        <f t="shared" si="101"/>
        <v/>
      </c>
      <c r="J725" s="1351"/>
      <c r="K725" s="1351" t="str">
        <f t="shared" si="102"/>
        <v/>
      </c>
      <c r="L725" s="852"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1"/>
      <c r="G727" s="1351"/>
      <c r="H727" s="1351"/>
      <c r="I727" s="1307" t="str">
        <f t="shared" si="101"/>
        <v/>
      </c>
      <c r="J727" s="1351"/>
      <c r="K727" s="1351" t="str">
        <f t="shared" si="102"/>
        <v/>
      </c>
      <c r="L727" s="852"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1"/>
      <c r="G728" s="1351"/>
      <c r="H728" s="1351"/>
      <c r="I728" s="1307" t="str">
        <f t="shared" si="101"/>
        <v/>
      </c>
      <c r="J728" s="1351"/>
      <c r="K728" s="1351" t="str">
        <f t="shared" si="102"/>
        <v/>
      </c>
      <c r="L728" s="852"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1"/>
      <c r="G730" s="1351"/>
      <c r="H730" s="1351"/>
      <c r="I730" s="1307" t="str">
        <f t="shared" si="101"/>
        <v/>
      </c>
      <c r="J730" s="1351"/>
      <c r="K730" s="1351" t="str">
        <f t="shared" si="102"/>
        <v/>
      </c>
      <c r="L730" s="852"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1"/>
      <c r="G731" s="1351"/>
      <c r="H731" s="1351"/>
      <c r="I731" s="1307" t="str">
        <f t="shared" si="101"/>
        <v/>
      </c>
      <c r="J731" s="1351"/>
      <c r="K731" s="1351" t="str">
        <f t="shared" si="102"/>
        <v/>
      </c>
      <c r="L731" s="852"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1"/>
      <c r="G733" s="1351"/>
      <c r="H733" s="1351"/>
      <c r="I733" s="1307" t="str">
        <f t="shared" si="101"/>
        <v/>
      </c>
      <c r="J733" s="1351"/>
      <c r="K733" s="1351" t="str">
        <f t="shared" si="102"/>
        <v/>
      </c>
      <c r="L733" s="852"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1"/>
      <c r="G734" s="1351"/>
      <c r="H734" s="1351"/>
      <c r="I734" s="1307" t="str">
        <f t="shared" si="101"/>
        <v/>
      </c>
      <c r="J734" s="1351"/>
      <c r="K734" s="1351" t="str">
        <f t="shared" si="102"/>
        <v/>
      </c>
      <c r="L734" s="852"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1" t="s">
        <v>1491</v>
      </c>
      <c r="G735" s="1351" t="str">
        <f>IF(T735&lt;&gt;"","A","")</f>
        <v/>
      </c>
      <c r="H735" s="1351" t="s">
        <v>1990</v>
      </c>
      <c r="I735" s="1307" t="str">
        <f t="shared" si="101"/>
        <v/>
      </c>
      <c r="J735" s="1351"/>
      <c r="K735" s="1351" t="str">
        <f t="shared" si="102"/>
        <v/>
      </c>
      <c r="L735" s="852"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1"/>
      <c r="G736" s="1351"/>
      <c r="H736" s="1351"/>
      <c r="I736" s="1307" t="str">
        <f t="shared" si="101"/>
        <v/>
      </c>
      <c r="J736" s="1351" t="str">
        <f t="shared" ref="J736:J762" si="106">IF(M736&lt;&gt;"",IF($Q$736="Yes",Q$1&amp;M736,""))</f>
        <v/>
      </c>
      <c r="K736" s="1351" t="str">
        <f t="shared" si="102"/>
        <v/>
      </c>
      <c r="L736" s="852"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1" t="s">
        <v>1383</v>
      </c>
      <c r="G737" s="1351" t="str">
        <f>IF(T737&lt;&gt;"","B","")</f>
        <v/>
      </c>
      <c r="H737" s="1351" t="s">
        <v>1990</v>
      </c>
      <c r="I737" s="1307" t="str">
        <f t="shared" si="101"/>
        <v/>
      </c>
      <c r="J737" s="1351"/>
      <c r="K737" s="1351" t="str">
        <f t="shared" si="102"/>
        <v/>
      </c>
      <c r="L737" s="852"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1" t="s">
        <v>1991</v>
      </c>
      <c r="G738" s="1351" t="str">
        <f>IF(T738&lt;&gt;"","E","")</f>
        <v/>
      </c>
      <c r="H738" s="1351" t="s">
        <v>1990</v>
      </c>
      <c r="I738" s="1307" t="str">
        <f t="shared" si="101"/>
        <v/>
      </c>
      <c r="J738" s="1351" t="str">
        <f t="shared" si="106"/>
        <v/>
      </c>
      <c r="K738" s="1351" t="str">
        <f t="shared" si="102"/>
        <v/>
      </c>
      <c r="L738" s="852"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1516</v>
      </c>
      <c r="F739" s="1351" t="s">
        <v>1992</v>
      </c>
      <c r="G739" s="1351" t="str">
        <f>IF(T739&lt;&gt;"","I","")</f>
        <v/>
      </c>
      <c r="H739" s="1351" t="s">
        <v>1990</v>
      </c>
      <c r="I739" s="1307" t="str">
        <f t="shared" si="101"/>
        <v/>
      </c>
      <c r="J739" s="1351" t="str">
        <f t="shared" si="106"/>
        <v/>
      </c>
      <c r="K739" s="1351" t="str">
        <f t="shared" si="102"/>
        <v/>
      </c>
      <c r="L739" s="852"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1516</v>
      </c>
      <c r="F740" s="1351" t="s">
        <v>1993</v>
      </c>
      <c r="G740" s="1351" t="str">
        <f>IF(T740&lt;&gt;"","H","")</f>
        <v/>
      </c>
      <c r="H740" s="1351" t="s">
        <v>1990</v>
      </c>
      <c r="I740" s="1307" t="str">
        <f t="shared" si="101"/>
        <v/>
      </c>
      <c r="J740" s="1351" t="str">
        <f t="shared" si="106"/>
        <v/>
      </c>
      <c r="K740" s="1351" t="str">
        <f t="shared" si="102"/>
        <v/>
      </c>
      <c r="L740" s="852"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1516</v>
      </c>
      <c r="F741" s="1351" t="s">
        <v>1382</v>
      </c>
      <c r="G741" s="1351" t="str">
        <f>IF(T741&lt;&gt;"",IF(Q739="Credit Memo","J",IF(Q739="Check","K","")),"")</f>
        <v/>
      </c>
      <c r="H741" s="1351" t="s">
        <v>1990</v>
      </c>
      <c r="I741" s="1307" t="str">
        <f t="shared" si="101"/>
        <v/>
      </c>
      <c r="J741" s="1351" t="str">
        <f t="shared" si="106"/>
        <v/>
      </c>
      <c r="K741" s="1351" t="str">
        <f t="shared" si="102"/>
        <v/>
      </c>
      <c r="L741" s="852"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6" t="s">
        <v>1486</v>
      </c>
      <c r="B742" s="852" t="str">
        <f t="shared" ca="1" si="107"/>
        <v>P137</v>
      </c>
      <c r="C742" s="852" t="str">
        <f t="shared" ca="1" si="108"/>
        <v>P138</v>
      </c>
      <c r="D742" s="852" t="s">
        <v>1350</v>
      </c>
      <c r="E742" s="852" t="s">
        <v>1516</v>
      </c>
      <c r="F742" s="1351" t="s">
        <v>1994</v>
      </c>
      <c r="G742" s="1351" t="str">
        <f>IF(T742&lt;&gt;"","F","")</f>
        <v/>
      </c>
      <c r="H742" s="1351" t="s">
        <v>1990</v>
      </c>
      <c r="I742" s="1307" t="str">
        <f t="shared" si="101"/>
        <v/>
      </c>
      <c r="J742" s="1351" t="str">
        <f t="shared" si="106"/>
        <v/>
      </c>
      <c r="K742" s="1351" t="str">
        <f t="shared" si="102"/>
        <v/>
      </c>
      <c r="L742" s="852"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6" t="s">
        <v>1487</v>
      </c>
      <c r="B743" s="852" t="str">
        <f t="shared" ca="1" si="107"/>
        <v>R137</v>
      </c>
      <c r="C743" s="852" t="str">
        <f t="shared" ca="1" si="108"/>
        <v>R138</v>
      </c>
      <c r="D743" s="852" t="s">
        <v>1350</v>
      </c>
      <c r="E743" s="852" t="s">
        <v>1516</v>
      </c>
      <c r="F743" s="1351" t="s">
        <v>1995</v>
      </c>
      <c r="G743" s="1351" t="str">
        <f>IF(T743&lt;&gt;"","G","")</f>
        <v/>
      </c>
      <c r="H743" s="1351" t="s">
        <v>1990</v>
      </c>
      <c r="I743" s="1307" t="str">
        <f t="shared" si="101"/>
        <v/>
      </c>
      <c r="J743" s="1351" t="str">
        <f t="shared" si="106"/>
        <v/>
      </c>
      <c r="K743" s="1351" t="str">
        <f t="shared" si="102"/>
        <v/>
      </c>
      <c r="L743" s="852"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6" t="s">
        <v>1488</v>
      </c>
      <c r="B744" s="852" t="str">
        <f t="shared" ca="1" si="107"/>
        <v>T137</v>
      </c>
      <c r="C744" s="852" t="str">
        <f t="shared" ca="1" si="108"/>
        <v>T138</v>
      </c>
      <c r="D744" s="852" t="s">
        <v>1350</v>
      </c>
      <c r="E744" s="852" t="s">
        <v>1516</v>
      </c>
      <c r="F744" s="867" t="s">
        <v>1488</v>
      </c>
      <c r="G744" s="1351" t="str">
        <f>IF(T744&lt;&gt;"","AW","")</f>
        <v/>
      </c>
      <c r="H744" s="1351" t="s">
        <v>1990</v>
      </c>
      <c r="I744" s="1307" t="str">
        <f t="shared" si="101"/>
        <v/>
      </c>
      <c r="J744" s="1351" t="str">
        <f t="shared" si="106"/>
        <v/>
      </c>
      <c r="K744" s="1351" t="str">
        <f t="shared" si="102"/>
        <v/>
      </c>
      <c r="L744" s="852"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1" t="s">
        <v>1385</v>
      </c>
      <c r="G745" s="1351" t="str">
        <f>IF(T745&lt;&gt;"","C","")</f>
        <v/>
      </c>
      <c r="H745" s="1351" t="s">
        <v>1990</v>
      </c>
      <c r="I745" s="1307" t="str">
        <f t="shared" si="101"/>
        <v/>
      </c>
      <c r="J745" s="1351"/>
      <c r="K745" s="1351" t="str">
        <f t="shared" si="102"/>
        <v/>
      </c>
      <c r="L745" s="852"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1" t="s">
        <v>1386</v>
      </c>
      <c r="G746" s="1351" t="str">
        <f>IF(T746&lt;&gt;"","D","")</f>
        <v/>
      </c>
      <c r="H746" s="1351" t="s">
        <v>1990</v>
      </c>
      <c r="I746" s="1307" t="str">
        <f t="shared" si="101"/>
        <v/>
      </c>
      <c r="J746" s="1351"/>
      <c r="K746" s="1351" t="str">
        <f t="shared" si="102"/>
        <v/>
      </c>
      <c r="L746" s="852"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1" t="s">
        <v>1495</v>
      </c>
      <c r="G747" s="1351" t="str">
        <f>IF(T747&lt;&gt;"","AN","")</f>
        <v/>
      </c>
      <c r="H747" s="1351" t="s">
        <v>1990</v>
      </c>
      <c r="I747" s="1307" t="str">
        <f t="shared" si="101"/>
        <v/>
      </c>
      <c r="J747" s="1351" t="str">
        <f t="shared" si="106"/>
        <v/>
      </c>
      <c r="K747" s="1351" t="str">
        <f t="shared" si="102"/>
        <v/>
      </c>
      <c r="L747" s="852"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1" t="s">
        <v>1492</v>
      </c>
      <c r="G748" s="1351" t="str">
        <f>IF(T748&lt;&gt;"","AL","")</f>
        <v/>
      </c>
      <c r="H748" s="1351" t="s">
        <v>1990</v>
      </c>
      <c r="I748" s="1307" t="str">
        <f t="shared" si="101"/>
        <v/>
      </c>
      <c r="J748" s="1351" t="str">
        <f t="shared" si="106"/>
        <v/>
      </c>
      <c r="K748" s="1351" t="str">
        <f t="shared" si="102"/>
        <v/>
      </c>
      <c r="L748" s="852"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1" t="s">
        <v>1996</v>
      </c>
      <c r="G749" s="1351" t="str">
        <f>IF(T749&lt;&gt;"","L","")</f>
        <v/>
      </c>
      <c r="H749" s="1351" t="s">
        <v>1990</v>
      </c>
      <c r="I749" s="1307" t="str">
        <f t="shared" si="101"/>
        <v/>
      </c>
      <c r="J749" s="1351" t="str">
        <f t="shared" si="106"/>
        <v/>
      </c>
      <c r="K749" s="1351" t="str">
        <f t="shared" si="102"/>
        <v/>
      </c>
      <c r="L749" s="852"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1"/>
      <c r="H751" s="1351"/>
      <c r="I751" s="1307" t="str">
        <f t="shared" si="101"/>
        <v/>
      </c>
      <c r="J751" s="1351"/>
      <c r="K751" s="1351" t="str">
        <f t="shared" si="102"/>
        <v/>
      </c>
      <c r="L751" s="852"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0"/>
      <c r="G752" s="1351"/>
      <c r="H752" s="1351"/>
      <c r="I752" s="1307" t="str">
        <f t="shared" si="101"/>
        <v/>
      </c>
      <c r="J752" s="1351"/>
      <c r="K752" s="1351" t="str">
        <f t="shared" si="102"/>
        <v/>
      </c>
      <c r="L752" s="852"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1"/>
      <c r="G754" s="1351"/>
      <c r="H754" s="1351"/>
      <c r="I754" s="1307" t="str">
        <f t="shared" si="101"/>
        <v/>
      </c>
      <c r="J754" s="1351"/>
      <c r="K754" s="1351" t="str">
        <f t="shared" si="102"/>
        <v/>
      </c>
      <c r="L754" s="852"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1"/>
      <c r="G755" s="1351"/>
      <c r="H755" s="1351"/>
      <c r="I755" s="1307" t="str">
        <f t="shared" si="101"/>
        <v/>
      </c>
      <c r="J755" s="1351"/>
      <c r="K755" s="1351" t="str">
        <f t="shared" si="102"/>
        <v/>
      </c>
      <c r="L755" s="852"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1"/>
      <c r="G757" s="1351"/>
      <c r="H757" s="1351"/>
      <c r="I757" s="1307" t="str">
        <f t="shared" si="101"/>
        <v/>
      </c>
      <c r="J757" s="1351"/>
      <c r="K757" s="1351" t="str">
        <f t="shared" si="102"/>
        <v/>
      </c>
      <c r="L757" s="852"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1"/>
      <c r="G758" s="1351"/>
      <c r="H758" s="1351"/>
      <c r="I758" s="1307" t="str">
        <f t="shared" si="101"/>
        <v/>
      </c>
      <c r="J758" s="1351"/>
      <c r="K758" s="1351" t="str">
        <f t="shared" si="102"/>
        <v/>
      </c>
      <c r="L758" s="852"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1"/>
      <c r="G760" s="1351"/>
      <c r="H760" s="1351"/>
      <c r="I760" s="1307" t="str">
        <f t="shared" si="101"/>
        <v/>
      </c>
      <c r="J760" s="1351"/>
      <c r="K760" s="1351" t="str">
        <f t="shared" si="102"/>
        <v/>
      </c>
      <c r="L760" s="852"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1"/>
      <c r="G761" s="1351"/>
      <c r="H761" s="1351"/>
      <c r="I761" s="1307" t="str">
        <f t="shared" si="101"/>
        <v/>
      </c>
      <c r="J761" s="1351"/>
      <c r="K761" s="1351" t="str">
        <f t="shared" si="102"/>
        <v/>
      </c>
      <c r="L761" s="852"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1"/>
      <c r="G763" s="1351"/>
      <c r="H763" s="1351"/>
      <c r="I763" s="1307" t="str">
        <f t="shared" si="101"/>
        <v/>
      </c>
      <c r="J763" s="1351"/>
      <c r="K763" s="1351" t="str">
        <f t="shared" si="102"/>
        <v/>
      </c>
      <c r="L763" s="852"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1"/>
      <c r="G764" s="1351"/>
      <c r="H764" s="1351"/>
      <c r="I764" s="1307" t="str">
        <f t="shared" si="101"/>
        <v/>
      </c>
      <c r="J764" s="1351"/>
      <c r="K764" s="1351" t="str">
        <f t="shared" si="102"/>
        <v/>
      </c>
      <c r="L764" s="852"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1" t="s">
        <v>1491</v>
      </c>
      <c r="G765" s="1351" t="str">
        <f>IF(T765&lt;&gt;"","A","")</f>
        <v/>
      </c>
      <c r="H765" s="1351" t="s">
        <v>1990</v>
      </c>
      <c r="I765" s="1307" t="str">
        <f t="shared" si="101"/>
        <v/>
      </c>
      <c r="J765" s="1351"/>
      <c r="K765" s="1351" t="str">
        <f t="shared" si="102"/>
        <v/>
      </c>
      <c r="L765" s="852"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1"/>
      <c r="G766" s="1351"/>
      <c r="H766" s="1351"/>
      <c r="I766" s="1307" t="str">
        <f t="shared" si="101"/>
        <v/>
      </c>
      <c r="J766" s="1351" t="str">
        <f t="shared" ref="J766:J778" si="111">IF(M766&lt;&gt;"",IF($Q$766="Yes",Q$1&amp;M766,""))</f>
        <v/>
      </c>
      <c r="K766" s="1351" t="str">
        <f t="shared" si="102"/>
        <v/>
      </c>
      <c r="L766" s="852"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1" t="s">
        <v>1383</v>
      </c>
      <c r="G767" s="1351" t="str">
        <f>IF(T767&lt;&gt;"","B","")</f>
        <v/>
      </c>
      <c r="H767" s="1351" t="s">
        <v>1990</v>
      </c>
      <c r="I767" s="1307" t="str">
        <f t="shared" si="101"/>
        <v/>
      </c>
      <c r="J767" s="1351"/>
      <c r="K767" s="1351" t="str">
        <f t="shared" si="102"/>
        <v/>
      </c>
      <c r="L767" s="852"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1" t="s">
        <v>1991</v>
      </c>
      <c r="G768" s="1351" t="str">
        <f>IF(T768&lt;&gt;"","E","")</f>
        <v/>
      </c>
      <c r="H768" s="1351" t="s">
        <v>1990</v>
      </c>
      <c r="I768" s="1307" t="str">
        <f t="shared" si="101"/>
        <v/>
      </c>
      <c r="J768" s="1351" t="str">
        <f t="shared" si="111"/>
        <v/>
      </c>
      <c r="K768" s="1351" t="str">
        <f t="shared" si="102"/>
        <v/>
      </c>
      <c r="L768" s="852"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1516</v>
      </c>
      <c r="F769" s="1351" t="s">
        <v>1992</v>
      </c>
      <c r="G769" s="1351" t="str">
        <f>IF(T769&lt;&gt;"","I","")</f>
        <v/>
      </c>
      <c r="H769" s="1351" t="s">
        <v>1990</v>
      </c>
      <c r="I769" s="1307" t="str">
        <f t="shared" si="101"/>
        <v/>
      </c>
      <c r="J769" s="1351" t="str">
        <f t="shared" si="111"/>
        <v/>
      </c>
      <c r="K769" s="1351" t="str">
        <f t="shared" si="102"/>
        <v/>
      </c>
      <c r="L769" s="852"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1516</v>
      </c>
      <c r="F770" s="1351" t="s">
        <v>1993</v>
      </c>
      <c r="G770" s="1351" t="str">
        <f>IF(T770&lt;&gt;"","H","")</f>
        <v/>
      </c>
      <c r="H770" s="1351" t="s">
        <v>1990</v>
      </c>
      <c r="I770" s="1307" t="str">
        <f t="shared" si="101"/>
        <v/>
      </c>
      <c r="J770" s="1351" t="str">
        <f t="shared" si="111"/>
        <v/>
      </c>
      <c r="K770" s="1351" t="str">
        <f t="shared" si="102"/>
        <v/>
      </c>
      <c r="L770" s="852"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1516</v>
      </c>
      <c r="F771" s="1351" t="s">
        <v>1382</v>
      </c>
      <c r="G771" s="1351" t="str">
        <f>IF(T771&lt;&gt;"",IF(Q769="Credit Memo","J",IF(Q769="Check","K","")),"")</f>
        <v/>
      </c>
      <c r="H771" s="1351" t="s">
        <v>1990</v>
      </c>
      <c r="I771" s="1307" t="str">
        <f t="shared" si="101"/>
        <v/>
      </c>
      <c r="J771" s="1351" t="str">
        <f t="shared" si="111"/>
        <v/>
      </c>
      <c r="K771" s="1351" t="str">
        <f t="shared" si="102"/>
        <v/>
      </c>
      <c r="L771" s="852"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3" t="s">
        <v>1486</v>
      </c>
      <c r="B772" s="852" t="str">
        <f t="shared" ca="1" si="112"/>
        <v>P153</v>
      </c>
      <c r="C772" s="852" t="str">
        <f t="shared" ca="1" si="113"/>
        <v>P154</v>
      </c>
      <c r="D772" s="852" t="s">
        <v>1350</v>
      </c>
      <c r="E772" s="852"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2"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3" t="s">
        <v>1487</v>
      </c>
      <c r="B773" s="852" t="str">
        <f t="shared" ca="1" si="112"/>
        <v>R153</v>
      </c>
      <c r="C773" s="852" t="str">
        <f t="shared" ca="1" si="113"/>
        <v>R154</v>
      </c>
      <c r="D773" s="852" t="s">
        <v>1350</v>
      </c>
      <c r="E773" s="852" t="s">
        <v>1516</v>
      </c>
      <c r="F773" s="1351" t="s">
        <v>1995</v>
      </c>
      <c r="G773" s="1351" t="str">
        <f>IF(T773&lt;&gt;"","G","")</f>
        <v/>
      </c>
      <c r="H773" s="1351" t="s">
        <v>1990</v>
      </c>
      <c r="I773" s="1307" t="str">
        <f t="shared" si="114"/>
        <v/>
      </c>
      <c r="J773" s="1351" t="str">
        <f t="shared" si="111"/>
        <v/>
      </c>
      <c r="K773" s="1351" t="str">
        <f t="shared" si="115"/>
        <v/>
      </c>
      <c r="L773" s="852"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3" t="s">
        <v>1488</v>
      </c>
      <c r="B774" s="852" t="str">
        <f t="shared" ca="1" si="112"/>
        <v>T153</v>
      </c>
      <c r="C774" s="852" t="str">
        <f t="shared" ca="1" si="113"/>
        <v>T154</v>
      </c>
      <c r="D774" s="852" t="s">
        <v>1350</v>
      </c>
      <c r="E774" s="852" t="s">
        <v>1516</v>
      </c>
      <c r="F774" s="867" t="s">
        <v>1488</v>
      </c>
      <c r="G774" s="1351" t="str">
        <f>IF(T774&lt;&gt;"","AW","")</f>
        <v/>
      </c>
      <c r="H774" s="1351" t="s">
        <v>1990</v>
      </c>
      <c r="I774" s="1307" t="str">
        <f t="shared" si="114"/>
        <v/>
      </c>
      <c r="J774" s="1351" t="str">
        <f t="shared" si="111"/>
        <v/>
      </c>
      <c r="K774" s="1351" t="str">
        <f t="shared" si="115"/>
        <v/>
      </c>
      <c r="L774" s="852"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1" t="s">
        <v>1385</v>
      </c>
      <c r="G775" s="1351" t="str">
        <f>IF(T775&lt;&gt;"","C","")</f>
        <v/>
      </c>
      <c r="H775" s="1351" t="s">
        <v>1990</v>
      </c>
      <c r="I775" s="1307" t="str">
        <f t="shared" si="114"/>
        <v/>
      </c>
      <c r="J775" s="1351"/>
      <c r="K775" s="1351" t="str">
        <f t="shared" si="115"/>
        <v/>
      </c>
      <c r="L775" s="852"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1" t="s">
        <v>1386</v>
      </c>
      <c r="G776" s="1351" t="str">
        <f>IF(T776&lt;&gt;"","D","")</f>
        <v/>
      </c>
      <c r="H776" s="1351" t="s">
        <v>1990</v>
      </c>
      <c r="I776" s="1307" t="str">
        <f t="shared" si="114"/>
        <v/>
      </c>
      <c r="J776" s="1351"/>
      <c r="K776" s="1351" t="str">
        <f t="shared" si="115"/>
        <v/>
      </c>
      <c r="L776" s="852"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1" t="s">
        <v>1495</v>
      </c>
      <c r="G777" s="1351" t="str">
        <f>IF(T777&lt;&gt;"","AN","")</f>
        <v/>
      </c>
      <c r="H777" s="1351" t="s">
        <v>1990</v>
      </c>
      <c r="I777" s="1307" t="str">
        <f t="shared" si="114"/>
        <v/>
      </c>
      <c r="J777" s="1351" t="str">
        <f t="shared" si="111"/>
        <v/>
      </c>
      <c r="K777" s="1351" t="str">
        <f t="shared" si="115"/>
        <v/>
      </c>
      <c r="L777" s="852"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1" t="s">
        <v>1492</v>
      </c>
      <c r="G778" s="1351" t="str">
        <f>IF(T778&lt;&gt;"","AL","")</f>
        <v/>
      </c>
      <c r="H778" s="1351" t="s">
        <v>1990</v>
      </c>
      <c r="I778" s="1307" t="str">
        <f t="shared" si="114"/>
        <v/>
      </c>
      <c r="J778" s="1351" t="str">
        <f t="shared" si="111"/>
        <v/>
      </c>
      <c r="K778" s="1351" t="str">
        <f t="shared" si="115"/>
        <v/>
      </c>
      <c r="L778" s="852"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1" t="s">
        <v>1912</v>
      </c>
      <c r="G779" s="1351" t="str">
        <f>IF(T779&lt;&gt;"","O","")</f>
        <v/>
      </c>
      <c r="H779" s="1351" t="s">
        <v>1990</v>
      </c>
      <c r="I779" s="1307" t="str">
        <f t="shared" si="114"/>
        <v/>
      </c>
      <c r="J779" s="1351"/>
      <c r="K779" s="1351" t="str">
        <f t="shared" si="115"/>
        <v/>
      </c>
      <c r="L779" s="852"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1" t="s">
        <v>1491</v>
      </c>
      <c r="G780" s="1351" t="str">
        <f>IF(T780&lt;&gt;"","A","")</f>
        <v/>
      </c>
      <c r="H780" s="1351" t="s">
        <v>1990</v>
      </c>
      <c r="I780" s="1307" t="str">
        <f t="shared" si="114"/>
        <v/>
      </c>
      <c r="J780" s="1351"/>
      <c r="K780" s="1351" t="str">
        <f t="shared" si="115"/>
        <v/>
      </c>
      <c r="L780" s="852"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1"/>
      <c r="G781" s="1351"/>
      <c r="H781" s="1351"/>
      <c r="I781" s="1307" t="str">
        <f t="shared" si="114"/>
        <v/>
      </c>
      <c r="J781" s="1351" t="str">
        <f t="shared" ref="J781:J793" si="117">IF(M781&lt;&gt;"",IF($Q$781="Yes",Q$1&amp;M781,""))</f>
        <v/>
      </c>
      <c r="K781" s="1351" t="str">
        <f t="shared" si="115"/>
        <v/>
      </c>
      <c r="L781" s="852"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1" t="s">
        <v>1383</v>
      </c>
      <c r="G782" s="1351" t="str">
        <f>IF(T782&lt;&gt;"","B","")</f>
        <v/>
      </c>
      <c r="H782" s="1351" t="s">
        <v>1990</v>
      </c>
      <c r="I782" s="1307" t="str">
        <f t="shared" si="114"/>
        <v/>
      </c>
      <c r="J782" s="1351"/>
      <c r="K782" s="1351" t="str">
        <f t="shared" si="115"/>
        <v/>
      </c>
      <c r="L782" s="852"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1" t="s">
        <v>1991</v>
      </c>
      <c r="G783" s="1351" t="str">
        <f>IF(T783&lt;&gt;"","E","")</f>
        <v/>
      </c>
      <c r="H783" s="1351" t="s">
        <v>1990</v>
      </c>
      <c r="I783" s="1307" t="str">
        <f t="shared" si="114"/>
        <v/>
      </c>
      <c r="J783" s="1351" t="str">
        <f t="shared" si="117"/>
        <v/>
      </c>
      <c r="K783" s="1351" t="str">
        <f t="shared" si="115"/>
        <v/>
      </c>
      <c r="L783" s="852"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1516</v>
      </c>
      <c r="F784" s="1351" t="s">
        <v>1992</v>
      </c>
      <c r="G784" s="1351" t="str">
        <f>IF(T784&lt;&gt;"","I","")</f>
        <v/>
      </c>
      <c r="H784" s="1351" t="s">
        <v>1990</v>
      </c>
      <c r="I784" s="1307" t="str">
        <f t="shared" si="114"/>
        <v/>
      </c>
      <c r="J784" s="1351" t="str">
        <f t="shared" si="117"/>
        <v/>
      </c>
      <c r="K784" s="1351" t="str">
        <f t="shared" si="115"/>
        <v/>
      </c>
      <c r="L784" s="852"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1516</v>
      </c>
      <c r="F785" s="1351" t="s">
        <v>1993</v>
      </c>
      <c r="G785" s="1351" t="str">
        <f>IF(T785&lt;&gt;"","H","")</f>
        <v/>
      </c>
      <c r="H785" s="1351" t="s">
        <v>1990</v>
      </c>
      <c r="I785" s="1307" t="str">
        <f t="shared" si="114"/>
        <v/>
      </c>
      <c r="J785" s="1351" t="str">
        <f t="shared" si="117"/>
        <v/>
      </c>
      <c r="K785" s="1351" t="str">
        <f t="shared" si="115"/>
        <v/>
      </c>
      <c r="L785" s="852"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1516</v>
      </c>
      <c r="F786" s="1351" t="s">
        <v>1382</v>
      </c>
      <c r="G786" s="1351" t="str">
        <f>IF(T786&lt;&gt;"",IF(Q784="Credit Memo","J",IF(Q784="Check","K","")),"")</f>
        <v/>
      </c>
      <c r="H786" s="1351" t="s">
        <v>1990</v>
      </c>
      <c r="I786" s="1307" t="str">
        <f t="shared" si="114"/>
        <v/>
      </c>
      <c r="J786" s="1351" t="str">
        <f t="shared" si="117"/>
        <v/>
      </c>
      <c r="K786" s="1351" t="str">
        <f t="shared" si="115"/>
        <v/>
      </c>
      <c r="L786" s="852"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6" t="s">
        <v>1486</v>
      </c>
      <c r="B787" s="852" t="str">
        <f t="shared" ca="1" si="118"/>
        <v>P167</v>
      </c>
      <c r="C787" s="852" t="str">
        <f t="shared" ca="1" si="119"/>
        <v>P168</v>
      </c>
      <c r="D787" s="852" t="s">
        <v>1350</v>
      </c>
      <c r="E787" s="852" t="s">
        <v>1516</v>
      </c>
      <c r="F787" s="1351" t="s">
        <v>1994</v>
      </c>
      <c r="G787" s="1351" t="str">
        <f>IF(T787&lt;&gt;"","F","")</f>
        <v/>
      </c>
      <c r="H787" s="1351" t="s">
        <v>1990</v>
      </c>
      <c r="I787" s="1307" t="str">
        <f t="shared" si="114"/>
        <v/>
      </c>
      <c r="J787" s="1351" t="str">
        <f t="shared" si="117"/>
        <v/>
      </c>
      <c r="K787" s="1351" t="str">
        <f t="shared" si="115"/>
        <v/>
      </c>
      <c r="L787" s="852"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6" t="s">
        <v>1487</v>
      </c>
      <c r="B788" s="852" t="str">
        <f t="shared" ca="1" si="118"/>
        <v>R167</v>
      </c>
      <c r="C788" s="852" t="str">
        <f t="shared" ca="1" si="119"/>
        <v>R168</v>
      </c>
      <c r="D788" s="852" t="s">
        <v>1350</v>
      </c>
      <c r="E788" s="852" t="s">
        <v>1516</v>
      </c>
      <c r="F788" s="1351" t="s">
        <v>1995</v>
      </c>
      <c r="G788" s="1351" t="str">
        <f>IF(T788&lt;&gt;"","G","")</f>
        <v/>
      </c>
      <c r="H788" s="1351" t="s">
        <v>1990</v>
      </c>
      <c r="I788" s="1307" t="str">
        <f t="shared" si="114"/>
        <v/>
      </c>
      <c r="J788" s="1351" t="str">
        <f t="shared" si="117"/>
        <v/>
      </c>
      <c r="K788" s="1351" t="str">
        <f t="shared" si="115"/>
        <v/>
      </c>
      <c r="L788" s="852"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6" t="s">
        <v>1488</v>
      </c>
      <c r="B789" s="852" t="str">
        <f t="shared" ca="1" si="118"/>
        <v>T167</v>
      </c>
      <c r="C789" s="852" t="str">
        <f t="shared" ca="1" si="119"/>
        <v>T168</v>
      </c>
      <c r="D789" s="852" t="s">
        <v>1350</v>
      </c>
      <c r="E789" s="852" t="s">
        <v>1516</v>
      </c>
      <c r="F789" s="867" t="s">
        <v>1488</v>
      </c>
      <c r="G789" s="1351" t="str">
        <f>IF(T789&lt;&gt;"","AW","")</f>
        <v/>
      </c>
      <c r="H789" s="1351" t="s">
        <v>1990</v>
      </c>
      <c r="I789" s="1307" t="str">
        <f t="shared" si="114"/>
        <v/>
      </c>
      <c r="J789" s="1351" t="str">
        <f t="shared" si="117"/>
        <v/>
      </c>
      <c r="K789" s="1351" t="str">
        <f t="shared" si="115"/>
        <v/>
      </c>
      <c r="L789" s="852"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1" t="s">
        <v>1385</v>
      </c>
      <c r="G790" s="1351" t="str">
        <f>IF(T790&lt;&gt;"","C","")</f>
        <v/>
      </c>
      <c r="H790" s="1351" t="s">
        <v>1990</v>
      </c>
      <c r="I790" s="1307" t="str">
        <f t="shared" si="114"/>
        <v/>
      </c>
      <c r="J790" s="1351"/>
      <c r="K790" s="1351" t="str">
        <f t="shared" si="115"/>
        <v/>
      </c>
      <c r="L790" s="852"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1" t="s">
        <v>1386</v>
      </c>
      <c r="G791" s="1351" t="str">
        <f>IF(T791&lt;&gt;"","D","")</f>
        <v/>
      </c>
      <c r="H791" s="1351" t="s">
        <v>1990</v>
      </c>
      <c r="I791" s="1307" t="str">
        <f t="shared" si="114"/>
        <v/>
      </c>
      <c r="J791" s="1351"/>
      <c r="K791" s="1351" t="str">
        <f t="shared" si="115"/>
        <v/>
      </c>
      <c r="L791" s="852"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1" t="s">
        <v>1495</v>
      </c>
      <c r="G792" s="1351" t="str">
        <f>IF(T792&lt;&gt;"","AN","")</f>
        <v/>
      </c>
      <c r="H792" s="1351" t="s">
        <v>1990</v>
      </c>
      <c r="I792" s="1307" t="str">
        <f t="shared" si="114"/>
        <v/>
      </c>
      <c r="J792" s="1351" t="str">
        <f t="shared" si="117"/>
        <v/>
      </c>
      <c r="K792" s="1351" t="str">
        <f t="shared" si="115"/>
        <v/>
      </c>
      <c r="L792" s="852"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1" t="s">
        <v>1492</v>
      </c>
      <c r="G793" s="1351" t="str">
        <f>IF(T793&lt;&gt;"","AL","")</f>
        <v/>
      </c>
      <c r="H793" s="1351" t="s">
        <v>1990</v>
      </c>
      <c r="I793" s="1307" t="str">
        <f t="shared" si="114"/>
        <v/>
      </c>
      <c r="J793" s="1351" t="str">
        <f t="shared" si="117"/>
        <v/>
      </c>
      <c r="K793" s="1351" t="str">
        <f t="shared" si="115"/>
        <v/>
      </c>
      <c r="L793" s="852"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1" t="s">
        <v>1912</v>
      </c>
      <c r="G794" s="1351" t="str">
        <f>IF(T794&lt;&gt;"","O","")</f>
        <v/>
      </c>
      <c r="H794" s="1351" t="s">
        <v>1990</v>
      </c>
      <c r="I794" s="1307" t="str">
        <f t="shared" si="114"/>
        <v/>
      </c>
      <c r="J794" s="1351"/>
      <c r="K794" s="1351" t="str">
        <f t="shared" si="115"/>
        <v/>
      </c>
      <c r="L794" s="852"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1" t="s">
        <v>1491</v>
      </c>
      <c r="G795" s="1351" t="str">
        <f>IF(T795&lt;&gt;"","A","")</f>
        <v/>
      </c>
      <c r="H795" s="1351" t="s">
        <v>1990</v>
      </c>
      <c r="I795" s="1307" t="str">
        <f t="shared" si="114"/>
        <v/>
      </c>
      <c r="J795" s="1351"/>
      <c r="K795" s="1351" t="str">
        <f t="shared" si="115"/>
        <v/>
      </c>
      <c r="L795" s="852"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1"/>
      <c r="G796" s="1351"/>
      <c r="H796" s="1351"/>
      <c r="I796" s="1307" t="str">
        <f t="shared" si="114"/>
        <v/>
      </c>
      <c r="J796" s="1351" t="str">
        <f t="shared" ref="J796:J810" si="121">IF(M796&lt;&gt;"",IF($Q$796="Yes",Q$1&amp;M796,""))</f>
        <v/>
      </c>
      <c r="K796" s="1351" t="str">
        <f t="shared" si="115"/>
        <v/>
      </c>
      <c r="L796" s="852"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1" t="s">
        <v>1383</v>
      </c>
      <c r="G797" s="1351" t="str">
        <f>IF(T797&lt;&gt;"","B","")</f>
        <v/>
      </c>
      <c r="H797" s="1351" t="s">
        <v>1990</v>
      </c>
      <c r="I797" s="1307" t="str">
        <f t="shared" si="114"/>
        <v/>
      </c>
      <c r="J797" s="1351"/>
      <c r="K797" s="1351" t="str">
        <f t="shared" si="115"/>
        <v/>
      </c>
      <c r="L797" s="852"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1" t="s">
        <v>1991</v>
      </c>
      <c r="G798" s="1351" t="str">
        <f>IF(T798&lt;&gt;"","E","")</f>
        <v/>
      </c>
      <c r="H798" s="1351" t="s">
        <v>1990</v>
      </c>
      <c r="I798" s="1307" t="str">
        <f t="shared" si="114"/>
        <v/>
      </c>
      <c r="J798" s="1351" t="str">
        <f t="shared" si="121"/>
        <v/>
      </c>
      <c r="K798" s="1351" t="str">
        <f t="shared" si="115"/>
        <v/>
      </c>
      <c r="L798" s="852"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1516</v>
      </c>
      <c r="F799" s="1351" t="s">
        <v>1992</v>
      </c>
      <c r="G799" s="1351" t="str">
        <f>IF(T799&lt;&gt;"","I","")</f>
        <v/>
      </c>
      <c r="H799" s="1351" t="s">
        <v>1990</v>
      </c>
      <c r="I799" s="1307" t="str">
        <f t="shared" si="114"/>
        <v/>
      </c>
      <c r="J799" s="1351" t="str">
        <f t="shared" si="121"/>
        <v/>
      </c>
      <c r="K799" s="1351" t="str">
        <f t="shared" si="115"/>
        <v/>
      </c>
      <c r="L799" s="852"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1516</v>
      </c>
      <c r="F800" s="1351" t="s">
        <v>1993</v>
      </c>
      <c r="G800" s="1351" t="str">
        <f>IF(T800&lt;&gt;"","H","")</f>
        <v/>
      </c>
      <c r="H800" s="1351" t="s">
        <v>1990</v>
      </c>
      <c r="I800" s="1307" t="str">
        <f t="shared" si="114"/>
        <v/>
      </c>
      <c r="J800" s="1351" t="str">
        <f t="shared" si="121"/>
        <v/>
      </c>
      <c r="K800" s="1351" t="str">
        <f t="shared" si="115"/>
        <v/>
      </c>
      <c r="L800" s="852"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1516</v>
      </c>
      <c r="F801" s="1351" t="s">
        <v>1382</v>
      </c>
      <c r="G801" s="1351" t="str">
        <f>IF(T801&lt;&gt;"",IF(Q799="Credit Memo","J",IF(Q799="Check","K","")),"")</f>
        <v/>
      </c>
      <c r="H801" s="1351" t="s">
        <v>1990</v>
      </c>
      <c r="I801" s="1307" t="str">
        <f t="shared" si="114"/>
        <v/>
      </c>
      <c r="J801" s="1351" t="str">
        <f t="shared" si="121"/>
        <v/>
      </c>
      <c r="K801" s="1351" t="str">
        <f t="shared" si="115"/>
        <v/>
      </c>
      <c r="L801" s="852"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3" t="s">
        <v>1486</v>
      </c>
      <c r="B802" s="852" t="str">
        <f t="shared" ca="1" si="122"/>
        <v>P181</v>
      </c>
      <c r="C802" s="852" t="str">
        <f t="shared" ca="1" si="123"/>
        <v>P182</v>
      </c>
      <c r="D802" s="852" t="s">
        <v>1350</v>
      </c>
      <c r="E802" s="852" t="s">
        <v>1516</v>
      </c>
      <c r="F802" s="1351" t="s">
        <v>1994</v>
      </c>
      <c r="G802" s="1351" t="str">
        <f>IF(T802&lt;&gt;"","F","")</f>
        <v/>
      </c>
      <c r="H802" s="1351" t="s">
        <v>1990</v>
      </c>
      <c r="I802" s="1307" t="str">
        <f t="shared" si="114"/>
        <v/>
      </c>
      <c r="J802" s="1351" t="str">
        <f t="shared" si="121"/>
        <v/>
      </c>
      <c r="K802" s="1351" t="str">
        <f t="shared" si="115"/>
        <v/>
      </c>
      <c r="L802" s="852"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3" t="s">
        <v>1487</v>
      </c>
      <c r="B803" s="852" t="str">
        <f t="shared" ca="1" si="122"/>
        <v>R181</v>
      </c>
      <c r="C803" s="852" t="str">
        <f t="shared" ca="1" si="123"/>
        <v>R182</v>
      </c>
      <c r="D803" s="852" t="s">
        <v>1350</v>
      </c>
      <c r="E803" s="852" t="s">
        <v>1516</v>
      </c>
      <c r="F803" s="1351" t="s">
        <v>1995</v>
      </c>
      <c r="G803" s="1351" t="str">
        <f>IF(T803&lt;&gt;"","G","")</f>
        <v/>
      </c>
      <c r="H803" s="1351" t="s">
        <v>1990</v>
      </c>
      <c r="I803" s="1307" t="str">
        <f t="shared" si="114"/>
        <v/>
      </c>
      <c r="J803" s="1351" t="str">
        <f t="shared" si="121"/>
        <v/>
      </c>
      <c r="K803" s="1351" t="str">
        <f t="shared" si="115"/>
        <v/>
      </c>
      <c r="L803" s="852"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3" t="s">
        <v>1488</v>
      </c>
      <c r="B804" s="852" t="str">
        <f t="shared" ca="1" si="122"/>
        <v>T181</v>
      </c>
      <c r="C804" s="852" t="str">
        <f t="shared" ca="1" si="123"/>
        <v>T182</v>
      </c>
      <c r="D804" s="852" t="s">
        <v>1350</v>
      </c>
      <c r="E804" s="852" t="s">
        <v>1516</v>
      </c>
      <c r="F804" s="867" t="s">
        <v>1488</v>
      </c>
      <c r="G804" s="1351" t="str">
        <f>IF(T804&lt;&gt;"","AW","")</f>
        <v/>
      </c>
      <c r="H804" s="1351" t="s">
        <v>1990</v>
      </c>
      <c r="I804" s="1307" t="str">
        <f t="shared" si="114"/>
        <v/>
      </c>
      <c r="J804" s="1351" t="str">
        <f t="shared" si="121"/>
        <v/>
      </c>
      <c r="K804" s="1351" t="str">
        <f t="shared" si="115"/>
        <v/>
      </c>
      <c r="L804" s="852"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1" t="s">
        <v>1385</v>
      </c>
      <c r="G805" s="1351" t="str">
        <f>IF(T805&lt;&gt;"","C","")</f>
        <v/>
      </c>
      <c r="H805" s="1351" t="s">
        <v>1990</v>
      </c>
      <c r="I805" s="1307" t="str">
        <f t="shared" si="114"/>
        <v/>
      </c>
      <c r="J805" s="1351"/>
      <c r="K805" s="1351" t="str">
        <f t="shared" si="115"/>
        <v/>
      </c>
      <c r="L805" s="852"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1" t="s">
        <v>1386</v>
      </c>
      <c r="G806" s="1351" t="str">
        <f>IF(T806&lt;&gt;"","D","")</f>
        <v/>
      </c>
      <c r="H806" s="1351" t="s">
        <v>1990</v>
      </c>
      <c r="I806" s="1307" t="str">
        <f t="shared" si="114"/>
        <v/>
      </c>
      <c r="J806" s="1351"/>
      <c r="K806" s="1351" t="str">
        <f t="shared" si="115"/>
        <v/>
      </c>
      <c r="L806" s="852"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1" t="s">
        <v>1495</v>
      </c>
      <c r="G807" s="1351" t="str">
        <f>IF(T807&lt;&gt;"","AN","")</f>
        <v/>
      </c>
      <c r="H807" s="1351" t="s">
        <v>1990</v>
      </c>
      <c r="I807" s="1307" t="str">
        <f t="shared" si="114"/>
        <v/>
      </c>
      <c r="J807" s="1351" t="str">
        <f t="shared" si="121"/>
        <v/>
      </c>
      <c r="K807" s="1351" t="str">
        <f t="shared" si="115"/>
        <v/>
      </c>
      <c r="L807" s="852"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1" t="s">
        <v>1492</v>
      </c>
      <c r="G808" s="1351" t="str">
        <f>IF(T808&lt;&gt;"","AL","")</f>
        <v/>
      </c>
      <c r="H808" s="1351" t="s">
        <v>1990</v>
      </c>
      <c r="I808" s="1307" t="str">
        <f t="shared" si="114"/>
        <v/>
      </c>
      <c r="J808" s="1351" t="str">
        <f t="shared" si="121"/>
        <v/>
      </c>
      <c r="K808" s="1351" t="str">
        <f t="shared" si="115"/>
        <v/>
      </c>
      <c r="L808" s="852"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1" t="s">
        <v>1996</v>
      </c>
      <c r="G809" s="1351" t="str">
        <f>IF(T809&lt;&gt;"","L","")</f>
        <v/>
      </c>
      <c r="H809" s="1351" t="s">
        <v>1990</v>
      </c>
      <c r="I809" s="1307" t="str">
        <f t="shared" si="114"/>
        <v/>
      </c>
      <c r="J809" s="1351" t="str">
        <f t="shared" si="121"/>
        <v/>
      </c>
      <c r="K809" s="1351" t="str">
        <f t="shared" si="115"/>
        <v/>
      </c>
      <c r="L809" s="852"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1" t="str">
        <f>IF(T810&lt;&gt;"","AH","")</f>
        <v/>
      </c>
      <c r="H810" s="1351" t="s">
        <v>1990</v>
      </c>
      <c r="I810" s="1307" t="str">
        <f t="shared" si="114"/>
        <v/>
      </c>
      <c r="J810" s="1351" t="str">
        <f t="shared" si="121"/>
        <v/>
      </c>
      <c r="K810" s="1351" t="str">
        <f t="shared" si="115"/>
        <v/>
      </c>
      <c r="L810" s="852"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1"/>
      <c r="H811" s="1351"/>
      <c r="I811" s="1307" t="str">
        <f t="shared" si="114"/>
        <v/>
      </c>
      <c r="J811" s="1351"/>
      <c r="K811" s="1351" t="str">
        <f t="shared" si="115"/>
        <v/>
      </c>
      <c r="L811" s="852"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1" t="s">
        <v>1912</v>
      </c>
      <c r="G812" s="1351" t="str">
        <f>IF(T812&lt;&gt;"","AI","")</f>
        <v/>
      </c>
      <c r="H812" s="1351" t="s">
        <v>1990</v>
      </c>
      <c r="I812" s="1307" t="str">
        <f t="shared" si="114"/>
        <v/>
      </c>
      <c r="J812" s="1351"/>
      <c r="K812" s="1351" t="str">
        <f t="shared" si="115"/>
        <v/>
      </c>
      <c r="L812" s="852"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1" t="s">
        <v>1491</v>
      </c>
      <c r="G813" s="1351" t="str">
        <f>IF(T813&lt;&gt;"","A","")</f>
        <v/>
      </c>
      <c r="H813" s="1351" t="s">
        <v>1990</v>
      </c>
      <c r="I813" s="1307" t="str">
        <f t="shared" si="114"/>
        <v/>
      </c>
      <c r="J813" s="1351"/>
      <c r="K813" s="1351" t="str">
        <f t="shared" si="115"/>
        <v/>
      </c>
      <c r="L813" s="852"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1"/>
      <c r="G814" s="1351"/>
      <c r="H814" s="1351"/>
      <c r="I814" s="1307" t="str">
        <f t="shared" si="114"/>
        <v/>
      </c>
      <c r="J814" s="1351" t="str">
        <f t="shared" ref="J814:J828" si="125">IF(M814&lt;&gt;"",IF($Q$814="Yes",Q$1&amp;M814,""))</f>
        <v/>
      </c>
      <c r="K814" s="1351" t="str">
        <f t="shared" si="115"/>
        <v/>
      </c>
      <c r="L814" s="852"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1" t="s">
        <v>1383</v>
      </c>
      <c r="G815" s="1351" t="str">
        <f>IF(T815&lt;&gt;"","B","")</f>
        <v/>
      </c>
      <c r="H815" s="1351" t="s">
        <v>1990</v>
      </c>
      <c r="I815" s="1307" t="str">
        <f t="shared" si="114"/>
        <v/>
      </c>
      <c r="J815" s="1351"/>
      <c r="K815" s="1351" t="str">
        <f t="shared" si="115"/>
        <v/>
      </c>
      <c r="L815" s="852"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1" t="s">
        <v>1991</v>
      </c>
      <c r="G816" s="1351" t="str">
        <f>IF(T816&lt;&gt;"","E","")</f>
        <v/>
      </c>
      <c r="H816" s="1351" t="s">
        <v>1990</v>
      </c>
      <c r="I816" s="1307" t="str">
        <f t="shared" si="114"/>
        <v/>
      </c>
      <c r="J816" s="1351" t="str">
        <f t="shared" si="125"/>
        <v/>
      </c>
      <c r="K816" s="1351" t="str">
        <f t="shared" si="115"/>
        <v/>
      </c>
      <c r="L816" s="852"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1516</v>
      </c>
      <c r="F817" s="1351" t="s">
        <v>1992</v>
      </c>
      <c r="G817" s="1351" t="str">
        <f>IF(T817&lt;&gt;"","I","")</f>
        <v/>
      </c>
      <c r="H817" s="1351" t="s">
        <v>1990</v>
      </c>
      <c r="I817" s="1307" t="str">
        <f t="shared" si="114"/>
        <v/>
      </c>
      <c r="J817" s="1351" t="str">
        <f t="shared" si="125"/>
        <v/>
      </c>
      <c r="K817" s="1351" t="str">
        <f t="shared" si="115"/>
        <v/>
      </c>
      <c r="L817" s="852"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1516</v>
      </c>
      <c r="F818" s="1351" t="s">
        <v>1993</v>
      </c>
      <c r="G818" s="1351" t="str">
        <f>IF(T818&lt;&gt;"","H","")</f>
        <v/>
      </c>
      <c r="H818" s="1351" t="s">
        <v>1990</v>
      </c>
      <c r="I818" s="1307" t="str">
        <f t="shared" si="114"/>
        <v/>
      </c>
      <c r="J818" s="1351" t="str">
        <f t="shared" si="125"/>
        <v/>
      </c>
      <c r="K818" s="1351" t="str">
        <f t="shared" si="115"/>
        <v/>
      </c>
      <c r="L818" s="852"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1516</v>
      </c>
      <c r="F819" s="1351" t="s">
        <v>1382</v>
      </c>
      <c r="G819" s="1351" t="str">
        <f>IF(T819&lt;&gt;"",IF(Q817="Credit Memo","J",IF(Q817="Check","K","")),"")</f>
        <v/>
      </c>
      <c r="H819" s="1351" t="s">
        <v>1990</v>
      </c>
      <c r="I819" s="1307" t="str">
        <f t="shared" si="114"/>
        <v/>
      </c>
      <c r="J819" s="1351" t="str">
        <f t="shared" si="125"/>
        <v/>
      </c>
      <c r="K819" s="1351" t="str">
        <f t="shared" si="115"/>
        <v/>
      </c>
      <c r="L819" s="852"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6" t="s">
        <v>1486</v>
      </c>
      <c r="B820" s="852" t="str">
        <f t="shared" ca="1" si="126"/>
        <v>P195</v>
      </c>
      <c r="C820" s="852" t="str">
        <f t="shared" ca="1" si="127"/>
        <v>P196</v>
      </c>
      <c r="D820" s="852" t="s">
        <v>1350</v>
      </c>
      <c r="E820" s="852" t="s">
        <v>1516</v>
      </c>
      <c r="F820" s="1351" t="s">
        <v>1994</v>
      </c>
      <c r="G820" s="1351" t="str">
        <f>IF(T820&lt;&gt;"","F","")</f>
        <v/>
      </c>
      <c r="H820" s="1351" t="s">
        <v>1990</v>
      </c>
      <c r="I820" s="1307" t="str">
        <f t="shared" si="114"/>
        <v/>
      </c>
      <c r="J820" s="1351" t="str">
        <f t="shared" si="125"/>
        <v/>
      </c>
      <c r="K820" s="1351" t="str">
        <f t="shared" si="115"/>
        <v/>
      </c>
      <c r="L820" s="852"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6" t="s">
        <v>1487</v>
      </c>
      <c r="B821" s="852" t="str">
        <f t="shared" ca="1" si="126"/>
        <v>R195</v>
      </c>
      <c r="C821" s="852" t="str">
        <f t="shared" ca="1" si="127"/>
        <v>R196</v>
      </c>
      <c r="D821" s="852" t="s">
        <v>1350</v>
      </c>
      <c r="E821" s="852" t="s">
        <v>1516</v>
      </c>
      <c r="F821" s="1351" t="s">
        <v>1995</v>
      </c>
      <c r="G821" s="1351" t="str">
        <f>IF(T821&lt;&gt;"","G","")</f>
        <v/>
      </c>
      <c r="H821" s="1351" t="s">
        <v>1990</v>
      </c>
      <c r="I821" s="1307" t="str">
        <f t="shared" si="114"/>
        <v/>
      </c>
      <c r="J821" s="1351" t="str">
        <f t="shared" si="125"/>
        <v/>
      </c>
      <c r="K821" s="1351" t="str">
        <f t="shared" si="115"/>
        <v/>
      </c>
      <c r="L821" s="852"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6" t="s">
        <v>1488</v>
      </c>
      <c r="B822" s="852" t="str">
        <f t="shared" ca="1" si="126"/>
        <v>T195</v>
      </c>
      <c r="C822" s="852" t="str">
        <f t="shared" ca="1" si="127"/>
        <v>T196</v>
      </c>
      <c r="D822" s="852" t="s">
        <v>1350</v>
      </c>
      <c r="E822" s="852" t="s">
        <v>1516</v>
      </c>
      <c r="F822" s="867" t="s">
        <v>1488</v>
      </c>
      <c r="G822" s="1351" t="str">
        <f>IF(T822&lt;&gt;"","AW","")</f>
        <v/>
      </c>
      <c r="H822" s="1351" t="s">
        <v>1990</v>
      </c>
      <c r="I822" s="1307" t="str">
        <f t="shared" si="114"/>
        <v/>
      </c>
      <c r="J822" s="1351" t="str">
        <f t="shared" si="125"/>
        <v/>
      </c>
      <c r="K822" s="1351" t="str">
        <f t="shared" si="115"/>
        <v/>
      </c>
      <c r="L822" s="852"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1" t="s">
        <v>1385</v>
      </c>
      <c r="G823" s="1351" t="str">
        <f>IF(T823&lt;&gt;"","C","")</f>
        <v/>
      </c>
      <c r="H823" s="1351" t="s">
        <v>1990</v>
      </c>
      <c r="I823" s="1307" t="str">
        <f t="shared" si="114"/>
        <v/>
      </c>
      <c r="J823" s="1351"/>
      <c r="K823" s="1351" t="str">
        <f t="shared" si="115"/>
        <v/>
      </c>
      <c r="L823" s="852"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1" t="s">
        <v>1386</v>
      </c>
      <c r="G824" s="1351" t="str">
        <f>IF(T824&lt;&gt;"","D","")</f>
        <v/>
      </c>
      <c r="H824" s="1351" t="s">
        <v>1990</v>
      </c>
      <c r="I824" s="1307" t="str">
        <f t="shared" si="114"/>
        <v/>
      </c>
      <c r="J824" s="1351"/>
      <c r="K824" s="1351" t="str">
        <f t="shared" si="115"/>
        <v/>
      </c>
      <c r="L824" s="852"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1" t="s">
        <v>1495</v>
      </c>
      <c r="G825" s="1351" t="str">
        <f>IF(T825&lt;&gt;"","AN","")</f>
        <v/>
      </c>
      <c r="H825" s="1351" t="s">
        <v>1990</v>
      </c>
      <c r="I825" s="1307" t="str">
        <f t="shared" si="114"/>
        <v/>
      </c>
      <c r="J825" s="1351" t="str">
        <f t="shared" si="125"/>
        <v/>
      </c>
      <c r="K825" s="1351" t="str">
        <f t="shared" si="115"/>
        <v/>
      </c>
      <c r="L825" s="852"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1" t="s">
        <v>1492</v>
      </c>
      <c r="G826" s="1351" t="str">
        <f>IF(T826&lt;&gt;"","AL","")</f>
        <v/>
      </c>
      <c r="H826" s="1351" t="s">
        <v>1990</v>
      </c>
      <c r="I826" s="1307" t="str">
        <f t="shared" si="114"/>
        <v/>
      </c>
      <c r="J826" s="1351" t="str">
        <f t="shared" si="125"/>
        <v/>
      </c>
      <c r="K826" s="1351" t="str">
        <f t="shared" si="115"/>
        <v/>
      </c>
      <c r="L826" s="852"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1" t="s">
        <v>1996</v>
      </c>
      <c r="G827" s="1351" t="str">
        <f>IF(T827&lt;&gt;"","L","")</f>
        <v/>
      </c>
      <c r="H827" s="1351" t="s">
        <v>1990</v>
      </c>
      <c r="I827" s="1307" t="str">
        <f t="shared" si="114"/>
        <v/>
      </c>
      <c r="J827" s="1351" t="str">
        <f t="shared" si="125"/>
        <v/>
      </c>
      <c r="K827" s="1351" t="str">
        <f t="shared" si="115"/>
        <v/>
      </c>
      <c r="L827" s="852"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1" t="str">
        <f>IF(T828&lt;&gt;"","AH","")</f>
        <v/>
      </c>
      <c r="H828" s="1351" t="s">
        <v>1990</v>
      </c>
      <c r="I828" s="1307" t="str">
        <f t="shared" si="114"/>
        <v/>
      </c>
      <c r="J828" s="1351" t="str">
        <f t="shared" si="125"/>
        <v/>
      </c>
      <c r="K828" s="1351" t="str">
        <f t="shared" si="115"/>
        <v/>
      </c>
      <c r="L828" s="852"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1"/>
      <c r="H829" s="1351"/>
      <c r="I829" s="1307" t="str">
        <f t="shared" si="114"/>
        <v/>
      </c>
      <c r="J829" s="1351"/>
      <c r="K829" s="1351" t="str">
        <f t="shared" si="115"/>
        <v/>
      </c>
      <c r="L829" s="852"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1" t="s">
        <v>1912</v>
      </c>
      <c r="G830" s="1351" t="str">
        <f>IF(T830&lt;&gt;"","AI","")</f>
        <v/>
      </c>
      <c r="H830" s="1351" t="s">
        <v>1990</v>
      </c>
      <c r="I830" s="1307" t="str">
        <f t="shared" si="114"/>
        <v/>
      </c>
      <c r="J830" s="1351"/>
      <c r="K830" s="1351" t="str">
        <f t="shared" si="115"/>
        <v/>
      </c>
      <c r="L830" s="852"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1" t="s">
        <v>1491</v>
      </c>
      <c r="G831" s="1351" t="str">
        <f>IF(T831&lt;&gt;"","A","")</f>
        <v/>
      </c>
      <c r="H831" s="1351" t="s">
        <v>1990</v>
      </c>
      <c r="I831" s="1307" t="str">
        <f t="shared" si="114"/>
        <v/>
      </c>
      <c r="J831" s="1351"/>
      <c r="K831" s="1351" t="str">
        <f t="shared" si="115"/>
        <v/>
      </c>
      <c r="L831" s="852"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1"/>
      <c r="G832" s="1351"/>
      <c r="H832" s="1351"/>
      <c r="I832" s="1307" t="str">
        <f t="shared" si="114"/>
        <v/>
      </c>
      <c r="J832" s="1351" t="str">
        <f>IF(M832&lt;&gt;"",IF($Q$832="Yes",Q$1&amp;M832,""))</f>
        <v/>
      </c>
      <c r="K832" s="1351" t="str">
        <f t="shared" si="115"/>
        <v/>
      </c>
      <c r="L832" s="852"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1" t="s">
        <v>1383</v>
      </c>
      <c r="G833" s="1351" t="str">
        <f>IF(T833&lt;&gt;"","B","")</f>
        <v/>
      </c>
      <c r="H833" s="1351" t="s">
        <v>1990</v>
      </c>
      <c r="I833" s="1307" t="str">
        <f t="shared" si="114"/>
        <v/>
      </c>
      <c r="J833" s="1351"/>
      <c r="K833" s="1351" t="str">
        <f t="shared" si="115"/>
        <v/>
      </c>
      <c r="L833" s="852"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1" t="s">
        <v>1991</v>
      </c>
      <c r="G834" s="1351" t="str">
        <f>IF(T834&lt;&gt;"","E","")</f>
        <v/>
      </c>
      <c r="H834" s="1351" t="s">
        <v>1990</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1516</v>
      </c>
      <c r="F835" s="1351" t="s">
        <v>1992</v>
      </c>
      <c r="G835" s="1351" t="str">
        <f>IF(T835&lt;&gt;"","I","")</f>
        <v/>
      </c>
      <c r="H835" s="1351" t="s">
        <v>1990</v>
      </c>
      <c r="I835" s="1307" t="str">
        <f t="shared" si="114"/>
        <v/>
      </c>
      <c r="J835" s="1351" t="str">
        <f t="shared" si="131"/>
        <v/>
      </c>
      <c r="K835" s="1351" t="str">
        <f t="shared" si="115"/>
        <v/>
      </c>
      <c r="L835" s="852"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1516</v>
      </c>
      <c r="F837" s="1351" t="s">
        <v>1382</v>
      </c>
      <c r="G837" s="1351" t="str">
        <f>IF(T837&lt;&gt;"",IF(Q835="Credit Memo","J",IF(Q835="Check","K","")),"")</f>
        <v/>
      </c>
      <c r="H837" s="1351" t="s">
        <v>1990</v>
      </c>
      <c r="I837" s="1307" t="str">
        <f t="shared" si="132"/>
        <v/>
      </c>
      <c r="J837" s="1351" t="str">
        <f t="shared" si="131"/>
        <v/>
      </c>
      <c r="K837" s="1351" t="str">
        <f t="shared" si="133"/>
        <v/>
      </c>
      <c r="L837" s="852"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3" t="s">
        <v>1486</v>
      </c>
      <c r="B838" s="852" t="str">
        <f t="shared" ca="1" si="129"/>
        <v>P209</v>
      </c>
      <c r="C838" s="852" t="str">
        <f t="shared" ca="1" si="130"/>
        <v>P210</v>
      </c>
      <c r="D838" s="852" t="s">
        <v>1350</v>
      </c>
      <c r="E838" s="852" t="s">
        <v>1516</v>
      </c>
      <c r="F838" s="1351" t="s">
        <v>1994</v>
      </c>
      <c r="G838" s="1351" t="str">
        <f>IF(T838&lt;&gt;"","F","")</f>
        <v/>
      </c>
      <c r="H838" s="1351" t="s">
        <v>1990</v>
      </c>
      <c r="I838" s="1307" t="str">
        <f t="shared" si="132"/>
        <v/>
      </c>
      <c r="J838" s="1351" t="str">
        <f t="shared" si="131"/>
        <v/>
      </c>
      <c r="K838" s="1351" t="str">
        <f t="shared" si="133"/>
        <v/>
      </c>
      <c r="L838" s="852"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3" t="s">
        <v>1487</v>
      </c>
      <c r="B839" s="852" t="str">
        <f t="shared" ca="1" si="129"/>
        <v>R209</v>
      </c>
      <c r="C839" s="852" t="str">
        <f t="shared" ca="1" si="130"/>
        <v>R210</v>
      </c>
      <c r="D839" s="852" t="s">
        <v>1350</v>
      </c>
      <c r="E839" s="852" t="s">
        <v>1516</v>
      </c>
      <c r="F839" s="1351" t="s">
        <v>1995</v>
      </c>
      <c r="G839" s="1351" t="str">
        <f>IF(T839&lt;&gt;"","G","")</f>
        <v/>
      </c>
      <c r="H839" s="1351" t="s">
        <v>1990</v>
      </c>
      <c r="I839" s="1307" t="str">
        <f t="shared" si="132"/>
        <v/>
      </c>
      <c r="J839" s="1351" t="str">
        <f t="shared" si="131"/>
        <v/>
      </c>
      <c r="K839" s="1351" t="str">
        <f t="shared" si="133"/>
        <v/>
      </c>
      <c r="L839" s="852"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3" t="s">
        <v>1488</v>
      </c>
      <c r="B840" s="852" t="str">
        <f t="shared" ca="1" si="129"/>
        <v>T209</v>
      </c>
      <c r="C840" s="852" t="str">
        <f t="shared" ca="1" si="130"/>
        <v>T210</v>
      </c>
      <c r="D840" s="852" t="s">
        <v>1350</v>
      </c>
      <c r="E840" s="852" t="s">
        <v>1516</v>
      </c>
      <c r="F840" s="867" t="s">
        <v>1488</v>
      </c>
      <c r="G840" s="1351" t="str">
        <f>IF(T840&lt;&gt;"","AW","")</f>
        <v/>
      </c>
      <c r="H840" s="1351" t="s">
        <v>1990</v>
      </c>
      <c r="I840" s="1307" t="str">
        <f t="shared" si="132"/>
        <v/>
      </c>
      <c r="J840" s="1351" t="str">
        <f t="shared" si="131"/>
        <v/>
      </c>
      <c r="K840" s="1351" t="str">
        <f t="shared" si="133"/>
        <v/>
      </c>
      <c r="L840" s="852"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1" t="s">
        <v>1385</v>
      </c>
      <c r="G841" s="1351" t="str">
        <f>IF(T841&lt;&gt;"","C","")</f>
        <v/>
      </c>
      <c r="H841" s="1351" t="s">
        <v>1990</v>
      </c>
      <c r="I841" s="1307" t="str">
        <f t="shared" si="132"/>
        <v/>
      </c>
      <c r="J841" s="1351"/>
      <c r="K841" s="1351" t="str">
        <f t="shared" si="133"/>
        <v/>
      </c>
      <c r="L841" s="852"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1" t="s">
        <v>1386</v>
      </c>
      <c r="G842" s="1351" t="str">
        <f>IF(T842&lt;&gt;"","D","")</f>
        <v/>
      </c>
      <c r="H842" s="1351" t="s">
        <v>1990</v>
      </c>
      <c r="I842" s="1307" t="str">
        <f t="shared" si="132"/>
        <v/>
      </c>
      <c r="J842" s="1351"/>
      <c r="K842" s="1351" t="str">
        <f t="shared" si="133"/>
        <v/>
      </c>
      <c r="L842" s="852"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1" t="s">
        <v>1495</v>
      </c>
      <c r="G843" s="1351" t="str">
        <f>IF(T843&lt;&gt;"","AN","")</f>
        <v/>
      </c>
      <c r="H843" s="1351" t="s">
        <v>1990</v>
      </c>
      <c r="I843" s="1307" t="str">
        <f t="shared" si="132"/>
        <v/>
      </c>
      <c r="J843" s="1351" t="str">
        <f>IF(M843&lt;&gt;"",IF($Q$832="Yes",Q$1&amp;M843,""))</f>
        <v/>
      </c>
      <c r="K843" s="1351" t="str">
        <f t="shared" si="133"/>
        <v/>
      </c>
      <c r="L843" s="852"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1" t="s">
        <v>1492</v>
      </c>
      <c r="G844" s="1351" t="str">
        <f>IF(T844&lt;&gt;"","AL","")</f>
        <v/>
      </c>
      <c r="H844" s="1351" t="s">
        <v>1990</v>
      </c>
      <c r="I844" s="1307" t="str">
        <f t="shared" si="132"/>
        <v/>
      </c>
      <c r="J844" s="1351" t="str">
        <f>IF(M844&lt;&gt;"",IF($Q$832="Yes",Q$1&amp;M844,""))</f>
        <v/>
      </c>
      <c r="K844" s="1351" t="str">
        <f t="shared" si="133"/>
        <v/>
      </c>
      <c r="L844" s="852"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1" t="s">
        <v>1996</v>
      </c>
      <c r="G845" s="1351" t="str">
        <f>IF(T845&lt;&gt;"","L","")</f>
        <v/>
      </c>
      <c r="H845" s="1351" t="s">
        <v>1990</v>
      </c>
      <c r="I845" s="1307" t="str">
        <f t="shared" si="132"/>
        <v/>
      </c>
      <c r="J845" s="1351" t="str">
        <f>IF(M845&lt;&gt;"",IF($Q$832="Yes",Q$1&amp;M845,""))</f>
        <v/>
      </c>
      <c r="K845" s="1351" t="str">
        <f t="shared" si="133"/>
        <v/>
      </c>
      <c r="L845" s="852"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1"/>
      <c r="H847" s="1351"/>
      <c r="I847" s="1307" t="str">
        <f t="shared" si="132"/>
        <v/>
      </c>
      <c r="J847" s="1351"/>
      <c r="K847" s="1351" t="str">
        <f t="shared" si="133"/>
        <v/>
      </c>
      <c r="L847" s="852"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0"/>
      <c r="G848" s="1351"/>
      <c r="H848" s="1351"/>
      <c r="I848" s="1307" t="str">
        <f t="shared" si="132"/>
        <v/>
      </c>
      <c r="J848" s="1351"/>
      <c r="K848" s="1351" t="str">
        <f t="shared" si="133"/>
        <v/>
      </c>
      <c r="L848" s="852"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1"/>
      <c r="G850" s="1351"/>
      <c r="H850" s="1351"/>
      <c r="I850" s="1307" t="str">
        <f t="shared" si="132"/>
        <v/>
      </c>
      <c r="J850" s="1351"/>
      <c r="K850" s="1351" t="str">
        <f t="shared" si="133"/>
        <v/>
      </c>
      <c r="L850" s="852"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1"/>
      <c r="G851" s="1351"/>
      <c r="H851" s="1351"/>
      <c r="I851" s="1307" t="str">
        <f t="shared" si="132"/>
        <v/>
      </c>
      <c r="J851" s="1351"/>
      <c r="K851" s="1351" t="str">
        <f t="shared" si="133"/>
        <v/>
      </c>
      <c r="L851" s="852"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1"/>
      <c r="G853" s="1351"/>
      <c r="H853" s="1351"/>
      <c r="I853" s="1307" t="str">
        <f t="shared" si="132"/>
        <v/>
      </c>
      <c r="J853" s="1351"/>
      <c r="K853" s="1351" t="str">
        <f t="shared" si="133"/>
        <v/>
      </c>
      <c r="L853" s="852"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1"/>
      <c r="G854" s="1351"/>
      <c r="H854" s="1351"/>
      <c r="I854" s="1307" t="str">
        <f t="shared" si="132"/>
        <v/>
      </c>
      <c r="J854" s="1351"/>
      <c r="K854" s="1351" t="str">
        <f t="shared" si="133"/>
        <v/>
      </c>
      <c r="L854" s="852"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1"/>
      <c r="G856" s="1351"/>
      <c r="H856" s="1351"/>
      <c r="I856" s="1307" t="str">
        <f t="shared" si="132"/>
        <v/>
      </c>
      <c r="J856" s="1351"/>
      <c r="K856" s="1351" t="str">
        <f t="shared" si="133"/>
        <v/>
      </c>
      <c r="L856" s="852"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1"/>
      <c r="G857" s="1351"/>
      <c r="H857" s="1351"/>
      <c r="I857" s="1307" t="str">
        <f t="shared" si="132"/>
        <v/>
      </c>
      <c r="J857" s="1351"/>
      <c r="K857" s="1351" t="str">
        <f t="shared" si="133"/>
        <v/>
      </c>
      <c r="L857" s="852"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1"/>
      <c r="G859" s="1351"/>
      <c r="H859" s="1351"/>
      <c r="I859" s="1307" t="str">
        <f t="shared" si="132"/>
        <v/>
      </c>
      <c r="J859" s="1351"/>
      <c r="K859" s="1351" t="str">
        <f t="shared" si="133"/>
        <v/>
      </c>
      <c r="L859" s="852"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1"/>
      <c r="G860" s="1351"/>
      <c r="H860" s="1351"/>
      <c r="I860" s="1307" t="str">
        <f t="shared" si="132"/>
        <v/>
      </c>
      <c r="J860" s="1351"/>
      <c r="K860" s="1351" t="str">
        <f t="shared" si="133"/>
        <v/>
      </c>
      <c r="L860" s="852"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1" t="s">
        <v>1491</v>
      </c>
      <c r="G861" s="1351" t="str">
        <f>IF(T861&lt;&gt;"","A","")</f>
        <v/>
      </c>
      <c r="H861" s="1351" t="s">
        <v>1990</v>
      </c>
      <c r="I861" s="1307" t="str">
        <f t="shared" si="132"/>
        <v/>
      </c>
      <c r="J861" s="1351"/>
      <c r="K861" s="1351" t="str">
        <f t="shared" si="133"/>
        <v/>
      </c>
      <c r="L861" s="852"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1"/>
      <c r="G862" s="1351"/>
      <c r="H862" s="1351"/>
      <c r="I862" s="1307" t="str">
        <f t="shared" si="132"/>
        <v/>
      </c>
      <c r="J862" s="1351" t="str">
        <f t="shared" ref="J862:J888" si="137">IF(M862&lt;&gt;"",IF($Q$862="Yes",Q$1&amp;M862,""))</f>
        <v/>
      </c>
      <c r="K862" s="1351" t="str">
        <f t="shared" si="133"/>
        <v/>
      </c>
      <c r="L862" s="852"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1" t="s">
        <v>1383</v>
      </c>
      <c r="G863" s="1351" t="str">
        <f>IF(T863&lt;&gt;"","B","")</f>
        <v/>
      </c>
      <c r="H863" s="1351" t="s">
        <v>1990</v>
      </c>
      <c r="I863" s="1307" t="str">
        <f t="shared" si="132"/>
        <v/>
      </c>
      <c r="J863" s="1351"/>
      <c r="K863" s="1351" t="str">
        <f t="shared" si="133"/>
        <v/>
      </c>
      <c r="L863" s="852"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1" t="s">
        <v>1991</v>
      </c>
      <c r="G864" s="1351" t="str">
        <f>IF(T864&lt;&gt;"","E","")</f>
        <v/>
      </c>
      <c r="H864" s="1351" t="s">
        <v>1990</v>
      </c>
      <c r="I864" s="1307" t="str">
        <f t="shared" si="132"/>
        <v/>
      </c>
      <c r="J864" s="1351" t="str">
        <f t="shared" si="137"/>
        <v/>
      </c>
      <c r="K864" s="1351" t="str">
        <f t="shared" si="133"/>
        <v/>
      </c>
      <c r="L864" s="852"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1516</v>
      </c>
      <c r="F865" s="1351" t="s">
        <v>1992</v>
      </c>
      <c r="G865" s="1351" t="str">
        <f>IF(T865&lt;&gt;"","I","")</f>
        <v/>
      </c>
      <c r="H865" s="1351" t="s">
        <v>1990</v>
      </c>
      <c r="I865" s="1307" t="str">
        <f t="shared" si="132"/>
        <v/>
      </c>
      <c r="J865" s="1351" t="str">
        <f t="shared" si="137"/>
        <v/>
      </c>
      <c r="K865" s="1351" t="str">
        <f t="shared" si="133"/>
        <v/>
      </c>
      <c r="L865" s="852"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1516</v>
      </c>
      <c r="F866" s="1351" t="s">
        <v>1993</v>
      </c>
      <c r="G866" s="1351" t="str">
        <f>IF(T866&lt;&gt;"","H","")</f>
        <v/>
      </c>
      <c r="H866" s="1351" t="s">
        <v>1990</v>
      </c>
      <c r="I866" s="1307" t="str">
        <f t="shared" si="132"/>
        <v/>
      </c>
      <c r="J866" s="1351" t="str">
        <f t="shared" si="137"/>
        <v/>
      </c>
      <c r="K866" s="1351" t="str">
        <f t="shared" si="133"/>
        <v/>
      </c>
      <c r="L866" s="852"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1516</v>
      </c>
      <c r="F867" s="1351" t="s">
        <v>1382</v>
      </c>
      <c r="G867" s="1351" t="str">
        <f>IF(T867&lt;&gt;"",IF(Q865="Credit Memo","J",IF(Q865="Check","K","")),"")</f>
        <v/>
      </c>
      <c r="H867" s="1351" t="s">
        <v>1990</v>
      </c>
      <c r="I867" s="1307" t="str">
        <f t="shared" si="132"/>
        <v/>
      </c>
      <c r="J867" s="1351" t="str">
        <f t="shared" si="137"/>
        <v/>
      </c>
      <c r="K867" s="1351" t="str">
        <f t="shared" si="133"/>
        <v/>
      </c>
      <c r="L867" s="852"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6" t="s">
        <v>1486</v>
      </c>
      <c r="B868" s="852" t="str">
        <f t="shared" ca="1" si="138"/>
        <v>P225</v>
      </c>
      <c r="C868" s="852" t="str">
        <f t="shared" ca="1" si="139"/>
        <v>P226</v>
      </c>
      <c r="D868" s="852" t="s">
        <v>1350</v>
      </c>
      <c r="E868" s="852" t="s">
        <v>1516</v>
      </c>
      <c r="F868" s="1351" t="s">
        <v>1994</v>
      </c>
      <c r="G868" s="1351" t="str">
        <f>IF(T868&lt;&gt;"","F","")</f>
        <v/>
      </c>
      <c r="H868" s="1351" t="s">
        <v>1990</v>
      </c>
      <c r="I868" s="1307" t="str">
        <f t="shared" si="132"/>
        <v/>
      </c>
      <c r="J868" s="1351" t="str">
        <f t="shared" si="137"/>
        <v/>
      </c>
      <c r="K868" s="1351" t="str">
        <f t="shared" si="133"/>
        <v/>
      </c>
      <c r="L868" s="852"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6" t="s">
        <v>1487</v>
      </c>
      <c r="B869" s="852" t="str">
        <f t="shared" ca="1" si="138"/>
        <v>R225</v>
      </c>
      <c r="C869" s="852" t="str">
        <f t="shared" ca="1" si="139"/>
        <v>R226</v>
      </c>
      <c r="D869" s="852" t="s">
        <v>1350</v>
      </c>
      <c r="E869" s="852" t="s">
        <v>1516</v>
      </c>
      <c r="F869" s="1351" t="s">
        <v>1995</v>
      </c>
      <c r="G869" s="1351" t="str">
        <f>IF(T869&lt;&gt;"","G","")</f>
        <v/>
      </c>
      <c r="H869" s="1351" t="s">
        <v>1990</v>
      </c>
      <c r="I869" s="1307" t="str">
        <f t="shared" si="132"/>
        <v/>
      </c>
      <c r="J869" s="1351" t="str">
        <f t="shared" si="137"/>
        <v/>
      </c>
      <c r="K869" s="1351" t="str">
        <f t="shared" si="133"/>
        <v/>
      </c>
      <c r="L869" s="852"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6" t="s">
        <v>1488</v>
      </c>
      <c r="B870" s="852" t="str">
        <f t="shared" ca="1" si="138"/>
        <v>T225</v>
      </c>
      <c r="C870" s="852" t="str">
        <f t="shared" ca="1" si="139"/>
        <v>T226</v>
      </c>
      <c r="D870" s="852" t="s">
        <v>1350</v>
      </c>
      <c r="E870" s="852" t="s">
        <v>1516</v>
      </c>
      <c r="F870" s="867" t="s">
        <v>1488</v>
      </c>
      <c r="G870" s="1351" t="str">
        <f>IF(T870&lt;&gt;"","AW","")</f>
        <v/>
      </c>
      <c r="H870" s="1351" t="s">
        <v>1990</v>
      </c>
      <c r="I870" s="1307" t="str">
        <f t="shared" si="132"/>
        <v/>
      </c>
      <c r="J870" s="1351" t="str">
        <f t="shared" si="137"/>
        <v/>
      </c>
      <c r="K870" s="1351" t="str">
        <f t="shared" si="133"/>
        <v/>
      </c>
      <c r="L870" s="852"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1" t="s">
        <v>1385</v>
      </c>
      <c r="G871" s="1351" t="str">
        <f>IF(T871&lt;&gt;"","C","")</f>
        <v/>
      </c>
      <c r="H871" s="1351" t="s">
        <v>1990</v>
      </c>
      <c r="I871" s="1307" t="str">
        <f t="shared" si="132"/>
        <v/>
      </c>
      <c r="J871" s="1351"/>
      <c r="K871" s="1351" t="str">
        <f t="shared" si="133"/>
        <v/>
      </c>
      <c r="L871" s="852"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1" t="s">
        <v>1386</v>
      </c>
      <c r="G872" s="1351" t="str">
        <f>IF(T872&lt;&gt;"","D","")</f>
        <v/>
      </c>
      <c r="H872" s="1351" t="s">
        <v>1990</v>
      </c>
      <c r="I872" s="1307" t="str">
        <f t="shared" si="132"/>
        <v/>
      </c>
      <c r="J872" s="1351"/>
      <c r="K872" s="1351" t="str">
        <f t="shared" si="133"/>
        <v/>
      </c>
      <c r="L872" s="852"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1" t="s">
        <v>1495</v>
      </c>
      <c r="G873" s="1351" t="str">
        <f>IF(T873&lt;&gt;"","AN","")</f>
        <v/>
      </c>
      <c r="H873" s="1351" t="s">
        <v>1990</v>
      </c>
      <c r="I873" s="1307" t="str">
        <f t="shared" si="132"/>
        <v/>
      </c>
      <c r="J873" s="1351" t="str">
        <f t="shared" si="137"/>
        <v/>
      </c>
      <c r="K873" s="1351" t="str">
        <f t="shared" si="133"/>
        <v/>
      </c>
      <c r="L873" s="852"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1" t="s">
        <v>1492</v>
      </c>
      <c r="G874" s="1351" t="str">
        <f>IF(T874&lt;&gt;"","AL","")</f>
        <v/>
      </c>
      <c r="H874" s="1351" t="s">
        <v>1990</v>
      </c>
      <c r="I874" s="1307" t="str">
        <f t="shared" si="132"/>
        <v/>
      </c>
      <c r="J874" s="1351" t="str">
        <f t="shared" si="137"/>
        <v/>
      </c>
      <c r="K874" s="1351" t="str">
        <f t="shared" si="133"/>
        <v/>
      </c>
      <c r="L874" s="852"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1" t="s">
        <v>1996</v>
      </c>
      <c r="G875" s="1351" t="str">
        <f>IF(T875&lt;&gt;"","L","")</f>
        <v/>
      </c>
      <c r="H875" s="1351" t="s">
        <v>1990</v>
      </c>
      <c r="I875" s="1307" t="str">
        <f t="shared" si="132"/>
        <v/>
      </c>
      <c r="J875" s="1351" t="str">
        <f t="shared" si="137"/>
        <v/>
      </c>
      <c r="K875" s="1351" t="str">
        <f t="shared" si="133"/>
        <v/>
      </c>
      <c r="L875" s="852"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1"/>
      <c r="H877" s="1351"/>
      <c r="I877" s="1307" t="str">
        <f t="shared" si="132"/>
        <v/>
      </c>
      <c r="J877" s="1351"/>
      <c r="K877" s="1351" t="str">
        <f t="shared" si="133"/>
        <v/>
      </c>
      <c r="L877" s="852"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0"/>
      <c r="G878" s="1351"/>
      <c r="H878" s="1351"/>
      <c r="I878" s="1307" t="str">
        <f t="shared" si="132"/>
        <v/>
      </c>
      <c r="J878" s="1351"/>
      <c r="K878" s="1351" t="str">
        <f t="shared" si="133"/>
        <v/>
      </c>
      <c r="L878" s="852"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1"/>
      <c r="G880" s="1351"/>
      <c r="H880" s="1351"/>
      <c r="I880" s="1307" t="str">
        <f t="shared" si="132"/>
        <v/>
      </c>
      <c r="J880" s="1351"/>
      <c r="K880" s="1351" t="str">
        <f t="shared" si="133"/>
        <v/>
      </c>
      <c r="L880" s="852"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1"/>
      <c r="G881" s="1351"/>
      <c r="H881" s="1351"/>
      <c r="I881" s="1307" t="str">
        <f t="shared" si="132"/>
        <v/>
      </c>
      <c r="J881" s="1351"/>
      <c r="K881" s="1351" t="str">
        <f t="shared" si="133"/>
        <v/>
      </c>
      <c r="L881" s="852"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1"/>
      <c r="G883" s="1351"/>
      <c r="H883" s="1351"/>
      <c r="I883" s="1307" t="str">
        <f t="shared" si="132"/>
        <v/>
      </c>
      <c r="J883" s="1351"/>
      <c r="K883" s="1351" t="str">
        <f t="shared" si="133"/>
        <v/>
      </c>
      <c r="L883" s="852"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1"/>
      <c r="G884" s="1351"/>
      <c r="H884" s="1351"/>
      <c r="I884" s="1307" t="str">
        <f t="shared" si="132"/>
        <v/>
      </c>
      <c r="J884" s="1351"/>
      <c r="K884" s="1351" t="str">
        <f t="shared" si="133"/>
        <v/>
      </c>
      <c r="L884" s="852"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1"/>
      <c r="G886" s="1351"/>
      <c r="H886" s="1351"/>
      <c r="I886" s="1307" t="str">
        <f t="shared" si="132"/>
        <v/>
      </c>
      <c r="J886" s="1351"/>
      <c r="K886" s="1351" t="str">
        <f t="shared" si="133"/>
        <v/>
      </c>
      <c r="L886" s="852"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1"/>
      <c r="G887" s="1351"/>
      <c r="H887" s="1351"/>
      <c r="I887" s="1307" t="str">
        <f t="shared" si="132"/>
        <v/>
      </c>
      <c r="J887" s="1351"/>
      <c r="K887" s="1351" t="str">
        <f t="shared" si="133"/>
        <v/>
      </c>
      <c r="L887" s="852"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1"/>
      <c r="G889" s="1351"/>
      <c r="H889" s="1351"/>
      <c r="I889" s="1307" t="str">
        <f t="shared" si="132"/>
        <v/>
      </c>
      <c r="J889" s="1351"/>
      <c r="K889" s="1351" t="str">
        <f t="shared" si="133"/>
        <v/>
      </c>
      <c r="L889" s="852"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1"/>
      <c r="G890" s="1351"/>
      <c r="H890" s="1351"/>
      <c r="I890" s="1307" t="str">
        <f t="shared" si="132"/>
        <v/>
      </c>
      <c r="J890" s="1351"/>
      <c r="K890" s="1351" t="str">
        <f t="shared" si="133"/>
        <v/>
      </c>
      <c r="L890" s="852"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1" t="s">
        <v>1491</v>
      </c>
      <c r="G891" s="1351" t="str">
        <f>IF(T891&lt;&gt;"","A","")</f>
        <v/>
      </c>
      <c r="H891" s="1351" t="s">
        <v>1990</v>
      </c>
      <c r="I891" s="1307" t="str">
        <f t="shared" si="132"/>
        <v/>
      </c>
      <c r="J891" s="1351"/>
      <c r="K891" s="1351" t="str">
        <f t="shared" si="133"/>
        <v/>
      </c>
      <c r="L891" s="852"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1"/>
      <c r="G892" s="1351"/>
      <c r="H892" s="1351"/>
      <c r="I892" s="1307" t="str">
        <f t="shared" si="132"/>
        <v/>
      </c>
      <c r="J892" s="1351" t="str">
        <f t="shared" ref="J892:J909" si="141">IF(M892&lt;&gt;"",IF($Q$892="Yes",Q$1&amp;M892,""))</f>
        <v/>
      </c>
      <c r="K892" s="1351" t="str">
        <f t="shared" si="133"/>
        <v/>
      </c>
      <c r="L892" s="852"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1" t="s">
        <v>1383</v>
      </c>
      <c r="G893" s="1351" t="str">
        <f>IF(T893&lt;&gt;"","B","")</f>
        <v/>
      </c>
      <c r="H893" s="1351" t="s">
        <v>1990</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1" t="s">
        <v>1991</v>
      </c>
      <c r="G894" s="1351" t="str">
        <f>IF(T894&lt;&gt;"","E","")</f>
        <v/>
      </c>
      <c r="H894" s="1351" t="s">
        <v>1990</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1516</v>
      </c>
      <c r="F895" s="1351" t="s">
        <v>1992</v>
      </c>
      <c r="G895" s="1351" t="str">
        <f>IF(T895&lt;&gt;"","I","")</f>
        <v/>
      </c>
      <c r="H895" s="1351" t="s">
        <v>1990</v>
      </c>
      <c r="I895" s="1307" t="str">
        <f t="shared" si="132"/>
        <v/>
      </c>
      <c r="J895" s="1351" t="str">
        <f t="shared" si="141"/>
        <v/>
      </c>
      <c r="K895" s="1351" t="str">
        <f t="shared" si="133"/>
        <v/>
      </c>
      <c r="L895" s="852"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1516</v>
      </c>
      <c r="F896" s="1351" t="s">
        <v>1993</v>
      </c>
      <c r="G896" s="1351" t="str">
        <f>IF(T896&lt;&gt;"","H","")</f>
        <v/>
      </c>
      <c r="H896" s="1351" t="s">
        <v>1990</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1516</v>
      </c>
      <c r="F897" s="1351" t="s">
        <v>1382</v>
      </c>
      <c r="G897" s="1351" t="str">
        <f>IF(T897&lt;&gt;"",IF(Q895="Credit Memo","J",IF(Q895="Check","K","")),"")</f>
        <v/>
      </c>
      <c r="H897" s="1351" t="s">
        <v>1990</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1486</v>
      </c>
      <c r="B898" s="852" t="str">
        <f t="shared" ca="1" si="143"/>
        <v>P241</v>
      </c>
      <c r="C898" s="852" t="str">
        <f t="shared" ca="1" si="144"/>
        <v>P242</v>
      </c>
      <c r="D898" s="852" t="s">
        <v>1350</v>
      </c>
      <c r="E898" s="852" t="s">
        <v>1516</v>
      </c>
      <c r="F898" s="1351" t="s">
        <v>1994</v>
      </c>
      <c r="G898" s="1351" t="str">
        <f>IF(T898&lt;&gt;"","F","")</f>
        <v/>
      </c>
      <c r="H898" s="1351" t="s">
        <v>1990</v>
      </c>
      <c r="I898" s="1307" t="str">
        <f t="shared" si="132"/>
        <v/>
      </c>
      <c r="J898" s="1351" t="str">
        <f t="shared" si="141"/>
        <v/>
      </c>
      <c r="K898" s="1351" t="str">
        <f t="shared" si="133"/>
        <v/>
      </c>
      <c r="L898" s="852"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1487</v>
      </c>
      <c r="B899" s="852" t="str">
        <f t="shared" ca="1" si="143"/>
        <v>R241</v>
      </c>
      <c r="C899" s="852" t="str">
        <f t="shared" ca="1" si="144"/>
        <v>R242</v>
      </c>
      <c r="D899" s="852" t="s">
        <v>1350</v>
      </c>
      <c r="E899" s="852" t="s">
        <v>1516</v>
      </c>
      <c r="F899" s="1351" t="s">
        <v>1995</v>
      </c>
      <c r="G899" s="1351" t="str">
        <f>IF(T899&lt;&gt;"","G","")</f>
        <v/>
      </c>
      <c r="H899" s="1351" t="s">
        <v>1990</v>
      </c>
      <c r="I899" s="1307" t="str">
        <f t="shared" si="132"/>
        <v/>
      </c>
      <c r="J899" s="1351" t="str">
        <f t="shared" si="141"/>
        <v/>
      </c>
      <c r="K899" s="1351" t="str">
        <f t="shared" si="133"/>
        <v/>
      </c>
      <c r="L899" s="852"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1488</v>
      </c>
      <c r="B900" s="852" t="str">
        <f t="shared" ca="1" si="143"/>
        <v>T241</v>
      </c>
      <c r="C900" s="852" t="str">
        <f t="shared" ca="1" si="144"/>
        <v>T242</v>
      </c>
      <c r="D900" s="852" t="s">
        <v>1350</v>
      </c>
      <c r="E900" s="852" t="s">
        <v>1516</v>
      </c>
      <c r="F900" s="867" t="s">
        <v>1488</v>
      </c>
      <c r="G900" s="1351" t="str">
        <f>IF(T900&lt;&gt;"","AW","")</f>
        <v/>
      </c>
      <c r="H900" s="1351" t="s">
        <v>1990</v>
      </c>
      <c r="I900" s="1307" t="str">
        <f t="shared" ref="I900:I963" si="145">IF(J900&lt;&gt;"",A900,"")</f>
        <v/>
      </c>
      <c r="J900" s="1351" t="str">
        <f t="shared" si="141"/>
        <v/>
      </c>
      <c r="K900" s="1351" t="str">
        <f t="shared" ref="K900:K963" si="146">IF(J900&lt;&gt;"",E900,"")</f>
        <v/>
      </c>
      <c r="L900" s="852"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1" t="s">
        <v>1385</v>
      </c>
      <c r="G901" s="1351" t="str">
        <f>IF(T901&lt;&gt;"","C","")</f>
        <v/>
      </c>
      <c r="H901" s="1351" t="s">
        <v>1990</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1" t="s">
        <v>1386</v>
      </c>
      <c r="G902" s="1351" t="str">
        <f>IF(T902&lt;&gt;"","D","")</f>
        <v/>
      </c>
      <c r="H902" s="1351" t="s">
        <v>1990</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1" t="s">
        <v>1495</v>
      </c>
      <c r="G903" s="1351" t="str">
        <f>IF(T903&lt;&gt;"","AN","")</f>
        <v/>
      </c>
      <c r="H903" s="1351" t="s">
        <v>1990</v>
      </c>
      <c r="I903" s="1307" t="str">
        <f t="shared" si="145"/>
        <v/>
      </c>
      <c r="J903" s="1351" t="str">
        <f t="shared" si="141"/>
        <v/>
      </c>
      <c r="K903" s="1351" t="str">
        <f t="shared" si="146"/>
        <v/>
      </c>
      <c r="L903" s="853"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1" t="s">
        <v>1492</v>
      </c>
      <c r="G904" s="1351" t="str">
        <f>IF(T904&lt;&gt;"","AL","")</f>
        <v/>
      </c>
      <c r="H904" s="1351" t="s">
        <v>1990</v>
      </c>
      <c r="I904" s="1307" t="str">
        <f t="shared" si="145"/>
        <v/>
      </c>
      <c r="J904" s="1351" t="str">
        <f t="shared" si="141"/>
        <v/>
      </c>
      <c r="K904" s="1351" t="str">
        <f t="shared" si="146"/>
        <v/>
      </c>
      <c r="L904" s="852"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1" t="s">
        <v>1996</v>
      </c>
      <c r="G905" s="1351" t="str">
        <f>IF(T905&lt;&gt;"","L","")</f>
        <v/>
      </c>
      <c r="H905" s="1351" t="s">
        <v>1990</v>
      </c>
      <c r="I905" s="1307" t="str">
        <f t="shared" si="145"/>
        <v/>
      </c>
      <c r="J905" s="1351" t="str">
        <f t="shared" si="141"/>
        <v/>
      </c>
      <c r="K905" s="1351" t="str">
        <f t="shared" si="146"/>
        <v/>
      </c>
      <c r="L905" s="852"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1" t="str">
        <f>IF(T906&lt;&gt;"","AH","")</f>
        <v/>
      </c>
      <c r="H906" s="1351" t="s">
        <v>1990</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1" t="s">
        <v>1912</v>
      </c>
      <c r="G908" s="1351" t="str">
        <f>IF(T908&lt;&gt;"","AI","")</f>
        <v/>
      </c>
      <c r="H908" s="1351" t="s">
        <v>1990</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1" t="s">
        <v>1508</v>
      </c>
      <c r="G909" s="1351" t="str">
        <f>IF(T909&lt;&gt;"","P","")</f>
        <v/>
      </c>
      <c r="H909" s="1351" t="s">
        <v>1990</v>
      </c>
      <c r="I909" s="1307" t="str">
        <f t="shared" si="145"/>
        <v/>
      </c>
      <c r="J909" s="1351" t="str">
        <f t="shared" si="141"/>
        <v/>
      </c>
      <c r="K909" s="1351" t="str">
        <f t="shared" si="146"/>
        <v/>
      </c>
      <c r="L909" s="852"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1" t="s">
        <v>1491</v>
      </c>
      <c r="G910" s="1351" t="str">
        <f>IF(T910&lt;&gt;"","A","")</f>
        <v/>
      </c>
      <c r="H910" s="1351" t="s">
        <v>1990</v>
      </c>
      <c r="I910" s="1307" t="str">
        <f t="shared" si="145"/>
        <v/>
      </c>
      <c r="J910" s="1351"/>
      <c r="K910" s="1351" t="str">
        <f t="shared" si="146"/>
        <v/>
      </c>
      <c r="L910" s="852"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1"/>
      <c r="G911" s="1351"/>
      <c r="H911" s="1351"/>
      <c r="I911" s="1307" t="str">
        <f t="shared" si="145"/>
        <v/>
      </c>
      <c r="J911" s="1351" t="str">
        <f>IF(M911&lt;&gt;"",IF($Q$911="Yes",Q$1&amp;M911,""))</f>
        <v/>
      </c>
      <c r="K911" s="1351" t="str">
        <f t="shared" si="146"/>
        <v/>
      </c>
      <c r="L911" s="852"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1" t="s">
        <v>1383</v>
      </c>
      <c r="G912" s="1351" t="str">
        <f>IF(T912&lt;&gt;"","B","")</f>
        <v/>
      </c>
      <c r="H912" s="1351" t="s">
        <v>1990</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1" t="s">
        <v>1991</v>
      </c>
      <c r="G913" s="1351" t="str">
        <f>IF(T913&lt;&gt;"","E","")</f>
        <v/>
      </c>
      <c r="H913" s="1351" t="s">
        <v>1990</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1516</v>
      </c>
      <c r="F914" s="1351" t="s">
        <v>1992</v>
      </c>
      <c r="G914" s="1351" t="str">
        <f>IF(T914&lt;&gt;"","I","")</f>
        <v/>
      </c>
      <c r="H914" s="1351" t="s">
        <v>1990</v>
      </c>
      <c r="I914" s="1307" t="str">
        <f t="shared" si="145"/>
        <v/>
      </c>
      <c r="J914" s="1351" t="str">
        <f t="shared" si="150"/>
        <v/>
      </c>
      <c r="K914" s="1351" t="str">
        <f t="shared" si="146"/>
        <v/>
      </c>
      <c r="L914" s="852"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1516</v>
      </c>
      <c r="F915" s="1351" t="s">
        <v>1993</v>
      </c>
      <c r="G915" s="1351" t="str">
        <f>IF(T915&lt;&gt;"","H","")</f>
        <v/>
      </c>
      <c r="H915" s="1351" t="s">
        <v>1990</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1516</v>
      </c>
      <c r="F916" s="1351" t="s">
        <v>1382</v>
      </c>
      <c r="G916" s="1351" t="str">
        <f>IF(T916&lt;&gt;"",IF(Q914="Credit Memo","J",IF(Q914="Check","K","")),"")</f>
        <v/>
      </c>
      <c r="H916" s="1351" t="s">
        <v>1990</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2" t="str">
        <f t="shared" ca="1" si="148"/>
        <v>P255</v>
      </c>
      <c r="C917" s="852" t="str">
        <f t="shared" ca="1" si="149"/>
        <v>P256</v>
      </c>
      <c r="D917" s="852" t="s">
        <v>1350</v>
      </c>
      <c r="E917" s="852" t="s">
        <v>1516</v>
      </c>
      <c r="F917" s="1351" t="s">
        <v>1994</v>
      </c>
      <c r="G917" s="1351" t="str">
        <f>IF(T917&lt;&gt;"","F","")</f>
        <v/>
      </c>
      <c r="H917" s="1351" t="s">
        <v>1990</v>
      </c>
      <c r="I917" s="1307" t="str">
        <f t="shared" si="145"/>
        <v/>
      </c>
      <c r="J917" s="1351" t="str">
        <f t="shared" si="150"/>
        <v/>
      </c>
      <c r="K917" s="1351" t="str">
        <f t="shared" si="146"/>
        <v/>
      </c>
      <c r="L917" s="852"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2" t="str">
        <f t="shared" ca="1" si="148"/>
        <v>R255</v>
      </c>
      <c r="C918" s="852" t="str">
        <f t="shared" ca="1" si="149"/>
        <v>R256</v>
      </c>
      <c r="D918" s="852" t="s">
        <v>1350</v>
      </c>
      <c r="E918" s="852" t="s">
        <v>1516</v>
      </c>
      <c r="F918" s="1351" t="s">
        <v>1995</v>
      </c>
      <c r="G918" s="1351" t="str">
        <f>IF(T918&lt;&gt;"","G","")</f>
        <v/>
      </c>
      <c r="H918" s="1351" t="s">
        <v>1990</v>
      </c>
      <c r="I918" s="1307" t="str">
        <f t="shared" si="145"/>
        <v/>
      </c>
      <c r="J918" s="1351" t="str">
        <f t="shared" si="150"/>
        <v/>
      </c>
      <c r="K918" s="1351" t="str">
        <f t="shared" si="146"/>
        <v/>
      </c>
      <c r="L918" s="852"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2" t="str">
        <f t="shared" ca="1" si="148"/>
        <v>T255</v>
      </c>
      <c r="C919" s="852" t="str">
        <f t="shared" ca="1" si="149"/>
        <v>T256</v>
      </c>
      <c r="D919" s="852" t="s">
        <v>1350</v>
      </c>
      <c r="E919" s="852" t="s">
        <v>1516</v>
      </c>
      <c r="F919" s="867" t="s">
        <v>1488</v>
      </c>
      <c r="G919" s="1351" t="str">
        <f>IF(T919&lt;&gt;"","AW","")</f>
        <v/>
      </c>
      <c r="H919" s="1351" t="s">
        <v>1990</v>
      </c>
      <c r="I919" s="1307" t="str">
        <f t="shared" si="145"/>
        <v/>
      </c>
      <c r="J919" s="1351" t="str">
        <f t="shared" si="150"/>
        <v/>
      </c>
      <c r="K919" s="1351" t="str">
        <f t="shared" si="146"/>
        <v/>
      </c>
      <c r="L919" s="852"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1" t="s">
        <v>1385</v>
      </c>
      <c r="G920" s="1351" t="str">
        <f>IF(T920&lt;&gt;"","C","")</f>
        <v/>
      </c>
      <c r="H920" s="1351" t="s">
        <v>1990</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1" t="s">
        <v>1386</v>
      </c>
      <c r="G921" s="1351" t="str">
        <f>IF(T921&lt;&gt;"","D","")</f>
        <v/>
      </c>
      <c r="H921" s="1351" t="s">
        <v>1990</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1" t="s">
        <v>1495</v>
      </c>
      <c r="G922" s="1351" t="str">
        <f>IF(T922&lt;&gt;"","AN","")</f>
        <v/>
      </c>
      <c r="H922" s="1351" t="s">
        <v>1990</v>
      </c>
      <c r="I922" s="1307" t="str">
        <f t="shared" si="145"/>
        <v/>
      </c>
      <c r="J922" s="1351" t="str">
        <f>IF(M922&lt;&gt;"",IF($Q$911="Yes",Q$1&amp;M922,""))</f>
        <v/>
      </c>
      <c r="K922" s="1351" t="str">
        <f t="shared" si="146"/>
        <v/>
      </c>
      <c r="L922" s="853"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1" t="s">
        <v>1492</v>
      </c>
      <c r="G923" s="1351" t="str">
        <f>IF(T923&lt;&gt;"","AL","")</f>
        <v/>
      </c>
      <c r="H923" s="1351" t="s">
        <v>1990</v>
      </c>
      <c r="I923" s="1307" t="str">
        <f t="shared" si="145"/>
        <v/>
      </c>
      <c r="J923" s="1351" t="str">
        <f>IF(M923&lt;&gt;"",IF($Q$911="Yes",Q$1&amp;M923,""))</f>
        <v/>
      </c>
      <c r="K923" s="1351" t="str">
        <f t="shared" si="146"/>
        <v/>
      </c>
      <c r="L923" s="852"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1" t="s">
        <v>1996</v>
      </c>
      <c r="G924" s="1351" t="str">
        <f>IF(T924&lt;&gt;"","L","")</f>
        <v/>
      </c>
      <c r="H924" s="1351" t="s">
        <v>1990</v>
      </c>
      <c r="I924" s="1307" t="str">
        <f t="shared" si="145"/>
        <v/>
      </c>
      <c r="J924" s="1351" t="str">
        <f>IF(M924&lt;&gt;"",IF($Q$911="Yes",Q$1&amp;M924,""))</f>
        <v/>
      </c>
      <c r="K924" s="1351" t="str">
        <f t="shared" si="146"/>
        <v/>
      </c>
      <c r="L924" s="852"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1" t="str">
        <f>IF(T925&lt;&gt;"","AH","")</f>
        <v/>
      </c>
      <c r="H925" s="1351" t="s">
        <v>1990</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1" t="s">
        <v>1912</v>
      </c>
      <c r="G927" s="1351" t="str">
        <f>IF(T927&lt;&gt;"","AI","")</f>
        <v/>
      </c>
      <c r="H927" s="1351" t="s">
        <v>1990</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1" t="s">
        <v>1508</v>
      </c>
      <c r="G928" s="1351" t="str">
        <f>IF(T928&lt;&gt;"","P","")</f>
        <v/>
      </c>
      <c r="H928" s="1351" t="s">
        <v>1990</v>
      </c>
      <c r="I928" s="1307" t="str">
        <f t="shared" si="145"/>
        <v/>
      </c>
      <c r="J928" s="1351" t="str">
        <f>IF(M928&lt;&gt;"",IF($Q$911="Yes",Q$1&amp;M928,""))</f>
        <v/>
      </c>
      <c r="K928" s="1351" t="str">
        <f t="shared" si="146"/>
        <v/>
      </c>
      <c r="L928" s="852"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1" t="s">
        <v>1491</v>
      </c>
      <c r="G929" s="1351" t="str">
        <f>IF(T929&lt;&gt;"","A","")</f>
        <v/>
      </c>
      <c r="H929" s="1351" t="s">
        <v>1990</v>
      </c>
      <c r="I929" s="1307" t="str">
        <f t="shared" si="145"/>
        <v/>
      </c>
      <c r="J929" s="1351"/>
      <c r="K929" s="1351" t="str">
        <f t="shared" si="146"/>
        <v/>
      </c>
      <c r="L929" s="852"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1"/>
      <c r="G930" s="1351"/>
      <c r="H930" s="1351"/>
      <c r="I930" s="1307" t="str">
        <f t="shared" si="145"/>
        <v/>
      </c>
      <c r="J930" s="1351" t="str">
        <f t="shared" ref="J930:J947" si="152">IF(M930&lt;&gt;"",IF($Q$930="Yes",Q$1&amp;M930,""))</f>
        <v/>
      </c>
      <c r="K930" s="1351" t="str">
        <f t="shared" si="146"/>
        <v/>
      </c>
      <c r="L930" s="852"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1" t="s">
        <v>1383</v>
      </c>
      <c r="G931" s="1351" t="str">
        <f>IF(T931&lt;&gt;"","B","")</f>
        <v/>
      </c>
      <c r="H931" s="1351" t="s">
        <v>1990</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1" t="s">
        <v>1991</v>
      </c>
      <c r="G932" s="1351" t="str">
        <f>IF(T932&lt;&gt;"","E","")</f>
        <v/>
      </c>
      <c r="H932" s="1351" t="s">
        <v>1990</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1516</v>
      </c>
      <c r="F933" s="1351" t="s">
        <v>1992</v>
      </c>
      <c r="G933" s="1351" t="str">
        <f>IF(T933&lt;&gt;"","I","")</f>
        <v/>
      </c>
      <c r="H933" s="1351" t="s">
        <v>1990</v>
      </c>
      <c r="I933" s="1307" t="str">
        <f t="shared" si="145"/>
        <v/>
      </c>
      <c r="J933" s="1351" t="str">
        <f t="shared" si="152"/>
        <v/>
      </c>
      <c r="K933" s="1351" t="str">
        <f t="shared" si="146"/>
        <v/>
      </c>
      <c r="L933" s="852"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1516</v>
      </c>
      <c r="F934" s="1351" t="s">
        <v>1993</v>
      </c>
      <c r="G934" s="1351" t="str">
        <f>IF(T934&lt;&gt;"","H","")</f>
        <v/>
      </c>
      <c r="H934" s="1351" t="s">
        <v>1990</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1516</v>
      </c>
      <c r="F935" s="1351" t="s">
        <v>1382</v>
      </c>
      <c r="G935" s="1351" t="str">
        <f>IF(T935&lt;&gt;"",IF(Q933="Credit Memo","J",IF(Q933="Check","K","")),"")</f>
        <v/>
      </c>
      <c r="H935" s="1351" t="s">
        <v>1990</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2" t="str">
        <f t="shared" ca="1" si="153"/>
        <v>P269</v>
      </c>
      <c r="C936" s="852" t="str">
        <f t="shared" ca="1" si="154"/>
        <v>P270</v>
      </c>
      <c r="D936" s="852" t="s">
        <v>1350</v>
      </c>
      <c r="E936" s="852" t="s">
        <v>1516</v>
      </c>
      <c r="F936" s="1351" t="s">
        <v>1994</v>
      </c>
      <c r="G936" s="1351" t="str">
        <f>IF(T936&lt;&gt;"","F","")</f>
        <v/>
      </c>
      <c r="H936" s="1351" t="s">
        <v>1990</v>
      </c>
      <c r="I936" s="1307" t="str">
        <f t="shared" si="145"/>
        <v/>
      </c>
      <c r="J936" s="1351" t="str">
        <f t="shared" si="152"/>
        <v/>
      </c>
      <c r="K936" s="1351" t="str">
        <f t="shared" si="146"/>
        <v/>
      </c>
      <c r="L936" s="852"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2" t="str">
        <f t="shared" ca="1" si="153"/>
        <v>R269</v>
      </c>
      <c r="C937" s="852" t="str">
        <f t="shared" ca="1" si="154"/>
        <v>R270</v>
      </c>
      <c r="D937" s="852" t="s">
        <v>1350</v>
      </c>
      <c r="E937" s="852" t="s">
        <v>1516</v>
      </c>
      <c r="F937" s="1351" t="s">
        <v>1995</v>
      </c>
      <c r="G937" s="1351" t="str">
        <f>IF(T937&lt;&gt;"","G","")</f>
        <v/>
      </c>
      <c r="H937" s="1351" t="s">
        <v>1990</v>
      </c>
      <c r="I937" s="1307" t="str">
        <f t="shared" si="145"/>
        <v/>
      </c>
      <c r="J937" s="1351" t="str">
        <f t="shared" si="152"/>
        <v/>
      </c>
      <c r="K937" s="1351" t="str">
        <f t="shared" si="146"/>
        <v/>
      </c>
      <c r="L937" s="852"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2" t="str">
        <f t="shared" ca="1" si="153"/>
        <v>T269</v>
      </c>
      <c r="C938" s="852" t="str">
        <f t="shared" ca="1" si="154"/>
        <v>T270</v>
      </c>
      <c r="D938" s="852" t="s">
        <v>1350</v>
      </c>
      <c r="E938" s="852" t="s">
        <v>1516</v>
      </c>
      <c r="F938" s="867" t="s">
        <v>1488</v>
      </c>
      <c r="G938" s="1351" t="str">
        <f>IF(T938&lt;&gt;"","AW","")</f>
        <v/>
      </c>
      <c r="H938" s="1351" t="s">
        <v>1990</v>
      </c>
      <c r="I938" s="1307" t="str">
        <f t="shared" si="145"/>
        <v/>
      </c>
      <c r="J938" s="1351" t="str">
        <f t="shared" si="152"/>
        <v/>
      </c>
      <c r="K938" s="1351" t="str">
        <f t="shared" si="146"/>
        <v/>
      </c>
      <c r="L938" s="852"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1" t="s">
        <v>1385</v>
      </c>
      <c r="G939" s="1351" t="str">
        <f>IF(T939&lt;&gt;"","C","")</f>
        <v/>
      </c>
      <c r="H939" s="1351" t="s">
        <v>1990</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1" t="s">
        <v>1386</v>
      </c>
      <c r="G940" s="1351" t="str">
        <f>IF(T940&lt;&gt;"","D","")</f>
        <v/>
      </c>
      <c r="H940" s="1351" t="s">
        <v>1990</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1" t="s">
        <v>1495</v>
      </c>
      <c r="G941" s="1351" t="str">
        <f>IF(T941&lt;&gt;"","AN","")</f>
        <v/>
      </c>
      <c r="H941" s="1351" t="s">
        <v>1990</v>
      </c>
      <c r="I941" s="1307" t="str">
        <f t="shared" si="145"/>
        <v/>
      </c>
      <c r="J941" s="1351" t="str">
        <f t="shared" si="152"/>
        <v/>
      </c>
      <c r="K941" s="1351" t="str">
        <f t="shared" si="146"/>
        <v/>
      </c>
      <c r="L941" s="853"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1" t="s">
        <v>1492</v>
      </c>
      <c r="G942" s="1351" t="str">
        <f>IF(T942&lt;&gt;"","AL","")</f>
        <v/>
      </c>
      <c r="H942" s="1351" t="s">
        <v>1990</v>
      </c>
      <c r="I942" s="1307" t="str">
        <f t="shared" si="145"/>
        <v/>
      </c>
      <c r="J942" s="1351" t="str">
        <f t="shared" si="152"/>
        <v/>
      </c>
      <c r="K942" s="1351" t="str">
        <f t="shared" si="146"/>
        <v/>
      </c>
      <c r="L942" s="852"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1" t="s">
        <v>1996</v>
      </c>
      <c r="G943" s="1351" t="str">
        <f>IF(T943&lt;&gt;"","L","")</f>
        <v/>
      </c>
      <c r="H943" s="1351" t="s">
        <v>1990</v>
      </c>
      <c r="I943" s="1307" t="str">
        <f t="shared" si="145"/>
        <v/>
      </c>
      <c r="J943" s="1351" t="str">
        <f t="shared" si="152"/>
        <v/>
      </c>
      <c r="K943" s="1351" t="str">
        <f t="shared" si="146"/>
        <v/>
      </c>
      <c r="L943" s="852"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1" t="str">
        <f>IF(T944&lt;&gt;"","AH","")</f>
        <v/>
      </c>
      <c r="H944" s="1351" t="s">
        <v>1990</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1" t="s">
        <v>1912</v>
      </c>
      <c r="G946" s="1351" t="str">
        <f>IF(T946&lt;&gt;"","AI","")</f>
        <v/>
      </c>
      <c r="H946" s="1351" t="s">
        <v>1990</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1" t="s">
        <v>1508</v>
      </c>
      <c r="G947" s="1351" t="str">
        <f>IF(T947&lt;&gt;"","P","")</f>
        <v/>
      </c>
      <c r="H947" s="1351" t="s">
        <v>1990</v>
      </c>
      <c r="I947" s="1307" t="str">
        <f t="shared" si="145"/>
        <v/>
      </c>
      <c r="J947" s="1351" t="str">
        <f t="shared" si="152"/>
        <v/>
      </c>
      <c r="K947" s="1351" t="str">
        <f t="shared" si="146"/>
        <v/>
      </c>
      <c r="L947" s="852"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1" t="s">
        <v>1491</v>
      </c>
      <c r="G948" s="1351" t="str">
        <f>IF(T948&lt;&gt;"","A","")</f>
        <v/>
      </c>
      <c r="H948" s="1351" t="s">
        <v>1990</v>
      </c>
      <c r="I948" s="1307" t="str">
        <f t="shared" si="145"/>
        <v/>
      </c>
      <c r="J948" s="1351"/>
      <c r="K948" s="1351" t="str">
        <f t="shared" si="146"/>
        <v/>
      </c>
      <c r="L948" s="852"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1"/>
      <c r="G949" s="1351"/>
      <c r="H949" s="1351"/>
      <c r="I949" s="1307" t="str">
        <f t="shared" si="145"/>
        <v/>
      </c>
      <c r="J949" s="1351" t="str">
        <f t="shared" ref="J949:J966" si="155">IF(M949&lt;&gt;"",IF($Q$949="Yes",Q$1&amp;M949,""))</f>
        <v/>
      </c>
      <c r="K949" s="1351" t="str">
        <f t="shared" si="146"/>
        <v/>
      </c>
      <c r="L949" s="852"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1" t="s">
        <v>1383</v>
      </c>
      <c r="G950" s="1351" t="str">
        <f>IF(T950&lt;&gt;"","B","")</f>
        <v/>
      </c>
      <c r="H950" s="1351" t="s">
        <v>1990</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1" t="s">
        <v>1991</v>
      </c>
      <c r="G951" s="1351" t="str">
        <f>IF(T951&lt;&gt;"","E","")</f>
        <v/>
      </c>
      <c r="H951" s="1351" t="s">
        <v>1990</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1516</v>
      </c>
      <c r="F952" s="1351" t="s">
        <v>1992</v>
      </c>
      <c r="G952" s="1351" t="str">
        <f>IF(T952&lt;&gt;"","I","")</f>
        <v/>
      </c>
      <c r="H952" s="1351" t="s">
        <v>1990</v>
      </c>
      <c r="I952" s="1307" t="str">
        <f t="shared" si="145"/>
        <v/>
      </c>
      <c r="J952" s="1351" t="str">
        <f t="shared" si="155"/>
        <v/>
      </c>
      <c r="K952" s="1351" t="str">
        <f t="shared" si="146"/>
        <v/>
      </c>
      <c r="L952" s="852"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1516</v>
      </c>
      <c r="F953" s="1351" t="s">
        <v>1993</v>
      </c>
      <c r="G953" s="1351" t="str">
        <f>IF(T953&lt;&gt;"","H","")</f>
        <v/>
      </c>
      <c r="H953" s="1351" t="s">
        <v>1990</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1516</v>
      </c>
      <c r="F954" s="1351" t="s">
        <v>1382</v>
      </c>
      <c r="G954" s="1351" t="str">
        <f>IF(T954&lt;&gt;"",IF(Q952="Credit Memo","J",IF(Q952="Check","K","")),"")</f>
        <v/>
      </c>
      <c r="H954" s="1351" t="s">
        <v>1990</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2" t="str">
        <f t="shared" ca="1" si="157"/>
        <v>P283</v>
      </c>
      <c r="C955" s="852" t="str">
        <f t="shared" ca="1" si="158"/>
        <v>P284</v>
      </c>
      <c r="D955" s="852" t="s">
        <v>1350</v>
      </c>
      <c r="E955" s="852" t="s">
        <v>1516</v>
      </c>
      <c r="F955" s="1351" t="s">
        <v>1994</v>
      </c>
      <c r="G955" s="1351" t="str">
        <f>IF(T955&lt;&gt;"","F","")</f>
        <v/>
      </c>
      <c r="H955" s="1351" t="s">
        <v>1990</v>
      </c>
      <c r="I955" s="1307" t="str">
        <f t="shared" si="145"/>
        <v/>
      </c>
      <c r="J955" s="1351" t="str">
        <f t="shared" si="155"/>
        <v/>
      </c>
      <c r="K955" s="1351" t="str">
        <f t="shared" si="146"/>
        <v/>
      </c>
      <c r="L955" s="852"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2" t="str">
        <f t="shared" ca="1" si="157"/>
        <v>R283</v>
      </c>
      <c r="C956" s="852" t="str">
        <f t="shared" ca="1" si="158"/>
        <v>R284</v>
      </c>
      <c r="D956" s="852" t="s">
        <v>1350</v>
      </c>
      <c r="E956" s="852" t="s">
        <v>1516</v>
      </c>
      <c r="F956" s="1351" t="s">
        <v>1995</v>
      </c>
      <c r="G956" s="1351" t="str">
        <f>IF(T956&lt;&gt;"","G","")</f>
        <v/>
      </c>
      <c r="H956" s="1351" t="s">
        <v>1990</v>
      </c>
      <c r="I956" s="1307" t="str">
        <f t="shared" si="145"/>
        <v/>
      </c>
      <c r="J956" s="1351" t="str">
        <f t="shared" si="155"/>
        <v/>
      </c>
      <c r="K956" s="1351" t="str">
        <f t="shared" si="146"/>
        <v/>
      </c>
      <c r="L956" s="852"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2" t="str">
        <f t="shared" ca="1" si="157"/>
        <v>T283</v>
      </c>
      <c r="C957" s="852" t="str">
        <f t="shared" ca="1" si="158"/>
        <v>T284</v>
      </c>
      <c r="D957" s="852" t="s">
        <v>1350</v>
      </c>
      <c r="E957" s="852" t="s">
        <v>1516</v>
      </c>
      <c r="F957" s="867" t="s">
        <v>1488</v>
      </c>
      <c r="G957" s="1351" t="str">
        <f>IF(T957&lt;&gt;"","AW","")</f>
        <v/>
      </c>
      <c r="H957" s="1351" t="s">
        <v>1990</v>
      </c>
      <c r="I957" s="1307" t="str">
        <f t="shared" si="145"/>
        <v/>
      </c>
      <c r="J957" s="1351" t="str">
        <f t="shared" si="155"/>
        <v/>
      </c>
      <c r="K957" s="1351" t="str">
        <f t="shared" si="146"/>
        <v/>
      </c>
      <c r="L957" s="852"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1" t="s">
        <v>1385</v>
      </c>
      <c r="G958" s="1351" t="str">
        <f>IF(T958&lt;&gt;"","C","")</f>
        <v/>
      </c>
      <c r="H958" s="1351" t="s">
        <v>1990</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1" t="s">
        <v>1386</v>
      </c>
      <c r="G959" s="1351" t="str">
        <f>IF(T959&lt;&gt;"","D","")</f>
        <v/>
      </c>
      <c r="H959" s="1351" t="s">
        <v>1990</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1" t="s">
        <v>1495</v>
      </c>
      <c r="G960" s="1351" t="str">
        <f>IF(T960&lt;&gt;"","AN","")</f>
        <v/>
      </c>
      <c r="H960" s="1351" t="s">
        <v>1990</v>
      </c>
      <c r="I960" s="1307" t="str">
        <f t="shared" si="145"/>
        <v/>
      </c>
      <c r="J960" s="1351" t="str">
        <f t="shared" si="155"/>
        <v/>
      </c>
      <c r="K960" s="1351" t="str">
        <f t="shared" si="146"/>
        <v/>
      </c>
      <c r="L960" s="853"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1" t="s">
        <v>1492</v>
      </c>
      <c r="G961" s="1351" t="str">
        <f>IF(T961&lt;&gt;"","AL","")</f>
        <v/>
      </c>
      <c r="H961" s="1351" t="s">
        <v>1990</v>
      </c>
      <c r="I961" s="1307" t="str">
        <f t="shared" si="145"/>
        <v/>
      </c>
      <c r="J961" s="1351" t="str">
        <f t="shared" si="155"/>
        <v/>
      </c>
      <c r="K961" s="1351" t="str">
        <f t="shared" si="146"/>
        <v/>
      </c>
      <c r="L961" s="852"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1" t="s">
        <v>1996</v>
      </c>
      <c r="G962" s="1351" t="str">
        <f>IF(T962&lt;&gt;"","L","")</f>
        <v/>
      </c>
      <c r="H962" s="1351" t="s">
        <v>1990</v>
      </c>
      <c r="I962" s="1307" t="str">
        <f t="shared" si="145"/>
        <v/>
      </c>
      <c r="J962" s="1351" t="str">
        <f t="shared" si="155"/>
        <v/>
      </c>
      <c r="K962" s="1351" t="str">
        <f t="shared" si="146"/>
        <v/>
      </c>
      <c r="L962" s="852"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1" t="str">
        <f>IF(T963&lt;&gt;"","AH","")</f>
        <v/>
      </c>
      <c r="H963" s="1351" t="s">
        <v>1990</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1" t="s">
        <v>1912</v>
      </c>
      <c r="G965" s="1351" t="str">
        <f>IF(T965&lt;&gt;"","AI","")</f>
        <v/>
      </c>
      <c r="H965" s="1351" t="s">
        <v>1990</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1" t="s">
        <v>1508</v>
      </c>
      <c r="G966" s="1351" t="str">
        <f>IF(T966&lt;&gt;"","P","")</f>
        <v/>
      </c>
      <c r="H966" s="1351" t="s">
        <v>1990</v>
      </c>
      <c r="I966" s="1307" t="str">
        <f t="shared" si="159"/>
        <v/>
      </c>
      <c r="J966" s="1351" t="str">
        <f t="shared" si="155"/>
        <v/>
      </c>
      <c r="K966" s="1351" t="str">
        <f t="shared" si="160"/>
        <v/>
      </c>
      <c r="L966" s="852"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1" t="s">
        <v>1491</v>
      </c>
      <c r="G967" s="1351" t="str">
        <f>IF(T967&lt;&gt;"","A","")</f>
        <v/>
      </c>
      <c r="H967" s="1351" t="s">
        <v>1990</v>
      </c>
      <c r="I967" s="1307" t="str">
        <f t="shared" si="159"/>
        <v/>
      </c>
      <c r="J967" s="1351"/>
      <c r="K967" s="1351" t="str">
        <f t="shared" si="160"/>
        <v/>
      </c>
      <c r="L967" s="852"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1"/>
      <c r="G968" s="1351"/>
      <c r="H968" s="1351"/>
      <c r="I968" s="1307" t="str">
        <f t="shared" si="159"/>
        <v/>
      </c>
      <c r="J968" s="1351" t="str">
        <f t="shared" ref="J968:J985" si="162">IF(M968&lt;&gt;"",IF($Q$968="Yes",Q$1&amp;M968,""))</f>
        <v/>
      </c>
      <c r="K968" s="1351" t="str">
        <f t="shared" si="160"/>
        <v/>
      </c>
      <c r="L968" s="852"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1" t="s">
        <v>1383</v>
      </c>
      <c r="G969" s="1351" t="str">
        <f>IF(T969&lt;&gt;"","B","")</f>
        <v/>
      </c>
      <c r="H969" s="1351" t="s">
        <v>1990</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1" t="s">
        <v>1991</v>
      </c>
      <c r="G970" s="1351" t="str">
        <f>IF(T970&lt;&gt;"","E","")</f>
        <v/>
      </c>
      <c r="H970" s="1351" t="s">
        <v>1990</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1516</v>
      </c>
      <c r="F971" s="1351" t="s">
        <v>1992</v>
      </c>
      <c r="G971" s="1351" t="str">
        <f>IF(T971&lt;&gt;"","I","")</f>
        <v/>
      </c>
      <c r="H971" s="1351" t="s">
        <v>1990</v>
      </c>
      <c r="I971" s="1307" t="str">
        <f t="shared" si="159"/>
        <v/>
      </c>
      <c r="J971" s="1351" t="str">
        <f t="shared" si="162"/>
        <v/>
      </c>
      <c r="K971" s="1351" t="str">
        <f t="shared" si="160"/>
        <v/>
      </c>
      <c r="L971" s="852"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1516</v>
      </c>
      <c r="F972" s="1351" t="s">
        <v>1993</v>
      </c>
      <c r="G972" s="1351" t="str">
        <f>IF(T972&lt;&gt;"","H","")</f>
        <v/>
      </c>
      <c r="H972" s="1351" t="s">
        <v>1990</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1516</v>
      </c>
      <c r="F973" s="1351" t="s">
        <v>1382</v>
      </c>
      <c r="G973" s="1351" t="str">
        <f>IF(T973&lt;&gt;"",IF(Q971="Credit Memo","J",IF(Q971="Check","K","")),"")</f>
        <v/>
      </c>
      <c r="H973" s="1351" t="s">
        <v>1990</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2" t="str">
        <f t="shared" ca="1" si="163"/>
        <v>P297</v>
      </c>
      <c r="C974" s="852" t="str">
        <f t="shared" ca="1" si="164"/>
        <v>P298</v>
      </c>
      <c r="D974" s="852" t="s">
        <v>1350</v>
      </c>
      <c r="E974" s="852" t="s">
        <v>1516</v>
      </c>
      <c r="F974" s="1351" t="s">
        <v>1994</v>
      </c>
      <c r="G974" s="1351" t="str">
        <f>IF(T974&lt;&gt;"","F","")</f>
        <v/>
      </c>
      <c r="H974" s="1351" t="s">
        <v>1990</v>
      </c>
      <c r="I974" s="1307" t="str">
        <f t="shared" si="159"/>
        <v/>
      </c>
      <c r="J974" s="1351" t="str">
        <f t="shared" si="162"/>
        <v/>
      </c>
      <c r="K974" s="1351" t="str">
        <f t="shared" si="160"/>
        <v/>
      </c>
      <c r="L974" s="852"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2" t="str">
        <f t="shared" ca="1" si="163"/>
        <v>R297</v>
      </c>
      <c r="C975" s="852" t="str">
        <f t="shared" ca="1" si="164"/>
        <v>R298</v>
      </c>
      <c r="D975" s="852" t="s">
        <v>1350</v>
      </c>
      <c r="E975" s="852" t="s">
        <v>1516</v>
      </c>
      <c r="F975" s="1351" t="s">
        <v>1995</v>
      </c>
      <c r="G975" s="1351" t="str">
        <f>IF(T975&lt;&gt;"","G","")</f>
        <v/>
      </c>
      <c r="H975" s="1351" t="s">
        <v>1990</v>
      </c>
      <c r="I975" s="1307" t="str">
        <f t="shared" si="159"/>
        <v/>
      </c>
      <c r="J975" s="1351" t="str">
        <f t="shared" si="162"/>
        <v/>
      </c>
      <c r="K975" s="1351" t="str">
        <f t="shared" si="160"/>
        <v/>
      </c>
      <c r="L975" s="852"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2" t="str">
        <f t="shared" ca="1" si="163"/>
        <v>T297</v>
      </c>
      <c r="C976" s="852" t="str">
        <f t="shared" ca="1" si="164"/>
        <v>T298</v>
      </c>
      <c r="D976" s="852" t="s">
        <v>1350</v>
      </c>
      <c r="E976" s="852" t="s">
        <v>1516</v>
      </c>
      <c r="F976" s="867" t="s">
        <v>1488</v>
      </c>
      <c r="G976" s="1351" t="str">
        <f>IF(T976&lt;&gt;"","AW","")</f>
        <v/>
      </c>
      <c r="H976" s="1351" t="s">
        <v>1990</v>
      </c>
      <c r="I976" s="1307" t="str">
        <f t="shared" si="159"/>
        <v/>
      </c>
      <c r="J976" s="1351" t="str">
        <f t="shared" si="162"/>
        <v/>
      </c>
      <c r="K976" s="1351" t="str">
        <f t="shared" si="160"/>
        <v/>
      </c>
      <c r="L976" s="852"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1" t="s">
        <v>1385</v>
      </c>
      <c r="G977" s="1351" t="str">
        <f>IF(T977&lt;&gt;"","C","")</f>
        <v/>
      </c>
      <c r="H977" s="1351" t="s">
        <v>1990</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1" t="s">
        <v>1386</v>
      </c>
      <c r="G978" s="1351" t="str">
        <f>IF(T978&lt;&gt;"","D","")</f>
        <v/>
      </c>
      <c r="H978" s="1351" t="s">
        <v>1990</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1" t="s">
        <v>1495</v>
      </c>
      <c r="G979" s="1351" t="str">
        <f>IF(T979&lt;&gt;"","AN","")</f>
        <v/>
      </c>
      <c r="H979" s="1351" t="s">
        <v>1990</v>
      </c>
      <c r="I979" s="1307" t="str">
        <f t="shared" si="159"/>
        <v/>
      </c>
      <c r="J979" s="1351" t="str">
        <f t="shared" si="162"/>
        <v/>
      </c>
      <c r="K979" s="1351" t="str">
        <f t="shared" si="160"/>
        <v/>
      </c>
      <c r="L979" s="852"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1" t="s">
        <v>1492</v>
      </c>
      <c r="G980" s="1351" t="str">
        <f>IF(T980&lt;&gt;"","AL","")</f>
        <v/>
      </c>
      <c r="H980" s="1351" t="s">
        <v>1990</v>
      </c>
      <c r="I980" s="1307" t="str">
        <f t="shared" si="159"/>
        <v/>
      </c>
      <c r="J980" s="1351" t="str">
        <f t="shared" si="162"/>
        <v/>
      </c>
      <c r="K980" s="1351" t="str">
        <f t="shared" si="160"/>
        <v/>
      </c>
      <c r="L980" s="852"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1" t="s">
        <v>1996</v>
      </c>
      <c r="G981" s="1351" t="str">
        <f>IF(T981&lt;&gt;"","L","")</f>
        <v/>
      </c>
      <c r="H981" s="1351" t="s">
        <v>1990</v>
      </c>
      <c r="I981" s="1307" t="str">
        <f t="shared" si="159"/>
        <v/>
      </c>
      <c r="J981" s="1351" t="str">
        <f t="shared" si="162"/>
        <v/>
      </c>
      <c r="K981" s="1351" t="str">
        <f t="shared" si="160"/>
        <v/>
      </c>
      <c r="L981" s="852"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1" t="str">
        <f>IF(T982&lt;&gt;"","AH","")</f>
        <v/>
      </c>
      <c r="H982" s="1351" t="s">
        <v>1990</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1" t="s">
        <v>1912</v>
      </c>
      <c r="G984" s="1351" t="str">
        <f>IF(T984&lt;&gt;"","AI","")</f>
        <v/>
      </c>
      <c r="H984" s="1351" t="s">
        <v>1990</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1" t="s">
        <v>1508</v>
      </c>
      <c r="G985" s="1351" t="str">
        <f>IF(T985&lt;&gt;"","P","")</f>
        <v/>
      </c>
      <c r="H985" s="1351" t="s">
        <v>1990</v>
      </c>
      <c r="I985" s="1307" t="str">
        <f t="shared" si="159"/>
        <v/>
      </c>
      <c r="J985" s="1351" t="str">
        <f t="shared" si="162"/>
        <v/>
      </c>
      <c r="K985" s="1351" t="str">
        <f t="shared" si="160"/>
        <v/>
      </c>
      <c r="L985" s="852"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1" t="s">
        <v>1491</v>
      </c>
      <c r="G986" s="1351" t="str">
        <f>IF(T986&lt;&gt;"","A","")</f>
        <v/>
      </c>
      <c r="H986" s="1351" t="s">
        <v>1990</v>
      </c>
      <c r="I986" s="1307" t="str">
        <f t="shared" si="159"/>
        <v/>
      </c>
      <c r="J986" s="1351"/>
      <c r="K986" s="1351" t="str">
        <f t="shared" si="160"/>
        <v/>
      </c>
      <c r="L986" s="852"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1"/>
      <c r="G987" s="1351"/>
      <c r="H987" s="1351"/>
      <c r="I987" s="1307" t="str">
        <f t="shared" si="159"/>
        <v/>
      </c>
      <c r="J987" s="1351" t="str">
        <f t="shared" ref="J987:J1001" si="165">IF(M987&lt;&gt;"",IF($Q$987="Yes",Q$1&amp;M987,""))</f>
        <v/>
      </c>
      <c r="K987" s="1351" t="str">
        <f t="shared" si="160"/>
        <v/>
      </c>
      <c r="L987" s="852"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1" t="s">
        <v>1383</v>
      </c>
      <c r="G988" s="1351" t="str">
        <f>IF(T988&lt;&gt;"","B","")</f>
        <v/>
      </c>
      <c r="H988" s="1351" t="s">
        <v>1990</v>
      </c>
      <c r="I988" s="1307" t="str">
        <f t="shared" si="159"/>
        <v/>
      </c>
      <c r="J988" s="1351"/>
      <c r="K988" s="1351" t="str">
        <f t="shared" si="160"/>
        <v/>
      </c>
      <c r="L988" s="852"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1" t="s">
        <v>1991</v>
      </c>
      <c r="G989" s="1351" t="str">
        <f>IF(T989&lt;&gt;"","E","")</f>
        <v/>
      </c>
      <c r="H989" s="1351" t="s">
        <v>1990</v>
      </c>
      <c r="I989" s="1307" t="str">
        <f t="shared" si="159"/>
        <v/>
      </c>
      <c r="J989" s="1351" t="str">
        <f t="shared" si="165"/>
        <v/>
      </c>
      <c r="K989" s="1351" t="str">
        <f t="shared" si="160"/>
        <v/>
      </c>
      <c r="L989" s="852"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1516</v>
      </c>
      <c r="F990" s="1351" t="s">
        <v>1992</v>
      </c>
      <c r="G990" s="1351" t="str">
        <f>IF(T990&lt;&gt;"","I","")</f>
        <v/>
      </c>
      <c r="H990" s="1351" t="s">
        <v>1990</v>
      </c>
      <c r="I990" s="1307" t="str">
        <f t="shared" si="159"/>
        <v/>
      </c>
      <c r="J990" s="1351" t="str">
        <f t="shared" si="165"/>
        <v/>
      </c>
      <c r="K990" s="1351" t="str">
        <f t="shared" si="160"/>
        <v/>
      </c>
      <c r="L990" s="852"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1516</v>
      </c>
      <c r="F991" s="1351" t="s">
        <v>1993</v>
      </c>
      <c r="G991" s="1351" t="str">
        <f>IF(T991&lt;&gt;"","H","")</f>
        <v/>
      </c>
      <c r="H991" s="1351" t="s">
        <v>1990</v>
      </c>
      <c r="I991" s="1307" t="str">
        <f t="shared" si="159"/>
        <v/>
      </c>
      <c r="J991" s="1351" t="str">
        <f t="shared" si="165"/>
        <v/>
      </c>
      <c r="K991" s="1351" t="str">
        <f t="shared" si="160"/>
        <v/>
      </c>
      <c r="L991" s="852"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1516</v>
      </c>
      <c r="F992" s="1351" t="s">
        <v>1382</v>
      </c>
      <c r="G992" s="1351" t="str">
        <f>IF(T992&lt;&gt;"",IF(Q990="Credit Memo","J",IF(Q990="Check","K","")),"")</f>
        <v/>
      </c>
      <c r="H992" s="1351" t="s">
        <v>1990</v>
      </c>
      <c r="I992" s="1307" t="str">
        <f t="shared" si="159"/>
        <v/>
      </c>
      <c r="J992" s="1351" t="str">
        <f t="shared" si="165"/>
        <v/>
      </c>
      <c r="K992" s="1351" t="str">
        <f t="shared" si="160"/>
        <v/>
      </c>
      <c r="L992" s="852"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6" t="s">
        <v>1486</v>
      </c>
      <c r="B993" s="852" t="str">
        <f t="shared" ca="1" si="167"/>
        <v>P311</v>
      </c>
      <c r="C993" s="852" t="str">
        <f t="shared" ca="1" si="168"/>
        <v>P312</v>
      </c>
      <c r="D993" s="852" t="s">
        <v>1350</v>
      </c>
      <c r="E993" s="852" t="s">
        <v>1516</v>
      </c>
      <c r="F993" s="1351" t="s">
        <v>1994</v>
      </c>
      <c r="G993" s="1351" t="str">
        <f>IF(T993&lt;&gt;"","F","")</f>
        <v/>
      </c>
      <c r="H993" s="1351" t="s">
        <v>1990</v>
      </c>
      <c r="I993" s="1307" t="str">
        <f t="shared" si="159"/>
        <v/>
      </c>
      <c r="J993" s="1351" t="str">
        <f t="shared" si="165"/>
        <v/>
      </c>
      <c r="K993" s="1351" t="str">
        <f t="shared" si="160"/>
        <v/>
      </c>
      <c r="L993" s="852"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6" t="s">
        <v>1487</v>
      </c>
      <c r="B994" s="852" t="str">
        <f t="shared" ca="1" si="167"/>
        <v>R311</v>
      </c>
      <c r="C994" s="852" t="str">
        <f t="shared" ca="1" si="168"/>
        <v>R312</v>
      </c>
      <c r="D994" s="852" t="s">
        <v>1350</v>
      </c>
      <c r="E994" s="852" t="s">
        <v>1516</v>
      </c>
      <c r="F994" s="1351" t="s">
        <v>1995</v>
      </c>
      <c r="G994" s="1351" t="str">
        <f>IF(T994&lt;&gt;"","G","")</f>
        <v/>
      </c>
      <c r="H994" s="1351" t="s">
        <v>1990</v>
      </c>
      <c r="I994" s="1307" t="str">
        <f t="shared" si="159"/>
        <v/>
      </c>
      <c r="J994" s="1351" t="str">
        <f t="shared" si="165"/>
        <v/>
      </c>
      <c r="K994" s="1351" t="str">
        <f t="shared" si="160"/>
        <v/>
      </c>
      <c r="L994" s="852"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6" t="s">
        <v>1488</v>
      </c>
      <c r="B995" s="852" t="str">
        <f t="shared" ca="1" si="167"/>
        <v>T311</v>
      </c>
      <c r="C995" s="852" t="str">
        <f t="shared" ca="1" si="168"/>
        <v>T312</v>
      </c>
      <c r="D995" s="852" t="s">
        <v>1350</v>
      </c>
      <c r="E995" s="852" t="s">
        <v>1516</v>
      </c>
      <c r="F995" s="867" t="s">
        <v>1488</v>
      </c>
      <c r="G995" s="1351" t="str">
        <f>IF(T995&lt;&gt;"","AW","")</f>
        <v/>
      </c>
      <c r="H995" s="1351" t="s">
        <v>1990</v>
      </c>
      <c r="I995" s="1307" t="str">
        <f t="shared" si="159"/>
        <v/>
      </c>
      <c r="J995" s="1351" t="str">
        <f t="shared" si="165"/>
        <v/>
      </c>
      <c r="K995" s="1351" t="str">
        <f t="shared" si="160"/>
        <v/>
      </c>
      <c r="L995" s="852"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1" t="s">
        <v>1385</v>
      </c>
      <c r="G996" s="1351" t="str">
        <f>IF(T996&lt;&gt;"","C","")</f>
        <v/>
      </c>
      <c r="H996" s="1351" t="s">
        <v>1990</v>
      </c>
      <c r="I996" s="1307" t="str">
        <f t="shared" si="159"/>
        <v/>
      </c>
      <c r="J996" s="1351"/>
      <c r="K996" s="1351" t="str">
        <f t="shared" si="160"/>
        <v/>
      </c>
      <c r="L996" s="852"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1" t="s">
        <v>1386</v>
      </c>
      <c r="G997" s="1351" t="str">
        <f>IF(T997&lt;&gt;"","D","")</f>
        <v/>
      </c>
      <c r="H997" s="1351" t="s">
        <v>1990</v>
      </c>
      <c r="I997" s="1307" t="str">
        <f t="shared" si="159"/>
        <v/>
      </c>
      <c r="J997" s="1351"/>
      <c r="K997" s="1351" t="str">
        <f t="shared" si="160"/>
        <v/>
      </c>
      <c r="L997" s="852"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1" t="s">
        <v>1495</v>
      </c>
      <c r="G998" s="1351" t="str">
        <f>IF(T998&lt;&gt;"","AN","")</f>
        <v/>
      </c>
      <c r="H998" s="1351" t="s">
        <v>1990</v>
      </c>
      <c r="I998" s="1307" t="str">
        <f t="shared" si="159"/>
        <v/>
      </c>
      <c r="J998" s="1351" t="str">
        <f t="shared" si="165"/>
        <v/>
      </c>
      <c r="K998" s="1351" t="str">
        <f t="shared" si="160"/>
        <v/>
      </c>
      <c r="L998" s="852"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1" t="s">
        <v>1492</v>
      </c>
      <c r="G999" s="1351" t="str">
        <f>IF(T999&lt;&gt;"","AL","")</f>
        <v/>
      </c>
      <c r="H999" s="1351" t="s">
        <v>1990</v>
      </c>
      <c r="I999" s="1307" t="str">
        <f t="shared" si="159"/>
        <v/>
      </c>
      <c r="J999" s="1351" t="str">
        <f t="shared" si="165"/>
        <v/>
      </c>
      <c r="K999" s="1351" t="str">
        <f t="shared" si="160"/>
        <v/>
      </c>
      <c r="L999" s="852"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1" t="s">
        <v>1996</v>
      </c>
      <c r="G1000" s="1351" t="str">
        <f>IF(T1000&lt;&gt;"","L","")</f>
        <v/>
      </c>
      <c r="H1000" s="1351" t="s">
        <v>1990</v>
      </c>
      <c r="I1000" s="1307" t="str">
        <f t="shared" si="159"/>
        <v/>
      </c>
      <c r="J1000" s="1351" t="str">
        <f t="shared" si="165"/>
        <v/>
      </c>
      <c r="K1000" s="1351" t="str">
        <f t="shared" si="160"/>
        <v/>
      </c>
      <c r="L1000" s="852"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1" t="str">
        <f>IF(T1001&lt;&gt;"","AH","")</f>
        <v/>
      </c>
      <c r="H1001" s="1351" t="s">
        <v>1990</v>
      </c>
      <c r="I1001" s="1307" t="str">
        <f t="shared" si="159"/>
        <v/>
      </c>
      <c r="J1001" s="1351" t="str">
        <f t="shared" si="165"/>
        <v/>
      </c>
      <c r="K1001" s="1351" t="str">
        <f t="shared" si="160"/>
        <v/>
      </c>
      <c r="L1001" s="852"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1"/>
      <c r="H1002" s="1351"/>
      <c r="I1002" s="1307" t="str">
        <f t="shared" si="159"/>
        <v/>
      </c>
      <c r="J1002" s="1351"/>
      <c r="K1002" s="1351" t="str">
        <f t="shared" si="160"/>
        <v/>
      </c>
      <c r="L1002" s="852"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1" t="s">
        <v>1912</v>
      </c>
      <c r="G1003" s="1351" t="str">
        <f>IF(T1003&lt;&gt;"","AI","")</f>
        <v/>
      </c>
      <c r="H1003" s="1351" t="s">
        <v>1990</v>
      </c>
      <c r="I1003" s="1307" t="str">
        <f t="shared" si="159"/>
        <v/>
      </c>
      <c r="J1003" s="1351"/>
      <c r="K1003" s="1351" t="str">
        <f t="shared" si="160"/>
        <v/>
      </c>
      <c r="L1003" s="852"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1" t="s">
        <v>1491</v>
      </c>
      <c r="G1004" s="1351" t="str">
        <f>IF(T1004&lt;&gt;"","A","")</f>
        <v/>
      </c>
      <c r="H1004" s="1351" t="s">
        <v>1990</v>
      </c>
      <c r="I1004" s="1307" t="str">
        <f t="shared" si="159"/>
        <v/>
      </c>
      <c r="J1004" s="1351"/>
      <c r="K1004" s="1351" t="str">
        <f t="shared" si="160"/>
        <v/>
      </c>
      <c r="L1004" s="852"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1"/>
      <c r="G1005" s="1351"/>
      <c r="H1005" s="1351"/>
      <c r="I1005" s="1307" t="str">
        <f t="shared" si="159"/>
        <v/>
      </c>
      <c r="J1005" s="1351" t="str">
        <f t="shared" ref="J1005:J1014" si="169">IF(M1005&lt;&gt;"",IF($Q$1005="Yes",Q$1&amp;M1005,""))</f>
        <v/>
      </c>
      <c r="K1005" s="1351" t="str">
        <f t="shared" si="160"/>
        <v/>
      </c>
      <c r="L1005" s="852"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1" t="s">
        <v>1383</v>
      </c>
      <c r="G1006" s="1351" t="str">
        <f>IF(T1006&lt;&gt;"","B","")</f>
        <v/>
      </c>
      <c r="H1006" s="1351" t="s">
        <v>1990</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1" t="s">
        <v>1992</v>
      </c>
      <c r="G1007" s="1351" t="str">
        <f>IF(T1007&lt;&gt;"","I","")</f>
        <v/>
      </c>
      <c r="H1007" s="1351" t="s">
        <v>1990</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1" t="s">
        <v>1993</v>
      </c>
      <c r="G1008" s="1351" t="str">
        <f>IF(T1008&lt;&gt;"","H","")</f>
        <v/>
      </c>
      <c r="H1008" s="1351" t="s">
        <v>1990</v>
      </c>
      <c r="I1008" s="1307" t="str">
        <f t="shared" si="159"/>
        <v/>
      </c>
      <c r="J1008" s="1351" t="str">
        <f t="shared" si="169"/>
        <v/>
      </c>
      <c r="K1008" s="1351" t="str">
        <f t="shared" si="160"/>
        <v/>
      </c>
      <c r="L1008" s="852"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1" t="s">
        <v>1382</v>
      </c>
      <c r="G1009" s="1351" t="str">
        <f>IF(T1009&lt;&gt;"",IF(Q1007="Credit Memo","J",IF(Q1007="Check","K","")),"")</f>
        <v/>
      </c>
      <c r="H1009" s="1351" t="s">
        <v>1990</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1" t="s">
        <v>1385</v>
      </c>
      <c r="G1010" s="1351" t="str">
        <f>IF(T1010&lt;&gt;"","C","")</f>
        <v/>
      </c>
      <c r="H1010" s="1351" t="s">
        <v>1990</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1" t="s">
        <v>1386</v>
      </c>
      <c r="G1011" s="1351" t="str">
        <f>IF(T1011&lt;&gt;"","D","")</f>
        <v/>
      </c>
      <c r="H1011" s="1351" t="s">
        <v>1990</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1" t="s">
        <v>1495</v>
      </c>
      <c r="G1012" s="1351" t="str">
        <f>IF(T1012&lt;&gt;"","AN","")</f>
        <v/>
      </c>
      <c r="H1012" s="1351" t="s">
        <v>1990</v>
      </c>
      <c r="I1012" s="1307" t="str">
        <f t="shared" si="159"/>
        <v/>
      </c>
      <c r="J1012" s="1351" t="str">
        <f t="shared" si="169"/>
        <v/>
      </c>
      <c r="K1012" s="1351" t="str">
        <f t="shared" si="160"/>
        <v/>
      </c>
      <c r="L1012" s="852"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1" t="s">
        <v>1492</v>
      </c>
      <c r="G1013" s="1351" t="str">
        <f>IF(T1013&lt;&gt;"","AL","")</f>
        <v/>
      </c>
      <c r="H1013" s="1351" t="s">
        <v>1990</v>
      </c>
      <c r="I1013" s="1307" t="str">
        <f t="shared" si="159"/>
        <v/>
      </c>
      <c r="J1013" s="1351" t="str">
        <f t="shared" si="169"/>
        <v/>
      </c>
      <c r="K1013" s="1351" t="str">
        <f t="shared" si="160"/>
        <v/>
      </c>
      <c r="L1013" s="852"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1" t="s">
        <v>1396</v>
      </c>
      <c r="G1014" s="1390" t="str">
        <f>IF(T1014&lt;&gt;"","S","")</f>
        <v/>
      </c>
      <c r="H1014" s="1351" t="s">
        <v>1990</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1" t="s">
        <v>1491</v>
      </c>
      <c r="G1015" s="1351" t="str">
        <f>IF(T1015&lt;&gt;"","A","")</f>
        <v/>
      </c>
      <c r="H1015" s="1351" t="s">
        <v>1990</v>
      </c>
      <c r="I1015" s="1307" t="str">
        <f t="shared" si="159"/>
        <v/>
      </c>
      <c r="J1015" s="1351"/>
      <c r="K1015" s="1351" t="str">
        <f t="shared" si="160"/>
        <v/>
      </c>
      <c r="L1015" s="852"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1"/>
      <c r="G1016" s="1351"/>
      <c r="H1016" s="1351"/>
      <c r="I1016" s="1307" t="str">
        <f t="shared" si="159"/>
        <v/>
      </c>
      <c r="J1016" s="1351" t="str">
        <f t="shared" ref="J1016:J1025" si="171">IF(M1016&lt;&gt;"",IF($Q$1016="Yes",Q$1&amp;M1016,""))</f>
        <v/>
      </c>
      <c r="K1016" s="1351" t="str">
        <f t="shared" si="160"/>
        <v/>
      </c>
      <c r="L1016" s="852"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1" t="s">
        <v>1383</v>
      </c>
      <c r="G1017" s="1351" t="str">
        <f>IF(T1017&lt;&gt;"","B","")</f>
        <v/>
      </c>
      <c r="H1017" s="1351" t="s">
        <v>1990</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1" t="s">
        <v>1992</v>
      </c>
      <c r="G1018" s="1351" t="str">
        <f>IF(T1018&lt;&gt;"","I","")</f>
        <v/>
      </c>
      <c r="H1018" s="1351" t="s">
        <v>1990</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1" t="s">
        <v>1993</v>
      </c>
      <c r="G1019" s="1351" t="str">
        <f>IF(T1019&lt;&gt;"","H","")</f>
        <v/>
      </c>
      <c r="H1019" s="1351" t="s">
        <v>1990</v>
      </c>
      <c r="I1019" s="1307" t="str">
        <f t="shared" si="159"/>
        <v/>
      </c>
      <c r="J1019" s="1351" t="str">
        <f t="shared" si="171"/>
        <v/>
      </c>
      <c r="K1019" s="1351" t="str">
        <f t="shared" si="160"/>
        <v/>
      </c>
      <c r="L1019" s="852"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1" t="s">
        <v>1382</v>
      </c>
      <c r="G1020" s="1351" t="str">
        <f>IF(T1020&lt;&gt;"",IF(Q1018="Credit Memo","J",IF(Q1018="Check","K","")),"")</f>
        <v/>
      </c>
      <c r="H1020" s="1351" t="s">
        <v>1990</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1" t="s">
        <v>1385</v>
      </c>
      <c r="G1021" s="1351" t="str">
        <f>IF(T1021&lt;&gt;"","C","")</f>
        <v/>
      </c>
      <c r="H1021" s="1351" t="s">
        <v>1990</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1" t="s">
        <v>1386</v>
      </c>
      <c r="G1022" s="1351" t="str">
        <f>IF(T1022&lt;&gt;"","D","")</f>
        <v/>
      </c>
      <c r="H1022" s="1351" t="s">
        <v>1990</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1" t="s">
        <v>1495</v>
      </c>
      <c r="G1023" s="1351" t="str">
        <f>IF(T1023&lt;&gt;"","AN","")</f>
        <v/>
      </c>
      <c r="H1023" s="1351" t="s">
        <v>1990</v>
      </c>
      <c r="I1023" s="1307" t="str">
        <f t="shared" si="159"/>
        <v/>
      </c>
      <c r="J1023" s="1351" t="str">
        <f t="shared" si="171"/>
        <v/>
      </c>
      <c r="K1023" s="1351" t="str">
        <f t="shared" si="160"/>
        <v/>
      </c>
      <c r="L1023" s="852"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1" t="s">
        <v>1492</v>
      </c>
      <c r="G1024" s="1351" t="str">
        <f>IF(T1024&lt;&gt;"","AL","")</f>
        <v/>
      </c>
      <c r="H1024" s="1351" t="s">
        <v>1990</v>
      </c>
      <c r="I1024" s="1307" t="str">
        <f t="shared" si="159"/>
        <v/>
      </c>
      <c r="J1024" s="1351" t="str">
        <f t="shared" si="171"/>
        <v/>
      </c>
      <c r="K1024" s="1351" t="str">
        <f t="shared" si="160"/>
        <v/>
      </c>
      <c r="L1024" s="852"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0" t="s">
        <v>1396</v>
      </c>
      <c r="G1025" s="1390" t="str">
        <f>IF(T1025&lt;&gt;"","S","")</f>
        <v/>
      </c>
      <c r="H1025" s="1390" t="s">
        <v>1990</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1" t="s">
        <v>1491</v>
      </c>
      <c r="G1026" s="1351" t="str">
        <f>IF(T1026&lt;&gt;"","A","")</f>
        <v/>
      </c>
      <c r="H1026" s="1351" t="s">
        <v>1990</v>
      </c>
      <c r="I1026" s="1307" t="str">
        <f t="shared" si="159"/>
        <v/>
      </c>
      <c r="J1026" s="1351"/>
      <c r="K1026" s="1351" t="str">
        <f t="shared" si="160"/>
        <v/>
      </c>
      <c r="L1026" s="852"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1"/>
      <c r="G1027" s="1351"/>
      <c r="H1027" s="1351"/>
      <c r="I1027" s="1307" t="str">
        <f t="shared" si="159"/>
        <v/>
      </c>
      <c r="J1027" s="1351" t="str">
        <f>IF(M1027&lt;&gt;"",IF($Q$1027="Yes",Q$1&amp;M1027,""))</f>
        <v/>
      </c>
      <c r="K1027" s="1351" t="str">
        <f t="shared" si="160"/>
        <v/>
      </c>
      <c r="L1027" s="852"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1" t="s">
        <v>1383</v>
      </c>
      <c r="G1028" s="1351" t="str">
        <f>IF(T1028&lt;&gt;"","B","")</f>
        <v/>
      </c>
      <c r="H1028" s="1351" t="s">
        <v>1990</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1" t="s">
        <v>1992</v>
      </c>
      <c r="G1029" s="1351" t="str">
        <f>IF(T1029&lt;&gt;"","I","")</f>
        <v/>
      </c>
      <c r="H1029" s="1351" t="s">
        <v>1990</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1" t="s">
        <v>1993</v>
      </c>
      <c r="G1030" s="1351" t="str">
        <f>IF(T1030&lt;&gt;"","H","")</f>
        <v/>
      </c>
      <c r="H1030" s="1351" t="s">
        <v>1990</v>
      </c>
      <c r="I1030" s="1307" t="str">
        <f t="shared" si="174"/>
        <v/>
      </c>
      <c r="J1030" s="1351" t="str">
        <f>IF(M1030&lt;&gt;"",IF($Q$1027="Yes",Q$1&amp;M1030,""))</f>
        <v/>
      </c>
      <c r="K1030" s="1351" t="str">
        <f t="shared" si="175"/>
        <v/>
      </c>
      <c r="L1030" s="852"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1" t="s">
        <v>1385</v>
      </c>
      <c r="G1032" s="1351" t="str">
        <f>IF(T1032&lt;&gt;"","C","")</f>
        <v/>
      </c>
      <c r="H1032" s="1351" t="s">
        <v>1990</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1" t="s">
        <v>1386</v>
      </c>
      <c r="G1033" s="1351" t="str">
        <f>IF(T1033&lt;&gt;"","D","")</f>
        <v/>
      </c>
      <c r="H1033" s="1351" t="s">
        <v>1990</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1" t="s">
        <v>1495</v>
      </c>
      <c r="G1034" s="1351" t="str">
        <f>IF(T1034&lt;&gt;"","AN","")</f>
        <v/>
      </c>
      <c r="H1034" s="1351" t="s">
        <v>1990</v>
      </c>
      <c r="I1034" s="1307" t="str">
        <f t="shared" si="174"/>
        <v/>
      </c>
      <c r="J1034" s="1351" t="str">
        <f>IF(M1034&lt;&gt;"",IF($Q$1027="Yes",Q$1&amp;M1034,""))</f>
        <v/>
      </c>
      <c r="K1034" s="1351" t="str">
        <f t="shared" si="175"/>
        <v/>
      </c>
      <c r="L1034" s="852"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1" t="s">
        <v>1492</v>
      </c>
      <c r="G1035" s="1351" t="str">
        <f>IF(T1035&lt;&gt;"","AL","")</f>
        <v/>
      </c>
      <c r="H1035" s="1351" t="s">
        <v>1990</v>
      </c>
      <c r="I1035" s="1307" t="str">
        <f t="shared" si="174"/>
        <v/>
      </c>
      <c r="J1035" s="1351" t="str">
        <f>IF(M1035&lt;&gt;"",IF($Q$1027="Yes",Q$1&amp;M1035,""))</f>
        <v/>
      </c>
      <c r="K1035" s="1351" t="str">
        <f t="shared" si="175"/>
        <v/>
      </c>
      <c r="L1035" s="852"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0" t="s">
        <v>1396</v>
      </c>
      <c r="G1036" s="1390" t="str">
        <f>IF(T1036&lt;&gt;"","S","")</f>
        <v/>
      </c>
      <c r="H1036" s="1390" t="s">
        <v>1990</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1" t="s">
        <v>1491</v>
      </c>
      <c r="G1037" s="1351" t="str">
        <f>IF(T1037&lt;&gt;"","A","")</f>
        <v/>
      </c>
      <c r="H1037" s="1351" t="s">
        <v>1990</v>
      </c>
      <c r="I1037" s="1307" t="str">
        <f t="shared" si="174"/>
        <v/>
      </c>
      <c r="J1037" s="1351"/>
      <c r="K1037" s="1351" t="str">
        <f t="shared" si="175"/>
        <v/>
      </c>
      <c r="L1037" s="852"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1"/>
      <c r="G1038" s="1351"/>
      <c r="H1038" s="1351"/>
      <c r="I1038" s="1307" t="str">
        <f t="shared" si="174"/>
        <v/>
      </c>
      <c r="J1038" s="1351" t="str">
        <f t="shared" ref="J1038:J1049" si="176">IF(M1038&lt;&gt;"",IF($Q$1038="Yes",Q$1&amp;M1038,""))</f>
        <v/>
      </c>
      <c r="K1038" s="1351" t="str">
        <f t="shared" si="175"/>
        <v/>
      </c>
      <c r="L1038" s="852"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1" t="s">
        <v>1383</v>
      </c>
      <c r="G1039" s="1351" t="str">
        <f>IF(T1039&lt;&gt;"","B","")</f>
        <v/>
      </c>
      <c r="H1039" s="1351" t="s">
        <v>1990</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1" t="s">
        <v>1992</v>
      </c>
      <c r="G1040" s="1351" t="str">
        <f>IF(T1040&lt;&gt;"","I","")</f>
        <v/>
      </c>
      <c r="H1040" s="1351" t="s">
        <v>1990</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1516</v>
      </c>
      <c r="F1041" s="1351" t="s">
        <v>1993</v>
      </c>
      <c r="G1041" s="1351" t="str">
        <f>IF(T1041&lt;&gt;"","H","")</f>
        <v/>
      </c>
      <c r="H1041" s="1351" t="s">
        <v>1990</v>
      </c>
      <c r="I1041" s="1307" t="str">
        <f t="shared" si="174"/>
        <v/>
      </c>
      <c r="J1041" s="1351" t="str">
        <f t="shared" si="176"/>
        <v/>
      </c>
      <c r="K1041" s="1351" t="str">
        <f t="shared" si="175"/>
        <v/>
      </c>
      <c r="L1041" s="852"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1516</v>
      </c>
      <c r="F1042" s="1351" t="s">
        <v>1382</v>
      </c>
      <c r="G1042" s="1351" t="str">
        <f>IF(T1042&lt;&gt;"",IF(Q1040="Credit Memo","J",IF(Q1040="Check","K","")),"")</f>
        <v/>
      </c>
      <c r="H1042" s="1351" t="s">
        <v>1990</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1486</v>
      </c>
      <c r="B1043" s="852" t="str">
        <f t="shared" ca="1" si="178"/>
        <v>P367</v>
      </c>
      <c r="C1043" s="852" t="str">
        <f t="shared" ca="1" si="179"/>
        <v>P368</v>
      </c>
      <c r="D1043" s="852" t="s">
        <v>1350</v>
      </c>
      <c r="E1043" s="852" t="s">
        <v>1516</v>
      </c>
      <c r="F1043" s="1351" t="s">
        <v>1994</v>
      </c>
      <c r="G1043" s="1351" t="str">
        <f>IF(T1043&lt;&gt;"","F","")</f>
        <v/>
      </c>
      <c r="H1043" s="1351" t="s">
        <v>1990</v>
      </c>
      <c r="I1043" s="1307" t="str">
        <f t="shared" si="174"/>
        <v/>
      </c>
      <c r="J1043" s="1351" t="str">
        <f t="shared" si="176"/>
        <v/>
      </c>
      <c r="K1043" s="1351" t="str">
        <f t="shared" si="175"/>
        <v/>
      </c>
      <c r="L1043" s="852"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1487</v>
      </c>
      <c r="B1044" s="852" t="str">
        <f t="shared" ca="1" si="178"/>
        <v>R367</v>
      </c>
      <c r="C1044" s="852" t="str">
        <f t="shared" ca="1" si="179"/>
        <v>R368</v>
      </c>
      <c r="D1044" s="852" t="s">
        <v>1350</v>
      </c>
      <c r="E1044" s="852" t="s">
        <v>1516</v>
      </c>
      <c r="F1044" s="1351" t="s">
        <v>1995</v>
      </c>
      <c r="G1044" s="1351" t="str">
        <f>IF(T1044&lt;&gt;"","G","")</f>
        <v/>
      </c>
      <c r="H1044" s="1351" t="s">
        <v>1990</v>
      </c>
      <c r="I1044" s="1307" t="str">
        <f t="shared" si="174"/>
        <v/>
      </c>
      <c r="J1044" s="1351" t="str">
        <f t="shared" si="176"/>
        <v/>
      </c>
      <c r="K1044" s="1351" t="str">
        <f t="shared" si="175"/>
        <v/>
      </c>
      <c r="L1044" s="852"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1488</v>
      </c>
      <c r="B1045" s="852" t="str">
        <f t="shared" ca="1" si="178"/>
        <v>T367</v>
      </c>
      <c r="C1045" s="852" t="str">
        <f t="shared" ca="1" si="179"/>
        <v>T368</v>
      </c>
      <c r="D1045" s="852" t="s">
        <v>1350</v>
      </c>
      <c r="E1045" s="852" t="s">
        <v>1516</v>
      </c>
      <c r="F1045" s="867" t="s">
        <v>1488</v>
      </c>
      <c r="G1045" s="1351" t="str">
        <f>IF(T1045&lt;&gt;"","AW","")</f>
        <v/>
      </c>
      <c r="H1045" s="1351" t="s">
        <v>1990</v>
      </c>
      <c r="I1045" s="1307" t="str">
        <f t="shared" si="174"/>
        <v/>
      </c>
      <c r="J1045" s="1351" t="str">
        <f t="shared" si="176"/>
        <v/>
      </c>
      <c r="K1045" s="1351" t="str">
        <f t="shared" si="175"/>
        <v/>
      </c>
      <c r="L1045" s="852"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1" t="s">
        <v>1385</v>
      </c>
      <c r="G1046" s="1351" t="str">
        <f>IF(T1046&lt;&gt;"","C","")</f>
        <v/>
      </c>
      <c r="H1046" s="1351" t="s">
        <v>1990</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1" t="s">
        <v>1386</v>
      </c>
      <c r="G1047" s="1351" t="str">
        <f>IF(T1047&lt;&gt;"","D","")</f>
        <v/>
      </c>
      <c r="H1047" s="1351" t="s">
        <v>1990</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1" t="s">
        <v>1495</v>
      </c>
      <c r="G1048" s="1351" t="str">
        <f>IF(T1048&lt;&gt;"","AN","")</f>
        <v/>
      </c>
      <c r="H1048" s="1351" t="s">
        <v>1990</v>
      </c>
      <c r="I1048" s="1307" t="str">
        <f t="shared" si="174"/>
        <v/>
      </c>
      <c r="J1048" s="1351" t="str">
        <f t="shared" si="176"/>
        <v/>
      </c>
      <c r="K1048" s="1351" t="str">
        <f t="shared" si="175"/>
        <v/>
      </c>
      <c r="L1048" s="852"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1" t="s">
        <v>1492</v>
      </c>
      <c r="G1049" s="1351" t="str">
        <f>IF(T1049&lt;&gt;"","AL","")</f>
        <v/>
      </c>
      <c r="H1049" s="1351" t="s">
        <v>1990</v>
      </c>
      <c r="I1049" s="1307" t="str">
        <f t="shared" si="174"/>
        <v/>
      </c>
      <c r="J1049" s="1351" t="str">
        <f t="shared" si="176"/>
        <v/>
      </c>
      <c r="K1049" s="1351" t="str">
        <f t="shared" si="175"/>
        <v/>
      </c>
      <c r="L1049" s="852"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1" t="s">
        <v>1912</v>
      </c>
      <c r="G1050" s="1351" t="str">
        <f>IF(T1050&lt;&gt;"","O","")</f>
        <v/>
      </c>
      <c r="H1050" s="1351" t="s">
        <v>1990</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1" t="s">
        <v>1491</v>
      </c>
      <c r="G1051" s="1351" t="str">
        <f>IF(T1051&lt;&gt;"","A","")</f>
        <v/>
      </c>
      <c r="H1051" s="1351" t="s">
        <v>1990</v>
      </c>
      <c r="I1051" s="1307" t="str">
        <f t="shared" si="174"/>
        <v/>
      </c>
      <c r="J1051" s="1351"/>
      <c r="K1051" s="1351" t="str">
        <f t="shared" si="175"/>
        <v/>
      </c>
      <c r="L1051" s="852"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1"/>
      <c r="G1052" s="1351"/>
      <c r="H1052" s="1351"/>
      <c r="I1052" s="1307" t="str">
        <f t="shared" si="174"/>
        <v/>
      </c>
      <c r="J1052" s="1351" t="str">
        <f t="shared" ref="J1052:J1067" si="182">IF(M1052&lt;&gt;"",IF($Q$1052="Yes",Q$1&amp;M1052,""))</f>
        <v/>
      </c>
      <c r="K1052" s="1351" t="str">
        <f t="shared" si="175"/>
        <v/>
      </c>
      <c r="L1052" s="852"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1" t="s">
        <v>1383</v>
      </c>
      <c r="G1053" s="1351" t="str">
        <f>IF(T1053&lt;&gt;"","B","")</f>
        <v/>
      </c>
      <c r="H1053" s="1351" t="s">
        <v>1990</v>
      </c>
      <c r="I1053" s="1307" t="str">
        <f t="shared" si="174"/>
        <v/>
      </c>
      <c r="J1053" s="1351"/>
      <c r="K1053" s="1351" t="str">
        <f t="shared" si="175"/>
        <v/>
      </c>
      <c r="L1053" s="852"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1" t="s">
        <v>1992</v>
      </c>
      <c r="G1054" s="1351" t="str">
        <f>IF(T1054&lt;&gt;"","I","")</f>
        <v/>
      </c>
      <c r="H1054" s="1351" t="s">
        <v>1990</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1" t="s">
        <v>1382</v>
      </c>
      <c r="G1055" s="1351" t="str">
        <f>IF(T1055&lt;&gt;"",IF(Q1054="Credit Memo","J",IF(Q1054="Check","K","")),"")</f>
        <v/>
      </c>
      <c r="H1055" s="1351" t="s">
        <v>1990</v>
      </c>
      <c r="I1055" s="1307" t="str">
        <f t="shared" si="174"/>
        <v/>
      </c>
      <c r="J1055" s="1351" t="str">
        <f t="shared" si="182"/>
        <v/>
      </c>
      <c r="K1055" s="1351" t="str">
        <f t="shared" si="175"/>
        <v/>
      </c>
      <c r="L1055" s="852"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1" t="s">
        <v>1385</v>
      </c>
      <c r="G1056" s="1351" t="str">
        <f>IF(T1056&lt;&gt;"","C","")</f>
        <v/>
      </c>
      <c r="H1056" s="1351" t="s">
        <v>1990</v>
      </c>
      <c r="I1056" s="1307" t="str">
        <f t="shared" si="174"/>
        <v/>
      </c>
      <c r="J1056" s="1351"/>
      <c r="K1056" s="1351" t="str">
        <f t="shared" si="175"/>
        <v/>
      </c>
      <c r="L1056" s="852"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1" t="s">
        <v>1386</v>
      </c>
      <c r="G1057" s="1351" t="str">
        <f>IF(T1057&lt;&gt;"","D","")</f>
        <v/>
      </c>
      <c r="H1057" s="1351" t="s">
        <v>1990</v>
      </c>
      <c r="I1057" s="1307" t="str">
        <f t="shared" si="174"/>
        <v/>
      </c>
      <c r="J1057" s="1351"/>
      <c r="K1057" s="1351" t="str">
        <f t="shared" si="175"/>
        <v/>
      </c>
      <c r="L1057" s="852"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1" t="s">
        <v>1495</v>
      </c>
      <c r="G1058" s="1351" t="str">
        <f>IF(T1058&lt;&gt;"","AN","")</f>
        <v/>
      </c>
      <c r="H1058" s="1351" t="s">
        <v>1990</v>
      </c>
      <c r="I1058" s="1307" t="str">
        <f t="shared" si="174"/>
        <v/>
      </c>
      <c r="J1058" s="1351" t="str">
        <f t="shared" si="182"/>
        <v/>
      </c>
      <c r="K1058" s="1351" t="str">
        <f t="shared" si="175"/>
        <v/>
      </c>
      <c r="L1058" s="852"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1" t="s">
        <v>1492</v>
      </c>
      <c r="G1059" s="1351" t="str">
        <f>IF(T1059&lt;&gt;"","AL","")</f>
        <v/>
      </c>
      <c r="H1059" s="1351" t="s">
        <v>1990</v>
      </c>
      <c r="I1059" s="1307" t="str">
        <f t="shared" si="174"/>
        <v/>
      </c>
      <c r="J1059" s="1351" t="str">
        <f t="shared" si="182"/>
        <v/>
      </c>
      <c r="K1059" s="1351" t="str">
        <f t="shared" si="175"/>
        <v/>
      </c>
      <c r="L1059" s="852"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0" t="s">
        <v>1396</v>
      </c>
      <c r="G1060" s="1390" t="str">
        <f>IF(T1060&lt;&gt;"","S","")</f>
        <v/>
      </c>
      <c r="H1060" s="1390" t="s">
        <v>1990</v>
      </c>
      <c r="I1060" s="1307" t="str">
        <f t="shared" si="174"/>
        <v/>
      </c>
      <c r="J1060" s="1351" t="str">
        <f t="shared" si="182"/>
        <v/>
      </c>
      <c r="K1060" s="1351" t="str">
        <f t="shared" si="175"/>
        <v/>
      </c>
      <c r="L1060" s="852"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1"/>
      <c r="G1061" s="1351"/>
      <c r="H1061" s="1351"/>
      <c r="I1061" s="1307" t="str">
        <f t="shared" si="174"/>
        <v/>
      </c>
      <c r="J1061" s="1351" t="str">
        <f t="shared" si="182"/>
        <v/>
      </c>
      <c r="K1061" s="1351" t="str">
        <f t="shared" si="175"/>
        <v/>
      </c>
      <c r="L1061" s="852"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7" t="str">
        <f t="shared" si="174"/>
        <v/>
      </c>
      <c r="J1062" s="1351" t="str">
        <f t="shared" si="182"/>
        <v/>
      </c>
      <c r="K1062" s="1351" t="str">
        <f t="shared" si="175"/>
        <v/>
      </c>
      <c r="L1062" s="852"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1" t="s">
        <v>1479</v>
      </c>
      <c r="G1063" s="1351" t="str">
        <f>IF(T1063&lt;&gt;"","AY","")</f>
        <v/>
      </c>
      <c r="H1063" s="1351" t="s">
        <v>1990</v>
      </c>
      <c r="I1063" s="1307" t="str">
        <f t="shared" si="174"/>
        <v/>
      </c>
      <c r="J1063" s="1351" t="str">
        <f t="shared" si="182"/>
        <v/>
      </c>
      <c r="K1063" s="1351" t="str">
        <f t="shared" si="175"/>
        <v/>
      </c>
      <c r="L1063" s="853"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0" t="s">
        <v>1402</v>
      </c>
      <c r="G1065" s="1351" t="str">
        <f>IF(T1065&lt;&gt;"","AT","")</f>
        <v/>
      </c>
      <c r="H1065" s="1351" t="s">
        <v>1990</v>
      </c>
      <c r="I1065" s="1307" t="str">
        <f t="shared" si="174"/>
        <v/>
      </c>
      <c r="J1065" s="1351" t="str">
        <f t="shared" si="182"/>
        <v/>
      </c>
      <c r="K1065" s="1351" t="str">
        <f t="shared" si="175"/>
        <v/>
      </c>
      <c r="L1065" s="852"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1"/>
      <c r="G1066" s="1351"/>
      <c r="H1066" s="1351"/>
      <c r="I1066" s="1307" t="str">
        <f t="shared" si="174"/>
        <v/>
      </c>
      <c r="J1066" s="1351" t="str">
        <f t="shared" si="182"/>
        <v/>
      </c>
      <c r="K1066" s="1351" t="str">
        <f t="shared" si="175"/>
        <v/>
      </c>
      <c r="L1066" s="852"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1" t="s">
        <v>1491</v>
      </c>
      <c r="G1068" s="1351" t="str">
        <f>IF(T1068&lt;&gt;"","A","")</f>
        <v/>
      </c>
      <c r="H1068" s="1351" t="s">
        <v>1990</v>
      </c>
      <c r="I1068" s="1307" t="str">
        <f t="shared" si="174"/>
        <v/>
      </c>
      <c r="J1068" s="1351"/>
      <c r="K1068" s="1351" t="str">
        <f t="shared" si="175"/>
        <v/>
      </c>
      <c r="L1068" s="852"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1"/>
      <c r="G1069" s="1351"/>
      <c r="H1069" s="1351"/>
      <c r="I1069" s="1307" t="str">
        <f t="shared" si="174"/>
        <v/>
      </c>
      <c r="J1069" s="1351" t="str">
        <f t="shared" ref="J1069:J1083" si="185">IF(M1069&lt;&gt;"",IF($Q$1069="Yes",Q$1&amp;M1069,""))</f>
        <v/>
      </c>
      <c r="K1069" s="1351" t="str">
        <f t="shared" si="175"/>
        <v/>
      </c>
      <c r="L1069" s="852"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1" t="s">
        <v>1383</v>
      </c>
      <c r="G1070" s="1351" t="str">
        <f>IF(T1070&lt;&gt;"","B","")</f>
        <v/>
      </c>
      <c r="H1070" s="1351" t="s">
        <v>1990</v>
      </c>
      <c r="I1070" s="1307" t="str">
        <f t="shared" si="174"/>
        <v/>
      </c>
      <c r="J1070" s="1351"/>
      <c r="K1070" s="1351" t="str">
        <f t="shared" si="175"/>
        <v/>
      </c>
      <c r="L1070" s="852"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1" t="s">
        <v>1992</v>
      </c>
      <c r="G1071" s="1351" t="str">
        <f>IF(T1071&lt;&gt;"","I","")</f>
        <v/>
      </c>
      <c r="H1071" s="1351" t="s">
        <v>1990</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1" t="s">
        <v>1382</v>
      </c>
      <c r="G1072" s="1351" t="str">
        <f>IF(T1072&lt;&gt;"",IF(Q1071="Credit Memo","J",IF(Q1071="Check","K","")),"")</f>
        <v/>
      </c>
      <c r="H1072" s="1351" t="s">
        <v>1990</v>
      </c>
      <c r="I1072" s="1307" t="str">
        <f t="shared" si="174"/>
        <v/>
      </c>
      <c r="J1072" s="1351" t="str">
        <f t="shared" si="185"/>
        <v/>
      </c>
      <c r="K1072" s="1351" t="str">
        <f t="shared" si="175"/>
        <v/>
      </c>
      <c r="L1072" s="852"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1" t="s">
        <v>1385</v>
      </c>
      <c r="G1073" s="1351" t="str">
        <f>IF(T1073&lt;&gt;"","C","")</f>
        <v/>
      </c>
      <c r="H1073" s="1351" t="s">
        <v>1990</v>
      </c>
      <c r="I1073" s="1307" t="str">
        <f t="shared" si="174"/>
        <v/>
      </c>
      <c r="J1073" s="1351"/>
      <c r="K1073" s="1351" t="str">
        <f t="shared" si="175"/>
        <v/>
      </c>
      <c r="L1073" s="852"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1" t="s">
        <v>1386</v>
      </c>
      <c r="G1074" s="1351" t="str">
        <f>IF(T1074&lt;&gt;"","D","")</f>
        <v/>
      </c>
      <c r="H1074" s="1351" t="s">
        <v>1990</v>
      </c>
      <c r="I1074" s="1307" t="str">
        <f t="shared" si="174"/>
        <v/>
      </c>
      <c r="J1074" s="1351"/>
      <c r="K1074" s="1351" t="str">
        <f t="shared" si="175"/>
        <v/>
      </c>
      <c r="L1074" s="852"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1" t="s">
        <v>1495</v>
      </c>
      <c r="G1075" s="1351" t="str">
        <f>IF(T1075&lt;&gt;"","AN","")</f>
        <v/>
      </c>
      <c r="H1075" s="1351" t="s">
        <v>1990</v>
      </c>
      <c r="I1075" s="1307" t="str">
        <f t="shared" si="174"/>
        <v/>
      </c>
      <c r="J1075" s="1351" t="str">
        <f t="shared" si="185"/>
        <v/>
      </c>
      <c r="K1075" s="1351" t="str">
        <f t="shared" si="175"/>
        <v/>
      </c>
      <c r="L1075" s="852"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1" t="s">
        <v>1492</v>
      </c>
      <c r="G1076" s="1351" t="str">
        <f>IF(T1076&lt;&gt;"","AL","")</f>
        <v/>
      </c>
      <c r="H1076" s="1351" t="s">
        <v>1990</v>
      </c>
      <c r="I1076" s="1307" t="str">
        <f t="shared" si="174"/>
        <v/>
      </c>
      <c r="J1076" s="1351" t="str">
        <f t="shared" si="185"/>
        <v/>
      </c>
      <c r="K1076" s="1351" t="str">
        <f t="shared" si="175"/>
        <v/>
      </c>
      <c r="L1076" s="852"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0" t="s">
        <v>1396</v>
      </c>
      <c r="G1077" s="1390" t="str">
        <f>IF(T1077&lt;&gt;"","S","")</f>
        <v/>
      </c>
      <c r="H1077" s="1390" t="s">
        <v>1990</v>
      </c>
      <c r="I1077" s="1307" t="str">
        <f t="shared" si="174"/>
        <v/>
      </c>
      <c r="J1077" s="1351" t="str">
        <f t="shared" si="185"/>
        <v/>
      </c>
      <c r="K1077" s="1351" t="str">
        <f t="shared" si="175"/>
        <v/>
      </c>
      <c r="L1077" s="852"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1"/>
      <c r="G1078" s="1351"/>
      <c r="H1078" s="1351"/>
      <c r="I1078" s="1307" t="str">
        <f t="shared" si="174"/>
        <v/>
      </c>
      <c r="J1078" s="1351" t="str">
        <f t="shared" si="185"/>
        <v/>
      </c>
      <c r="K1078" s="1351" t="str">
        <f t="shared" si="175"/>
        <v/>
      </c>
      <c r="L1078" s="852"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1" t="s">
        <v>1479</v>
      </c>
      <c r="G1079" s="1351" t="str">
        <f>IF(T1079&lt;&gt;"","AY","")</f>
        <v/>
      </c>
      <c r="H1079" s="1351" t="s">
        <v>1990</v>
      </c>
      <c r="I1079" s="1307" t="str">
        <f t="shared" si="174"/>
        <v/>
      </c>
      <c r="J1079" s="1351" t="str">
        <f t="shared" si="185"/>
        <v/>
      </c>
      <c r="K1079" s="1351" t="str">
        <f t="shared" si="175"/>
        <v/>
      </c>
      <c r="L1079" s="853"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0" t="s">
        <v>1402</v>
      </c>
      <c r="G1081" s="1351" t="str">
        <f>IF(T1081&lt;&gt;"","AT","")</f>
        <v/>
      </c>
      <c r="H1081" s="1351" t="s">
        <v>1990</v>
      </c>
      <c r="I1081" s="1307" t="str">
        <f t="shared" si="174"/>
        <v/>
      </c>
      <c r="J1081" s="1351" t="str">
        <f t="shared" si="185"/>
        <v/>
      </c>
      <c r="K1081" s="1351" t="str">
        <f t="shared" si="175"/>
        <v/>
      </c>
      <c r="L1081" s="852"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1"/>
      <c r="G1082" s="1351"/>
      <c r="H1082" s="1351"/>
      <c r="I1082" s="1307" t="str">
        <f t="shared" si="174"/>
        <v/>
      </c>
      <c r="J1082" s="1351" t="str">
        <f t="shared" si="185"/>
        <v/>
      </c>
      <c r="K1082" s="1351" t="str">
        <f t="shared" si="175"/>
        <v/>
      </c>
      <c r="L1082" s="852"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1" t="s">
        <v>1491</v>
      </c>
      <c r="G1084" s="1351" t="str">
        <f>IF(T1084&lt;&gt;"","A","")</f>
        <v/>
      </c>
      <c r="H1084" s="1351" t="s">
        <v>1990</v>
      </c>
      <c r="I1084" s="1307" t="str">
        <f t="shared" si="174"/>
        <v/>
      </c>
      <c r="J1084" s="1351"/>
      <c r="K1084" s="1351" t="str">
        <f t="shared" si="175"/>
        <v/>
      </c>
      <c r="L1084" s="852"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1"/>
      <c r="G1085" s="1351"/>
      <c r="H1085" s="1351"/>
      <c r="I1085" s="1307" t="str">
        <f t="shared" si="174"/>
        <v/>
      </c>
      <c r="J1085" s="1351" t="str">
        <f t="shared" ref="J1085:J1093" si="188">IF(M1085&lt;&gt;"",IF($Q$1085="Yes",Q$1&amp;M1085,""))</f>
        <v/>
      </c>
      <c r="K1085" s="1351" t="str">
        <f t="shared" si="175"/>
        <v/>
      </c>
      <c r="L1085" s="852"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1" t="s">
        <v>1383</v>
      </c>
      <c r="G1086" s="1351" t="str">
        <f>IF(T1086&lt;&gt;"","B","")</f>
        <v/>
      </c>
      <c r="H1086" s="1351" t="s">
        <v>1990</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1" t="s">
        <v>1992</v>
      </c>
      <c r="G1087" s="1351" t="str">
        <f>IF(T1087&lt;&gt;"","I","")</f>
        <v/>
      </c>
      <c r="H1087" s="1351" t="s">
        <v>1990</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1" t="s">
        <v>1382</v>
      </c>
      <c r="G1088" s="1351" t="str">
        <f>IF(T1088&lt;&gt;"",IF(Q1087="Credit Memo","J",IF(Q1087="Check","K","")),"")</f>
        <v/>
      </c>
      <c r="H1088" s="1351" t="s">
        <v>1990</v>
      </c>
      <c r="I1088" s="1307" t="str">
        <f t="shared" si="174"/>
        <v/>
      </c>
      <c r="J1088" s="1351" t="str">
        <f t="shared" si="188"/>
        <v/>
      </c>
      <c r="K1088" s="1351" t="str">
        <f t="shared" si="175"/>
        <v/>
      </c>
      <c r="L1088" s="852"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1" t="s">
        <v>1385</v>
      </c>
      <c r="G1089" s="1351" t="str">
        <f>IF(T1089&lt;&gt;"","C","")</f>
        <v/>
      </c>
      <c r="H1089" s="1351" t="s">
        <v>1990</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1" t="s">
        <v>1386</v>
      </c>
      <c r="G1090" s="1351" t="str">
        <f>IF(T1090&lt;&gt;"","D","")</f>
        <v/>
      </c>
      <c r="H1090" s="1351" t="s">
        <v>1990</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1" t="s">
        <v>1495</v>
      </c>
      <c r="G1091" s="1351" t="str">
        <f>IF(T1091&lt;&gt;"","AN","")</f>
        <v/>
      </c>
      <c r="H1091" s="1351" t="s">
        <v>1990</v>
      </c>
      <c r="I1091" s="1307" t="str">
        <f t="shared" si="174"/>
        <v/>
      </c>
      <c r="J1091" s="1351" t="str">
        <f t="shared" si="188"/>
        <v/>
      </c>
      <c r="K1091" s="1351" t="str">
        <f t="shared" si="175"/>
        <v/>
      </c>
      <c r="L1091" s="852"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2"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0" t="s">
        <v>1396</v>
      </c>
      <c r="G1093" s="1390" t="str">
        <f>IF(T1093&lt;&gt;"","S","")</f>
        <v/>
      </c>
      <c r="H1093" s="1390" t="s">
        <v>1990</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1" t="s">
        <v>1491</v>
      </c>
      <c r="G1094" s="1351" t="str">
        <f>IF(T1094&lt;&gt;"","A","")</f>
        <v/>
      </c>
      <c r="H1094" s="1351" t="s">
        <v>1990</v>
      </c>
      <c r="I1094" s="1307" t="str">
        <f t="shared" si="190"/>
        <v/>
      </c>
      <c r="J1094" s="1351"/>
      <c r="K1094" s="1351" t="str">
        <f t="shared" si="191"/>
        <v/>
      </c>
      <c r="L1094" s="852"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1"/>
      <c r="G1095" s="1351"/>
      <c r="H1095" s="1351"/>
      <c r="I1095" s="1307" t="str">
        <f t="shared" si="190"/>
        <v/>
      </c>
      <c r="J1095" s="1351" t="str">
        <f>IF(M1095&lt;&gt;"",IF($Q$1095="Yes",Q$1&amp;M1095,""))</f>
        <v/>
      </c>
      <c r="K1095" s="1351" t="str">
        <f t="shared" si="191"/>
        <v/>
      </c>
      <c r="L1095" s="852"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1" t="s">
        <v>1383</v>
      </c>
      <c r="G1096" s="1351" t="str">
        <f>IF(T1096&lt;&gt;"","B","")</f>
        <v/>
      </c>
      <c r="H1096" s="1351" t="s">
        <v>1990</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1" t="s">
        <v>1992</v>
      </c>
      <c r="G1097" s="1351" t="str">
        <f>IF(T1097&lt;&gt;"","I","")</f>
        <v/>
      </c>
      <c r="H1097" s="1351" t="s">
        <v>1990</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2"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1" t="s">
        <v>1385</v>
      </c>
      <c r="G1099" s="1351" t="str">
        <f>IF(T1099&lt;&gt;"","C","")</f>
        <v/>
      </c>
      <c r="H1099" s="1351" t="s">
        <v>1990</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1" t="s">
        <v>1386</v>
      </c>
      <c r="G1100" s="1351" t="str">
        <f>IF(T1100&lt;&gt;"","D","")</f>
        <v/>
      </c>
      <c r="H1100" s="1351" t="s">
        <v>1990</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1" t="s">
        <v>1495</v>
      </c>
      <c r="G1101" s="1351" t="str">
        <f>IF(T1101&lt;&gt;"","AN","")</f>
        <v/>
      </c>
      <c r="H1101" s="1351" t="s">
        <v>1990</v>
      </c>
      <c r="I1101" s="1307" t="str">
        <f t="shared" si="190"/>
        <v/>
      </c>
      <c r="J1101" s="1390" t="str">
        <f>IF(M1101&lt;&gt;"",IF($Q$1095="Yes",Q$1&amp;M1101,""))</f>
        <v/>
      </c>
      <c r="K1101" s="1351" t="str">
        <f t="shared" si="191"/>
        <v/>
      </c>
      <c r="L1101" s="852"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1" t="s">
        <v>1492</v>
      </c>
      <c r="G1102" s="1351" t="str">
        <f>IF(T1102&lt;&gt;"","AL","")</f>
        <v/>
      </c>
      <c r="H1102" s="1351" t="s">
        <v>1990</v>
      </c>
      <c r="I1102" s="1307" t="str">
        <f t="shared" si="190"/>
        <v/>
      </c>
      <c r="J1102" s="1390" t="str">
        <f>IF(M1102&lt;&gt;"",IF($Q$1095="Yes",Q$1&amp;M1102,""))</f>
        <v/>
      </c>
      <c r="K1102" s="1351" t="str">
        <f t="shared" si="191"/>
        <v/>
      </c>
      <c r="L1102" s="852"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0" t="s">
        <v>1396</v>
      </c>
      <c r="G1103" s="1390" t="str">
        <f>IF(T1103&lt;&gt;"","S","")</f>
        <v/>
      </c>
      <c r="H1103" s="1390" t="s">
        <v>1990</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1" t="s">
        <v>1491</v>
      </c>
      <c r="G1104" s="1351" t="str">
        <f>IF(T1104&lt;&gt;"","A","")</f>
        <v/>
      </c>
      <c r="H1104" s="1351" t="s">
        <v>1990</v>
      </c>
      <c r="I1104" s="1307" t="str">
        <f t="shared" si="190"/>
        <v/>
      </c>
      <c r="J1104" s="1351"/>
      <c r="K1104" s="1351" t="str">
        <f t="shared" si="191"/>
        <v/>
      </c>
      <c r="L1104" s="852"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1"/>
      <c r="G1105" s="1351"/>
      <c r="H1105" s="1351"/>
      <c r="I1105" s="1307" t="str">
        <f t="shared" si="190"/>
        <v/>
      </c>
      <c r="J1105" s="1351" t="str">
        <f t="shared" ref="J1105:J1132" si="193">IF(M1105&lt;&gt;"",IF($Q$1105="Yes",Q$1&amp;M1105,""))</f>
        <v/>
      </c>
      <c r="K1105" s="1351" t="str">
        <f t="shared" si="191"/>
        <v/>
      </c>
      <c r="L1105" s="852"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1" t="s">
        <v>1383</v>
      </c>
      <c r="G1106" s="1351" t="str">
        <f>IF(T1106&lt;&gt;"","B","")</f>
        <v/>
      </c>
      <c r="H1106" s="1351" t="s">
        <v>1990</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1" t="s">
        <v>1991</v>
      </c>
      <c r="G1107" s="1351" t="str">
        <f>IF(T1107&lt;&gt;"","E","")</f>
        <v/>
      </c>
      <c r="H1107" s="1351" t="s">
        <v>1990</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1" t="s">
        <v>1992</v>
      </c>
      <c r="G1108" s="1351" t="str">
        <f>IF(T1108&lt;&gt;"","I","")</f>
        <v/>
      </c>
      <c r="H1108" s="1351" t="s">
        <v>1990</v>
      </c>
      <c r="I1108" s="1307" t="str">
        <f t="shared" si="190"/>
        <v/>
      </c>
      <c r="J1108" s="1351" t="str">
        <f t="shared" si="193"/>
        <v/>
      </c>
      <c r="K1108" s="1351" t="str">
        <f t="shared" si="191"/>
        <v/>
      </c>
      <c r="L1108" s="852"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1" t="s">
        <v>1382</v>
      </c>
      <c r="G1109" s="1351" t="str">
        <f>IF(T1109&lt;&gt;"",IF(Q1108="Credit Memo","J",IF(Q1108="Check","K","")),"")</f>
        <v/>
      </c>
      <c r="H1109" s="1351" t="s">
        <v>1990</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1" t="s">
        <v>1995</v>
      </c>
      <c r="G1110" s="1351" t="str">
        <f>IF(T1110&lt;&gt;"","G","")</f>
        <v/>
      </c>
      <c r="H1110" s="1351" t="s">
        <v>1990</v>
      </c>
      <c r="I1110" s="1307" t="str">
        <f t="shared" si="190"/>
        <v/>
      </c>
      <c r="J1110" s="1351" t="str">
        <f t="shared" si="193"/>
        <v/>
      </c>
      <c r="K1110" s="1351" t="str">
        <f t="shared" si="191"/>
        <v/>
      </c>
      <c r="L1110" s="852"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1" t="str">
        <f>IF(T1111&lt;&gt;"","AW","")</f>
        <v/>
      </c>
      <c r="H1111" s="1351" t="s">
        <v>1990</v>
      </c>
      <c r="I1111" s="1307" t="str">
        <f t="shared" si="190"/>
        <v/>
      </c>
      <c r="J1111" s="1351" t="str">
        <f t="shared" si="193"/>
        <v/>
      </c>
      <c r="K1111" s="1351" t="str">
        <f t="shared" si="191"/>
        <v/>
      </c>
      <c r="L1111" s="852"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1" t="s">
        <v>1385</v>
      </c>
      <c r="G1112" s="1351" t="str">
        <f>IF(T1112&lt;&gt;"","C","")</f>
        <v/>
      </c>
      <c r="H1112" s="1351" t="s">
        <v>1990</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1" t="s">
        <v>1386</v>
      </c>
      <c r="G1113" s="1351" t="str">
        <f>IF(T1113&lt;&gt;"","D","")</f>
        <v/>
      </c>
      <c r="H1113" s="1351" t="s">
        <v>1990</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1" t="s">
        <v>1495</v>
      </c>
      <c r="G1114" s="1351" t="str">
        <f>IF(T1114&lt;&gt;"","AN","")</f>
        <v/>
      </c>
      <c r="H1114" s="1351" t="s">
        <v>1990</v>
      </c>
      <c r="I1114" s="1307" t="str">
        <f t="shared" si="190"/>
        <v/>
      </c>
      <c r="J1114" s="1351" t="str">
        <f t="shared" si="193"/>
        <v/>
      </c>
      <c r="K1114" s="1351" t="str">
        <f t="shared" si="191"/>
        <v/>
      </c>
      <c r="L1114" s="852"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1" t="s">
        <v>1492</v>
      </c>
      <c r="G1115" s="1351" t="str">
        <f>IF(T1115&lt;&gt;"","AL","")</f>
        <v/>
      </c>
      <c r="H1115" s="1351" t="s">
        <v>1990</v>
      </c>
      <c r="I1115" s="1307" t="str">
        <f t="shared" si="190"/>
        <v/>
      </c>
      <c r="J1115" s="1351" t="str">
        <f t="shared" si="193"/>
        <v/>
      </c>
      <c r="K1115" s="1351" t="str">
        <f t="shared" si="191"/>
        <v/>
      </c>
      <c r="L1115" s="852"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1" t="s">
        <v>1912</v>
      </c>
      <c r="G1116" s="1351" t="str">
        <f>IF(T1116&lt;&gt;"","O","")</f>
        <v/>
      </c>
      <c r="H1116" s="1351" t="s">
        <v>1990</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1" t="s">
        <v>1396</v>
      </c>
      <c r="G1117" s="1391" t="str">
        <f>IF(T1117&lt;&gt;"","S","")</f>
        <v/>
      </c>
      <c r="H1117" s="1391" t="s">
        <v>1990</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0"/>
      <c r="G1118" s="852"/>
      <c r="H1118" s="852"/>
      <c r="I1118" s="1307" t="str">
        <f t="shared" si="190"/>
        <v/>
      </c>
      <c r="J1118" s="1351" t="str">
        <f t="shared" si="193"/>
        <v/>
      </c>
      <c r="K1118" s="1351" t="str">
        <f t="shared" si="191"/>
        <v/>
      </c>
      <c r="L1118" s="852"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0"/>
      <c r="G1120" s="852"/>
      <c r="H1120" s="852"/>
      <c r="I1120" s="1307" t="str">
        <f t="shared" si="190"/>
        <v/>
      </c>
      <c r="J1120" s="1351" t="str">
        <f t="shared" si="193"/>
        <v/>
      </c>
      <c r="K1120" s="1351" t="str">
        <f t="shared" si="191"/>
        <v/>
      </c>
      <c r="L1120" s="852"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7" t="str">
        <f t="shared" si="190"/>
        <v/>
      </c>
      <c r="J1121" s="1351" t="str">
        <f t="shared" si="193"/>
        <v/>
      </c>
      <c r="K1121" s="1351" t="str">
        <f t="shared" si="191"/>
        <v/>
      </c>
      <c r="L1121" s="852"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7" t="str">
        <f t="shared" si="190"/>
        <v/>
      </c>
      <c r="J1123" s="1351" t="str">
        <f t="shared" si="193"/>
        <v/>
      </c>
      <c r="K1123" s="1351" t="str">
        <f t="shared" si="191"/>
        <v/>
      </c>
      <c r="L1123" s="852"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7" t="str">
        <f t="shared" si="190"/>
        <v/>
      </c>
      <c r="J1124" s="1351" t="str">
        <f t="shared" si="193"/>
        <v/>
      </c>
      <c r="K1124" s="1351" t="str">
        <f t="shared" si="191"/>
        <v/>
      </c>
      <c r="L1124" s="852"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7" t="str">
        <f t="shared" si="190"/>
        <v/>
      </c>
      <c r="J1126" s="1351" t="str">
        <f t="shared" si="193"/>
        <v/>
      </c>
      <c r="K1126" s="1351" t="str">
        <f t="shared" si="191"/>
        <v/>
      </c>
      <c r="L1126" s="852"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7" t="str">
        <f t="shared" si="190"/>
        <v/>
      </c>
      <c r="J1127" s="1351" t="str">
        <f t="shared" si="193"/>
        <v/>
      </c>
      <c r="K1127" s="1351" t="str">
        <f t="shared" si="191"/>
        <v/>
      </c>
      <c r="L1127" s="852"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7" t="str">
        <f t="shared" si="190"/>
        <v/>
      </c>
      <c r="J1129" s="1351" t="str">
        <f t="shared" si="193"/>
        <v/>
      </c>
      <c r="K1129" s="1351" t="str">
        <f t="shared" si="191"/>
        <v/>
      </c>
      <c r="L1129" s="852"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7" t="str">
        <f t="shared" si="190"/>
        <v/>
      </c>
      <c r="J1130" s="1351" t="str">
        <f t="shared" si="193"/>
        <v/>
      </c>
      <c r="K1130" s="1351" t="str">
        <f t="shared" si="191"/>
        <v/>
      </c>
      <c r="L1130" s="852"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7" t="str">
        <f t="shared" si="190"/>
        <v/>
      </c>
      <c r="J1132" s="1351" t="str">
        <f t="shared" si="193"/>
        <v/>
      </c>
      <c r="K1132" s="1351" t="str">
        <f t="shared" si="191"/>
        <v/>
      </c>
      <c r="L1132" s="852"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1" t="s">
        <v>1491</v>
      </c>
      <c r="G1133" s="1351" t="str">
        <f>IF(T1133&lt;&gt;"","A","")</f>
        <v/>
      </c>
      <c r="H1133" s="1351" t="s">
        <v>1990</v>
      </c>
      <c r="I1133" s="1307" t="str">
        <f t="shared" si="190"/>
        <v/>
      </c>
      <c r="J1133" s="1351"/>
      <c r="K1133" s="1351" t="str">
        <f t="shared" si="191"/>
        <v/>
      </c>
      <c r="L1133" s="852"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1"/>
      <c r="G1134" s="1351"/>
      <c r="H1134" s="1351"/>
      <c r="I1134" s="1307" t="str">
        <f t="shared" si="190"/>
        <v/>
      </c>
      <c r="J1134" s="1351" t="str">
        <f t="shared" ref="J1134:J1161" si="198">IF(M1134&lt;&gt;"",IF($Q$1134="Yes",Q$1&amp;M1134,""))</f>
        <v/>
      </c>
      <c r="K1134" s="1351" t="str">
        <f t="shared" si="191"/>
        <v/>
      </c>
      <c r="L1134" s="852"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1" t="s">
        <v>1383</v>
      </c>
      <c r="G1135" s="1351" t="str">
        <f>IF(T1135&lt;&gt;"","B","")</f>
        <v/>
      </c>
      <c r="H1135" s="1351" t="s">
        <v>1990</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1" t="s">
        <v>1991</v>
      </c>
      <c r="G1136" s="1351" t="str">
        <f>IF(T1136&lt;&gt;"","E","")</f>
        <v/>
      </c>
      <c r="H1136" s="1351" t="s">
        <v>1990</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1" t="s">
        <v>1992</v>
      </c>
      <c r="G1137" s="1351" t="str">
        <f>IF(T1137&lt;&gt;"","I","")</f>
        <v/>
      </c>
      <c r="H1137" s="1351" t="s">
        <v>1990</v>
      </c>
      <c r="I1137" s="1307" t="str">
        <f t="shared" si="190"/>
        <v/>
      </c>
      <c r="J1137" s="1351" t="str">
        <f t="shared" si="198"/>
        <v/>
      </c>
      <c r="K1137" s="1351" t="str">
        <f t="shared" si="191"/>
        <v/>
      </c>
      <c r="L1137" s="852"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1" t="s">
        <v>1382</v>
      </c>
      <c r="G1138" s="1351" t="str">
        <f>IF(T1138&lt;&gt;"",IF(Q1136="Credit Memo","J",IF(Q1136="Check","K","")),"")</f>
        <v/>
      </c>
      <c r="H1138" s="1351" t="s">
        <v>1990</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1" t="s">
        <v>1995</v>
      </c>
      <c r="G1139" s="1351" t="str">
        <f>IF(T1139&lt;&gt;"","G","")</f>
        <v/>
      </c>
      <c r="H1139" s="1351" t="s">
        <v>1990</v>
      </c>
      <c r="I1139" s="1307" t="str">
        <f t="shared" si="190"/>
        <v/>
      </c>
      <c r="J1139" s="1351" t="str">
        <f t="shared" si="198"/>
        <v/>
      </c>
      <c r="K1139" s="1351" t="str">
        <f t="shared" si="191"/>
        <v/>
      </c>
      <c r="L1139" s="852"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1" t="str">
        <f>IF(T1140&lt;&gt;"","AW","")</f>
        <v/>
      </c>
      <c r="H1140" s="1351" t="s">
        <v>1990</v>
      </c>
      <c r="I1140" s="1307" t="str">
        <f t="shared" si="190"/>
        <v/>
      </c>
      <c r="J1140" s="1351" t="str">
        <f t="shared" si="198"/>
        <v/>
      </c>
      <c r="K1140" s="1351" t="str">
        <f t="shared" si="191"/>
        <v/>
      </c>
      <c r="L1140" s="852"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1" t="s">
        <v>1385</v>
      </c>
      <c r="G1141" s="1351" t="str">
        <f>IF(T1141&lt;&gt;"","C","")</f>
        <v/>
      </c>
      <c r="H1141" s="1351" t="s">
        <v>1990</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1" t="s">
        <v>1386</v>
      </c>
      <c r="G1142" s="1351" t="str">
        <f>IF(T1142&lt;&gt;"","D","")</f>
        <v/>
      </c>
      <c r="H1142" s="1351" t="s">
        <v>1990</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1" t="s">
        <v>1495</v>
      </c>
      <c r="G1143" s="1351" t="str">
        <f>IF(T1143&lt;&gt;"","AN","")</f>
        <v/>
      </c>
      <c r="H1143" s="1351" t="s">
        <v>1990</v>
      </c>
      <c r="I1143" s="1307" t="str">
        <f t="shared" si="190"/>
        <v/>
      </c>
      <c r="J1143" s="1351" t="str">
        <f t="shared" si="198"/>
        <v/>
      </c>
      <c r="K1143" s="1351" t="str">
        <f t="shared" si="191"/>
        <v/>
      </c>
      <c r="L1143" s="852"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1" t="s">
        <v>1492</v>
      </c>
      <c r="G1144" s="1351" t="str">
        <f>IF(T1144&lt;&gt;"","AL","")</f>
        <v/>
      </c>
      <c r="H1144" s="1351" t="s">
        <v>1990</v>
      </c>
      <c r="I1144" s="1307" t="str">
        <f t="shared" si="190"/>
        <v/>
      </c>
      <c r="J1144" s="1351" t="str">
        <f t="shared" si="198"/>
        <v/>
      </c>
      <c r="K1144" s="1351" t="str">
        <f t="shared" si="191"/>
        <v/>
      </c>
      <c r="L1144" s="852"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1" t="s">
        <v>1912</v>
      </c>
      <c r="G1145" s="1351" t="str">
        <f>IF(T1145&lt;&gt;"","O","")</f>
        <v/>
      </c>
      <c r="H1145" s="1351" t="s">
        <v>1990</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1" t="s">
        <v>1396</v>
      </c>
      <c r="G1146" s="1391" t="str">
        <f>IF(T1146&lt;&gt;"","S","")</f>
        <v/>
      </c>
      <c r="H1146" s="1391" t="s">
        <v>1990</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0"/>
      <c r="G1147" s="852"/>
      <c r="H1147" s="852"/>
      <c r="I1147" s="1307" t="str">
        <f t="shared" si="190"/>
        <v/>
      </c>
      <c r="J1147" s="1351" t="str">
        <f t="shared" si="198"/>
        <v/>
      </c>
      <c r="K1147" s="1351" t="str">
        <f t="shared" si="191"/>
        <v/>
      </c>
      <c r="L1147" s="852"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0"/>
      <c r="G1149" s="852"/>
      <c r="H1149" s="852"/>
      <c r="I1149" s="1307" t="str">
        <f t="shared" si="190"/>
        <v/>
      </c>
      <c r="J1149" s="1351" t="str">
        <f t="shared" si="198"/>
        <v/>
      </c>
      <c r="K1149" s="1351" t="str">
        <f t="shared" si="191"/>
        <v/>
      </c>
      <c r="L1149" s="852"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7" t="str">
        <f t="shared" si="190"/>
        <v/>
      </c>
      <c r="J1150" s="1351" t="str">
        <f t="shared" si="198"/>
        <v/>
      </c>
      <c r="K1150" s="1351" t="str">
        <f t="shared" si="191"/>
        <v/>
      </c>
      <c r="L1150" s="852"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7" t="str">
        <f t="shared" si="190"/>
        <v/>
      </c>
      <c r="J1152" s="1351" t="str">
        <f t="shared" si="198"/>
        <v/>
      </c>
      <c r="K1152" s="1351" t="str">
        <f t="shared" si="191"/>
        <v/>
      </c>
      <c r="L1152" s="852"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7" t="str">
        <f t="shared" si="190"/>
        <v/>
      </c>
      <c r="J1153" s="1351" t="str">
        <f t="shared" si="198"/>
        <v/>
      </c>
      <c r="K1153" s="1351" t="str">
        <f t="shared" si="191"/>
        <v/>
      </c>
      <c r="L1153" s="852"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7" t="str">
        <f t="shared" si="190"/>
        <v/>
      </c>
      <c r="J1155" s="1351" t="str">
        <f t="shared" si="198"/>
        <v/>
      </c>
      <c r="K1155" s="1351" t="str">
        <f t="shared" si="191"/>
        <v/>
      </c>
      <c r="L1155" s="852"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7" t="str">
        <f t="shared" ref="I1156:I1219" si="203">IF(J1156&lt;&gt;"",A1156,"")</f>
        <v/>
      </c>
      <c r="J1156" s="1351" t="str">
        <f t="shared" si="198"/>
        <v/>
      </c>
      <c r="K1156" s="1351" t="str">
        <f t="shared" ref="K1156:K1219" si="204">IF(J1156&lt;&gt;"",E1156,"")</f>
        <v/>
      </c>
      <c r="L1156" s="852"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7" t="str">
        <f t="shared" si="203"/>
        <v/>
      </c>
      <c r="J1158" s="1351" t="str">
        <f t="shared" si="198"/>
        <v/>
      </c>
      <c r="K1158" s="1351" t="str">
        <f t="shared" si="204"/>
        <v/>
      </c>
      <c r="L1158" s="852"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7" t="str">
        <f t="shared" si="203"/>
        <v/>
      </c>
      <c r="J1159" s="1351" t="str">
        <f t="shared" si="198"/>
        <v/>
      </c>
      <c r="K1159" s="1351" t="str">
        <f t="shared" si="204"/>
        <v/>
      </c>
      <c r="L1159" s="852"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7" t="str">
        <f t="shared" si="203"/>
        <v/>
      </c>
      <c r="J1161" s="1351" t="str">
        <f t="shared" si="198"/>
        <v/>
      </c>
      <c r="K1161" s="1351" t="str">
        <f t="shared" si="204"/>
        <v/>
      </c>
      <c r="L1161" s="852"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1" t="s">
        <v>1491</v>
      </c>
      <c r="G1162" s="1351" t="str">
        <f>IF(T1162&lt;&gt;"","A","")</f>
        <v/>
      </c>
      <c r="H1162" s="1351" t="s">
        <v>1990</v>
      </c>
      <c r="I1162" s="1307" t="str">
        <f t="shared" si="203"/>
        <v/>
      </c>
      <c r="J1162" s="1351"/>
      <c r="K1162" s="1351" t="str">
        <f t="shared" si="204"/>
        <v/>
      </c>
      <c r="L1162" s="852"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1"/>
      <c r="G1163" s="1351"/>
      <c r="H1163" s="1351"/>
      <c r="I1163" s="1307" t="str">
        <f t="shared" si="203"/>
        <v/>
      </c>
      <c r="J1163" s="1351" t="str">
        <f t="shared" ref="J1163:J1186" si="205">IF(M1163&lt;&gt;"",IF($Q$1163="Yes",Q$1&amp;M1163,""))</f>
        <v/>
      </c>
      <c r="K1163" s="1351" t="str">
        <f t="shared" si="204"/>
        <v/>
      </c>
      <c r="L1163" s="852"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1" t="s">
        <v>1383</v>
      </c>
      <c r="G1164" s="1351" t="str">
        <f>IF(T1164&lt;&gt;"","B","")</f>
        <v/>
      </c>
      <c r="H1164" s="1351" t="s">
        <v>1990</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1" t="s">
        <v>1992</v>
      </c>
      <c r="G1165" s="1351" t="str">
        <f>IF(T1165&lt;&gt;"","I","")</f>
        <v/>
      </c>
      <c r="H1165" s="1351" t="s">
        <v>1990</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1" t="s">
        <v>1382</v>
      </c>
      <c r="G1166" s="1351" t="str">
        <f>IF(T1166&lt;&gt;"",IF(Q1165="Credit Memo","J",IF(Q1165="Check","K","")),"")</f>
        <v/>
      </c>
      <c r="H1166" s="1351" t="s">
        <v>1990</v>
      </c>
      <c r="I1166" s="1307" t="str">
        <f t="shared" si="203"/>
        <v/>
      </c>
      <c r="J1166" s="1351" t="str">
        <f t="shared" si="205"/>
        <v/>
      </c>
      <c r="K1166" s="1351" t="str">
        <f t="shared" si="204"/>
        <v/>
      </c>
      <c r="L1166" s="852"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1" t="s">
        <v>1385</v>
      </c>
      <c r="G1167" s="1351" t="str">
        <f>IF(T1167&lt;&gt;"","C","")</f>
        <v/>
      </c>
      <c r="H1167" s="1351" t="s">
        <v>1990</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1" t="s">
        <v>1386</v>
      </c>
      <c r="G1168" s="1351" t="str">
        <f>IF(T1168&lt;&gt;"","D","")</f>
        <v/>
      </c>
      <c r="H1168" s="1351" t="s">
        <v>1990</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1" t="s">
        <v>1495</v>
      </c>
      <c r="G1169" s="1351" t="str">
        <f>IF(T1169&lt;&gt;"","AN","")</f>
        <v/>
      </c>
      <c r="H1169" s="1351" t="s">
        <v>1990</v>
      </c>
      <c r="I1169" s="1307" t="str">
        <f t="shared" si="203"/>
        <v/>
      </c>
      <c r="J1169" s="1351" t="str">
        <f t="shared" si="205"/>
        <v/>
      </c>
      <c r="K1169" s="1351" t="str">
        <f t="shared" si="204"/>
        <v/>
      </c>
      <c r="L1169" s="852"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1" t="s">
        <v>1492</v>
      </c>
      <c r="G1170" s="1351" t="str">
        <f>IF(T1170&lt;&gt;"","AL","")</f>
        <v/>
      </c>
      <c r="H1170" s="1351" t="s">
        <v>1990</v>
      </c>
      <c r="I1170" s="1307" t="str">
        <f t="shared" si="203"/>
        <v/>
      </c>
      <c r="J1170" s="1351" t="str">
        <f t="shared" si="205"/>
        <v/>
      </c>
      <c r="K1170" s="1351" t="str">
        <f t="shared" si="204"/>
        <v/>
      </c>
      <c r="L1170" s="852"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1" t="s">
        <v>1396</v>
      </c>
      <c r="G1171" s="1391" t="str">
        <f>IF(T1171&lt;&gt;"","S","")</f>
        <v/>
      </c>
      <c r="H1171" s="1391" t="s">
        <v>1990</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0"/>
      <c r="G1172" s="852"/>
      <c r="H1172" s="852"/>
      <c r="I1172" s="1307" t="str">
        <f t="shared" si="203"/>
        <v/>
      </c>
      <c r="J1172" s="1351" t="str">
        <f t="shared" si="205"/>
        <v/>
      </c>
      <c r="K1172" s="1351" t="str">
        <f t="shared" si="204"/>
        <v/>
      </c>
      <c r="L1172" s="852"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0"/>
      <c r="G1174" s="852"/>
      <c r="H1174" s="852"/>
      <c r="I1174" s="1307" t="str">
        <f t="shared" si="203"/>
        <v/>
      </c>
      <c r="J1174" s="1351" t="str">
        <f t="shared" si="205"/>
        <v/>
      </c>
      <c r="K1174" s="1351" t="str">
        <f t="shared" si="204"/>
        <v/>
      </c>
      <c r="L1174" s="852"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7" t="str">
        <f t="shared" si="203"/>
        <v/>
      </c>
      <c r="J1175" s="1351" t="str">
        <f t="shared" si="205"/>
        <v/>
      </c>
      <c r="K1175" s="1351" t="str">
        <f t="shared" si="204"/>
        <v/>
      </c>
      <c r="L1175" s="852"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0"/>
      <c r="G1177" s="852"/>
      <c r="H1177" s="852"/>
      <c r="I1177" s="1307" t="str">
        <f t="shared" si="203"/>
        <v/>
      </c>
      <c r="J1177" s="1351" t="str">
        <f t="shared" si="205"/>
        <v/>
      </c>
      <c r="K1177" s="1351" t="str">
        <f t="shared" si="204"/>
        <v/>
      </c>
      <c r="L1177" s="852"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0"/>
      <c r="G1178" s="852"/>
      <c r="H1178" s="852"/>
      <c r="I1178" s="1307" t="str">
        <f t="shared" si="203"/>
        <v/>
      </c>
      <c r="J1178" s="1351" t="str">
        <f t="shared" si="205"/>
        <v/>
      </c>
      <c r="K1178" s="1351" t="str">
        <f t="shared" si="204"/>
        <v/>
      </c>
      <c r="L1178" s="852"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7" t="str">
        <f t="shared" si="203"/>
        <v/>
      </c>
      <c r="J1180" s="1351" t="str">
        <f t="shared" si="205"/>
        <v/>
      </c>
      <c r="K1180" s="1351" t="str">
        <f t="shared" si="204"/>
        <v/>
      </c>
      <c r="L1180" s="852"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7" t="str">
        <f t="shared" si="203"/>
        <v/>
      </c>
      <c r="J1181" s="1351" t="str">
        <f t="shared" si="205"/>
        <v/>
      </c>
      <c r="K1181" s="1351" t="str">
        <f t="shared" si="204"/>
        <v/>
      </c>
      <c r="L1181" s="852"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7" t="str">
        <f t="shared" si="203"/>
        <v/>
      </c>
      <c r="J1183" s="1351" t="str">
        <f t="shared" si="205"/>
        <v/>
      </c>
      <c r="K1183" s="1351" t="str">
        <f t="shared" si="204"/>
        <v/>
      </c>
      <c r="L1183" s="852"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7" t="str">
        <f t="shared" si="203"/>
        <v/>
      </c>
      <c r="J1184" s="1351" t="str">
        <f t="shared" si="205"/>
        <v/>
      </c>
      <c r="K1184" s="1351" t="str">
        <f t="shared" si="204"/>
        <v/>
      </c>
      <c r="L1184" s="852"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7" t="str">
        <f t="shared" si="203"/>
        <v/>
      </c>
      <c r="J1186" s="1351" t="str">
        <f t="shared" si="205"/>
        <v/>
      </c>
      <c r="K1186" s="1351" t="str">
        <f t="shared" si="204"/>
        <v/>
      </c>
      <c r="L1186" s="852"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1" t="s">
        <v>1491</v>
      </c>
      <c r="G1187" s="1351" t="str">
        <f>IF(T1187&lt;&gt;"","A","")</f>
        <v/>
      </c>
      <c r="H1187" s="1351" t="s">
        <v>1990</v>
      </c>
      <c r="I1187" s="1307" t="str">
        <f t="shared" si="203"/>
        <v/>
      </c>
      <c r="J1187" s="1351"/>
      <c r="K1187" s="1351" t="str">
        <f t="shared" si="204"/>
        <v/>
      </c>
      <c r="L1187" s="852"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1"/>
      <c r="G1188" s="1351"/>
      <c r="H1188" s="1351"/>
      <c r="I1188" s="1307" t="str">
        <f t="shared" si="203"/>
        <v/>
      </c>
      <c r="J1188" s="1351" t="str">
        <f t="shared" ref="J1188:J1211" si="208">IF(M1188&lt;&gt;"",IF($Q$1188="Yes",Q$1&amp;M1188,""))</f>
        <v/>
      </c>
      <c r="K1188" s="1351" t="str">
        <f t="shared" si="204"/>
        <v/>
      </c>
      <c r="L1188" s="852"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1" t="s">
        <v>1383</v>
      </c>
      <c r="G1189" s="1351" t="str">
        <f>IF(T1189&lt;&gt;"","B","")</f>
        <v/>
      </c>
      <c r="H1189" s="1351" t="s">
        <v>1990</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1" t="s">
        <v>1992</v>
      </c>
      <c r="G1190" s="1351" t="str">
        <f>IF(T1190&lt;&gt;"","I","")</f>
        <v/>
      </c>
      <c r="H1190" s="1351" t="s">
        <v>1990</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1" t="s">
        <v>1382</v>
      </c>
      <c r="G1191" s="1351" t="str">
        <f>IF(T1191&lt;&gt;"",IF(Q1189="Credit Memo","J",IF(Q1189="Check","K","")),"")</f>
        <v/>
      </c>
      <c r="H1191" s="1351" t="s">
        <v>1990</v>
      </c>
      <c r="I1191" s="1307" t="str">
        <f t="shared" si="203"/>
        <v/>
      </c>
      <c r="J1191" s="1351" t="str">
        <f t="shared" si="208"/>
        <v/>
      </c>
      <c r="K1191" s="1351" t="str">
        <f t="shared" si="204"/>
        <v/>
      </c>
      <c r="L1191" s="852"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1" t="s">
        <v>1385</v>
      </c>
      <c r="G1192" s="1351" t="str">
        <f>IF(T1192&lt;&gt;"","C","")</f>
        <v/>
      </c>
      <c r="H1192" s="1351" t="s">
        <v>1990</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1" t="s">
        <v>1386</v>
      </c>
      <c r="G1193" s="1351" t="str">
        <f>IF(T1193&lt;&gt;"","D","")</f>
        <v/>
      </c>
      <c r="H1193" s="1351" t="s">
        <v>1990</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1" t="s">
        <v>1495</v>
      </c>
      <c r="G1194" s="1351" t="str">
        <f>IF(T1194&lt;&gt;"","AN","")</f>
        <v/>
      </c>
      <c r="H1194" s="1351" t="s">
        <v>1990</v>
      </c>
      <c r="I1194" s="1307" t="str">
        <f t="shared" si="203"/>
        <v/>
      </c>
      <c r="J1194" s="1351" t="str">
        <f t="shared" si="208"/>
        <v/>
      </c>
      <c r="K1194" s="1351" t="str">
        <f t="shared" si="204"/>
        <v/>
      </c>
      <c r="L1194" s="852"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1" t="s">
        <v>1492</v>
      </c>
      <c r="G1195" s="1351" t="str">
        <f>IF(T1195&lt;&gt;"","AL","")</f>
        <v/>
      </c>
      <c r="H1195" s="1351" t="s">
        <v>1990</v>
      </c>
      <c r="I1195" s="1307" t="str">
        <f t="shared" si="203"/>
        <v/>
      </c>
      <c r="J1195" s="1351" t="str">
        <f t="shared" si="208"/>
        <v/>
      </c>
      <c r="K1195" s="1351" t="str">
        <f t="shared" si="204"/>
        <v/>
      </c>
      <c r="L1195" s="852"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1" t="s">
        <v>1396</v>
      </c>
      <c r="G1196" s="1391" t="str">
        <f>IF(T1196&lt;&gt;"","S","")</f>
        <v/>
      </c>
      <c r="H1196" s="1391" t="s">
        <v>1990</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0"/>
      <c r="G1197" s="852"/>
      <c r="H1197" s="852"/>
      <c r="I1197" s="1307" t="str">
        <f t="shared" si="203"/>
        <v/>
      </c>
      <c r="J1197" s="1351" t="str">
        <f t="shared" si="208"/>
        <v/>
      </c>
      <c r="K1197" s="1351" t="str">
        <f t="shared" si="204"/>
        <v/>
      </c>
      <c r="L1197" s="852"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0"/>
      <c r="G1199" s="852"/>
      <c r="H1199" s="852"/>
      <c r="I1199" s="1307" t="str">
        <f t="shared" si="203"/>
        <v/>
      </c>
      <c r="J1199" s="1351" t="str">
        <f t="shared" si="208"/>
        <v/>
      </c>
      <c r="K1199" s="1351" t="str">
        <f t="shared" si="204"/>
        <v/>
      </c>
      <c r="L1199" s="852"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7" t="str">
        <f t="shared" si="203"/>
        <v/>
      </c>
      <c r="J1200" s="1351" t="str">
        <f t="shared" si="208"/>
        <v/>
      </c>
      <c r="K1200" s="1351" t="str">
        <f t="shared" si="204"/>
        <v/>
      </c>
      <c r="L1200" s="852"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0"/>
      <c r="G1202" s="852"/>
      <c r="H1202" s="852"/>
      <c r="I1202" s="1307" t="str">
        <f t="shared" si="203"/>
        <v/>
      </c>
      <c r="J1202" s="1351" t="str">
        <f t="shared" si="208"/>
        <v/>
      </c>
      <c r="K1202" s="1351" t="str">
        <f t="shared" si="204"/>
        <v/>
      </c>
      <c r="L1202" s="852"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0"/>
      <c r="G1203" s="852"/>
      <c r="H1203" s="852"/>
      <c r="I1203" s="1307" t="str">
        <f t="shared" si="203"/>
        <v/>
      </c>
      <c r="J1203" s="1351" t="str">
        <f t="shared" si="208"/>
        <v/>
      </c>
      <c r="K1203" s="1351" t="str">
        <f t="shared" si="204"/>
        <v/>
      </c>
      <c r="L1203" s="852"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7" t="str">
        <f t="shared" si="203"/>
        <v/>
      </c>
      <c r="J1205" s="1351" t="str">
        <f t="shared" si="208"/>
        <v/>
      </c>
      <c r="K1205" s="1351" t="str">
        <f t="shared" si="204"/>
        <v/>
      </c>
      <c r="L1205" s="852"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7" t="str">
        <f t="shared" si="203"/>
        <v/>
      </c>
      <c r="J1206" s="1351" t="str">
        <f t="shared" si="208"/>
        <v/>
      </c>
      <c r="K1206" s="1351" t="str">
        <f t="shared" si="204"/>
        <v/>
      </c>
      <c r="L1206" s="852"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7" t="str">
        <f t="shared" si="203"/>
        <v/>
      </c>
      <c r="J1208" s="1351" t="str">
        <f t="shared" si="208"/>
        <v/>
      </c>
      <c r="K1208" s="1351" t="str">
        <f t="shared" si="204"/>
        <v/>
      </c>
      <c r="L1208" s="852"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7" t="str">
        <f t="shared" si="203"/>
        <v/>
      </c>
      <c r="J1209" s="1351" t="str">
        <f t="shared" si="208"/>
        <v/>
      </c>
      <c r="K1209" s="1351" t="str">
        <f t="shared" si="204"/>
        <v/>
      </c>
      <c r="L1209" s="852"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7" t="str">
        <f t="shared" si="203"/>
        <v/>
      </c>
      <c r="J1211" s="1351" t="str">
        <f t="shared" si="208"/>
        <v/>
      </c>
      <c r="K1211" s="1351" t="str">
        <f t="shared" si="204"/>
        <v/>
      </c>
      <c r="L1211" s="852"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1" t="s">
        <v>1491</v>
      </c>
      <c r="G1212" s="1351" t="str">
        <f>IF(T1212&lt;&gt;"","A","")</f>
        <v/>
      </c>
      <c r="H1212" s="1351" t="s">
        <v>1990</v>
      </c>
      <c r="I1212" s="1307" t="str">
        <f t="shared" si="203"/>
        <v/>
      </c>
      <c r="J1212" s="1351"/>
      <c r="K1212" s="1351" t="str">
        <f t="shared" si="204"/>
        <v/>
      </c>
      <c r="L1212" s="852"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1"/>
      <c r="G1213" s="1351"/>
      <c r="H1213" s="1351"/>
      <c r="I1213" s="1307" t="str">
        <f t="shared" si="203"/>
        <v/>
      </c>
      <c r="J1213" s="1351" t="str">
        <f t="shared" ref="J1213:J1218" si="211">IF(M1213&lt;&gt;"",IF($Q$1213="Yes",Q$1&amp;M1213,""))</f>
        <v/>
      </c>
      <c r="K1213" s="1351" t="str">
        <f t="shared" si="204"/>
        <v/>
      </c>
      <c r="L1213" s="852"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1" t="s">
        <v>1383</v>
      </c>
      <c r="G1214" s="1351" t="str">
        <f>IF(T1214&lt;&gt;"","B","")</f>
        <v/>
      </c>
      <c r="H1214" s="1351" t="s">
        <v>1990</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1" t="s">
        <v>1992</v>
      </c>
      <c r="G1215" s="1351" t="str">
        <f>IF(T1215&lt;&gt;"","I","")</f>
        <v/>
      </c>
      <c r="H1215" s="1351" t="s">
        <v>1990</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1" t="s">
        <v>1385</v>
      </c>
      <c r="G1216" s="1351" t="str">
        <f>IF(T1216&lt;&gt;"","C","")</f>
        <v/>
      </c>
      <c r="H1216" s="1351" t="s">
        <v>1990</v>
      </c>
      <c r="I1216" s="1307" t="str">
        <f t="shared" si="203"/>
        <v/>
      </c>
      <c r="J1216" s="1351"/>
      <c r="K1216" s="1351" t="str">
        <f t="shared" si="204"/>
        <v/>
      </c>
      <c r="L1216" s="852"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1" t="s">
        <v>1386</v>
      </c>
      <c r="G1217" s="1351" t="str">
        <f>IF(T1217&lt;&gt;"","D","")</f>
        <v/>
      </c>
      <c r="H1217" s="1351" t="s">
        <v>1990</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1" t="s">
        <v>1495</v>
      </c>
      <c r="G1218" s="1351" t="str">
        <f>IF(T1218&lt;&gt;"","AN","")</f>
        <v/>
      </c>
      <c r="H1218" s="1351" t="s">
        <v>1990</v>
      </c>
      <c r="I1218" s="1307" t="str">
        <f t="shared" si="203"/>
        <v/>
      </c>
      <c r="J1218" s="1351" t="str">
        <f t="shared" si="211"/>
        <v/>
      </c>
      <c r="K1218" s="1351" t="str">
        <f t="shared" si="204"/>
        <v/>
      </c>
      <c r="L1218" s="852"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1" t="s">
        <v>1997</v>
      </c>
      <c r="G1219" s="1351" t="str">
        <f>IF(T1219&lt;&gt;"","T","")</f>
        <v/>
      </c>
      <c r="H1219" s="1351" t="s">
        <v>1990</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7" t="s">
        <v>1350</v>
      </c>
      <c r="E1220" s="817"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7"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6" t="s">
        <v>1474</v>
      </c>
      <c r="B1502" s="1307" t="str">
        <f>IFERROR(_xlfn.CONCAT("I",('Configurable Tab'!$C$19+4)),"")</f>
        <v>I186</v>
      </c>
      <c r="C1502" s="1307" t="str">
        <f>IFERROR(_xlfn.CONCAT("I",('Configurable Tab'!$C$19+5)),"")</f>
        <v>I187</v>
      </c>
      <c r="D1502" s="1351" t="s">
        <v>1350</v>
      </c>
      <c r="E1502" s="817" t="s">
        <v>1742</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6" t="s">
        <v>1475</v>
      </c>
      <c r="B1503" s="1307" t="str">
        <f>IFERROR(_xlfn.CONCAT("K",('Configurable Tab'!$C$19+4)),"")</f>
        <v>K186</v>
      </c>
      <c r="C1503" s="1307" t="str">
        <f>IFERROR(_xlfn.CONCAT("K",('Configurable Tab'!$C$19+5)),"")</f>
        <v>K187</v>
      </c>
      <c r="D1503" s="1351" t="s">
        <v>1350</v>
      </c>
      <c r="E1503" s="817" t="s">
        <v>1742</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1742</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6" t="s">
        <v>1478</v>
      </c>
      <c r="B1505" s="1307" t="str">
        <f>IFERROR(_xlfn.CONCAT("G",('Configurable Tab'!$C$19+7)),"")</f>
        <v>G189</v>
      </c>
      <c r="C1505" s="1307" t="str">
        <f>IFERROR(_xlfn.CONCAT("G",('Configurable Tab'!$C$19+8)),"")</f>
        <v>G190</v>
      </c>
      <c r="D1505" s="1351" t="s">
        <v>1350</v>
      </c>
      <c r="E1505" s="817" t="s">
        <v>1742</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6" t="s">
        <v>1479</v>
      </c>
      <c r="B1506" s="1307" t="str">
        <f>IFERROR(_xlfn.CONCAT("I",('Configurable Tab'!$C$19+7)),"")</f>
        <v>I189</v>
      </c>
      <c r="C1506" s="1307" t="str">
        <f>IFERROR(_xlfn.CONCAT("I",('Configurable Tab'!$C$19+8)),"")</f>
        <v>I190</v>
      </c>
      <c r="D1506" s="1351" t="s">
        <v>1350</v>
      </c>
      <c r="E1506" s="817"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6" t="s">
        <v>1480</v>
      </c>
      <c r="B1508" s="1307" t="str">
        <f>IFERROR(_xlfn.CONCAT("M",('Configurable Tab'!$C$19+7)),"")</f>
        <v>M189</v>
      </c>
      <c r="C1508" s="1307" t="str">
        <f>IFERROR(_xlfn.CONCAT("M",('Configurable Tab'!$C$19+8)),"")</f>
        <v>M190</v>
      </c>
      <c r="D1508" s="1351" t="s">
        <v>1350</v>
      </c>
      <c r="E1508" s="817"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7"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7"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7"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7"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7"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7"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7"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7"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7"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7"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1920</v>
      </c>
      <c r="G1610" s="816" t="s">
        <v>1355</v>
      </c>
      <c r="H1610" s="816"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1921</v>
      </c>
      <c r="G1611" s="816" t="s">
        <v>1370</v>
      </c>
      <c r="H1611" s="816"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1922</v>
      </c>
      <c r="G1612" s="1299" t="s">
        <v>656</v>
      </c>
      <c r="H1612" s="816" t="s">
        <v>1925</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1923</v>
      </c>
      <c r="G1613" s="1299" t="s">
        <v>1356</v>
      </c>
      <c r="H1613" s="816" t="s">
        <v>1925</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1919</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1924</v>
      </c>
      <c r="G1614" s="1324" t="s">
        <v>1361</v>
      </c>
      <c r="H1614" s="816"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1975</v>
      </c>
      <c r="G1644" s="1326" t="s">
        <v>1363</v>
      </c>
      <c r="H1644" s="817"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1976</v>
      </c>
      <c r="G1645" s="1326" t="s">
        <v>1364</v>
      </c>
      <c r="H1645" s="817"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1977</v>
      </c>
      <c r="G1646" s="1324" t="s">
        <v>1366</v>
      </c>
      <c r="H1646" s="817"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7"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0" t="s">
        <v>1383</v>
      </c>
      <c r="G1793" s="852" t="str">
        <f>IF(S1793&lt;&gt;"","B","")</f>
        <v/>
      </c>
      <c r="H1793" s="852"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0" t="s">
        <v>1481</v>
      </c>
      <c r="G1794" s="852" t="str">
        <f>IF(S1794&lt;&gt;"","C","")</f>
        <v/>
      </c>
      <c r="H1794" s="852"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0" t="s">
        <v>727</v>
      </c>
      <c r="G1795" s="852" t="str">
        <f>IF(S1795&lt;&gt;"","E","")</f>
        <v/>
      </c>
      <c r="H1795" s="852"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0" t="s">
        <v>1482</v>
      </c>
      <c r="G1796" s="852" t="str">
        <f>IF(S1796&lt;&gt;"","F","")</f>
        <v/>
      </c>
      <c r="H1796" s="852"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0" t="s">
        <v>1383</v>
      </c>
      <c r="G1798" s="852" t="str">
        <f>IF(S1798&lt;&gt;"","B","")</f>
        <v/>
      </c>
      <c r="H1798" s="852"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0" t="s">
        <v>1481</v>
      </c>
      <c r="G1799" s="852" t="str">
        <f>IF(S1799&lt;&gt;"","C","")</f>
        <v/>
      </c>
      <c r="H1799" s="852"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0" t="s">
        <v>727</v>
      </c>
      <c r="G1800" s="852" t="str">
        <f>IF(S1800&lt;&gt;"","E","")</f>
        <v/>
      </c>
      <c r="H1800" s="852"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0" t="s">
        <v>1482</v>
      </c>
      <c r="G1801" s="852" t="str">
        <f>IF(S1801&lt;&gt;"","F","")</f>
        <v/>
      </c>
      <c r="H1801" s="852"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0" t="s">
        <v>1383</v>
      </c>
      <c r="G1803" s="852" t="str">
        <f>IF(S1803&lt;&gt;"","B","")</f>
        <v/>
      </c>
      <c r="H1803" s="852"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0" t="s">
        <v>1481</v>
      </c>
      <c r="G1804" s="852" t="str">
        <f>IF(S1804&lt;&gt;"","C","")</f>
        <v/>
      </c>
      <c r="H1804" s="852"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0" t="s">
        <v>727</v>
      </c>
      <c r="G1805" s="852" t="str">
        <f>IF(S1805&lt;&gt;"","E","")</f>
        <v/>
      </c>
      <c r="H1805" s="852"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0" t="s">
        <v>1621</v>
      </c>
      <c r="G1806" s="852" t="str">
        <f>IF(S1806&lt;&gt;"","D","")</f>
        <v/>
      </c>
      <c r="H1806" s="852"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0" t="s">
        <v>1383</v>
      </c>
      <c r="G1808" s="852" t="str">
        <f>IF(S1808&lt;&gt;"","B","")</f>
        <v/>
      </c>
      <c r="H1808" s="852"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0" t="s">
        <v>1481</v>
      </c>
      <c r="G1809" s="852" t="str">
        <f>IF(S1809&lt;&gt;"","C","")</f>
        <v/>
      </c>
      <c r="H1809" s="852"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0" t="s">
        <v>727</v>
      </c>
      <c r="G1810" s="852" t="str">
        <f>IF(S1810&lt;&gt;"","E","")</f>
        <v/>
      </c>
      <c r="H1810" s="852"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0" t="s">
        <v>1621</v>
      </c>
      <c r="G1811" s="852" t="str">
        <f>IF(S1811&lt;&gt;"","D","")</f>
        <v/>
      </c>
      <c r="H1811" s="852"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1" t="s">
        <v>1991</v>
      </c>
      <c r="G1812" s="1351" t="str">
        <f>IF(T1812&lt;&gt;"","E","")</f>
        <v/>
      </c>
      <c r="H1812" s="1351" t="s">
        <v>1990</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1" t="s">
        <v>1995</v>
      </c>
      <c r="G1813" s="1351" t="str">
        <f>IF(T1813&lt;&gt;"","G","")</f>
        <v/>
      </c>
      <c r="H1813" s="1351" t="s">
        <v>1990</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1" t="s">
        <v>1991</v>
      </c>
      <c r="G1814" s="1351" t="str">
        <f>IF(T1814&lt;&gt;"","E","")</f>
        <v/>
      </c>
      <c r="H1814" s="1351" t="s">
        <v>1990</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1" t="s">
        <v>1995</v>
      </c>
      <c r="G1815" s="1351" t="str">
        <f>IF(T1815&lt;&gt;"","G","")</f>
        <v/>
      </c>
      <c r="H1815" s="1351" t="s">
        <v>1990</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1" t="s">
        <v>1991</v>
      </c>
      <c r="G1816" s="1351" t="str">
        <f>IF(T1816&lt;&gt;"","E","")</f>
        <v/>
      </c>
      <c r="H1816" s="1351" t="s">
        <v>1990</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1" t="s">
        <v>1995</v>
      </c>
      <c r="G1817" s="1351" t="str">
        <f>IF(T1817&lt;&gt;"","G","")</f>
        <v/>
      </c>
      <c r="H1817" s="1351" t="s">
        <v>1990</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1" t="s">
        <v>1991</v>
      </c>
      <c r="G1818" s="1351" t="str">
        <f>IF(T1818&lt;&gt;"","E","")</f>
        <v/>
      </c>
      <c r="H1818" s="1351" t="s">
        <v>1990</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1" t="s">
        <v>1993</v>
      </c>
      <c r="G1819" s="1351" t="str">
        <f>IF(T1819&lt;&gt;"","H","")</f>
        <v/>
      </c>
      <c r="H1819" s="1351" t="s">
        <v>1990</v>
      </c>
      <c r="I1819" s="1307"/>
      <c r="J1819" s="1351"/>
      <c r="K1819" s="1351"/>
      <c r="L1819" s="852"/>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1" t="s">
        <v>1991</v>
      </c>
      <c r="G1820" s="1351" t="str">
        <f>IF(T1820&lt;&gt;"","E","")</f>
        <v/>
      </c>
      <c r="H1820" s="1351" t="s">
        <v>1990</v>
      </c>
      <c r="I1820" s="1307"/>
      <c r="J1820" s="1351"/>
      <c r="K1820" s="1351"/>
      <c r="L1820" s="852"/>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1" t="s">
        <v>1995</v>
      </c>
      <c r="G1821" s="1351" t="str">
        <f>IF(T1821&lt;&gt;"","G","")</f>
        <v/>
      </c>
      <c r="H1821" s="1351" t="s">
        <v>1990</v>
      </c>
      <c r="I1821" s="1307"/>
      <c r="J1821" s="1351"/>
      <c r="K1821" s="1351"/>
      <c r="L1821" s="852"/>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1" t="s">
        <v>1993</v>
      </c>
      <c r="G1822" s="1351" t="str">
        <f>IF(T1822&lt;&gt;"","H","")</f>
        <v/>
      </c>
      <c r="H1822" s="1351" t="s">
        <v>1990</v>
      </c>
      <c r="I1822" s="1307"/>
      <c r="J1822" s="1351"/>
      <c r="K1822" s="1351"/>
      <c r="L1822" s="852"/>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1" t="s">
        <v>1995</v>
      </c>
      <c r="G1823" s="1351" t="str">
        <f>IF(T1823&lt;&gt;"","G","")</f>
        <v/>
      </c>
      <c r="H1823" s="1351" t="s">
        <v>1990</v>
      </c>
      <c r="I1823" s="1307"/>
      <c r="J1823" s="1351"/>
      <c r="K1823" s="1351"/>
      <c r="L1823" s="852"/>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1" t="s">
        <v>1993</v>
      </c>
      <c r="G1824" s="1351" t="str">
        <f>IF(T1824&lt;&gt;"","H","")</f>
        <v/>
      </c>
      <c r="H1824" s="1351" t="s">
        <v>1990</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1" t="s">
        <v>1995</v>
      </c>
      <c r="G1825" s="1351" t="str">
        <f>IF(T1825&lt;&gt;"","G","")</f>
        <v/>
      </c>
      <c r="H1825" s="1351" t="s">
        <v>1990</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1" t="s">
        <v>1993</v>
      </c>
      <c r="G1826" s="1351" t="str">
        <f>IF(T1826&lt;&gt;"","H","")</f>
        <v/>
      </c>
      <c r="H1826" s="1351" t="s">
        <v>1990</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1" t="s">
        <v>1995</v>
      </c>
      <c r="G1827" s="1351" t="str">
        <f>IF(T1827&lt;&gt;"","G","")</f>
        <v/>
      </c>
      <c r="H1827" s="1351" t="s">
        <v>1990</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1" t="s">
        <v>1993</v>
      </c>
      <c r="G1828" s="1351" t="str">
        <f>IF(T1828&lt;&gt;"","H","")</f>
        <v/>
      </c>
      <c r="H1828" s="1351" t="s">
        <v>1990</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1" t="s">
        <v>1994</v>
      </c>
      <c r="G1829" s="1351" t="str">
        <f>IF(T1829&lt;&gt;"","F","")</f>
        <v/>
      </c>
      <c r="H1829" s="1351" t="s">
        <v>1990</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1" t="s">
        <v>1993</v>
      </c>
      <c r="G1830" s="1351" t="str">
        <f>IF(T1830&lt;&gt;"","H","")</f>
        <v/>
      </c>
      <c r="H1830" s="1351" t="s">
        <v>1990</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1" t="s">
        <v>1994</v>
      </c>
      <c r="G1831" s="1351" t="str">
        <f>IF(T1831&lt;&gt;"","F","")</f>
        <v/>
      </c>
      <c r="H1831" s="1351" t="s">
        <v>1990</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1" t="s">
        <v>1991</v>
      </c>
      <c r="G1832" s="1351" t="str">
        <f>IF(T1832&lt;&gt;"","E","")</f>
        <v/>
      </c>
      <c r="H1832" s="1351" t="s">
        <v>1990</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1" t="s">
        <v>1993</v>
      </c>
      <c r="G1833" s="1351" t="str">
        <f>IF(T1833&lt;&gt;"","H","")</f>
        <v/>
      </c>
      <c r="H1833" s="1351" t="s">
        <v>1990</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1" t="s">
        <v>1995</v>
      </c>
      <c r="G1834" s="1351" t="str">
        <f>IF(T1834&lt;&gt;"","G","")</f>
        <v/>
      </c>
      <c r="H1834" s="1351" t="s">
        <v>1990</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1" t="s">
        <v>1991</v>
      </c>
      <c r="G1835" s="1351" t="str">
        <f>IF(T1835&lt;&gt;"","E","")</f>
        <v/>
      </c>
      <c r="H1835" s="1351" t="s">
        <v>1990</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1" t="s">
        <v>1993</v>
      </c>
      <c r="G1836" s="1351" t="str">
        <f>IF(T1836&lt;&gt;"","H","")</f>
        <v/>
      </c>
      <c r="H1836" s="1351" t="s">
        <v>1990</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1" t="s">
        <v>1995</v>
      </c>
      <c r="G1837" s="1351" t="str">
        <f>IF(T1837&lt;&gt;"","G","")</f>
        <v/>
      </c>
      <c r="H1837" s="1351" t="s">
        <v>1990</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1" t="s">
        <v>1993</v>
      </c>
      <c r="G1838" s="1351" t="str">
        <f>IF(T1838&lt;&gt;"","H","")</f>
        <v/>
      </c>
      <c r="H1838" s="1351" t="s">
        <v>1990</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1" t="s">
        <v>1991</v>
      </c>
      <c r="G1839" s="1351" t="str">
        <f>IF(T1839&lt;&gt;"","E","")</f>
        <v/>
      </c>
      <c r="H1839" s="1351" t="s">
        <v>1990</v>
      </c>
      <c r="I1839" s="1307"/>
      <c r="J1839" s="1351"/>
      <c r="K1839" s="1351"/>
      <c r="L1839" s="852"/>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1" t="s">
        <v>1524</v>
      </c>
      <c r="G1840" s="1351" t="str">
        <f>IF(T1840&lt;&gt;"","M","")</f>
        <v/>
      </c>
      <c r="H1840" s="1351" t="s">
        <v>1990</v>
      </c>
      <c r="I1840" s="1307"/>
      <c r="J1840" s="1351"/>
      <c r="K1840" s="1351" t="str">
        <f t="shared" ref="K1840:K1843" si="282">IF(J1840&lt;&gt;"",E1840,"")</f>
        <v/>
      </c>
      <c r="L1840" s="852"/>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1" t="s">
        <v>1524</v>
      </c>
      <c r="G1841" s="1351" t="str">
        <f>IF(T1841&lt;&gt;"","M","")</f>
        <v/>
      </c>
      <c r="H1841" s="1351" t="s">
        <v>1990</v>
      </c>
      <c r="I1841" s="1307" t="str">
        <f t="shared" ref="I1841" si="283">IF(J1841&lt;&gt;"",A1841,"")</f>
        <v/>
      </c>
      <c r="J1841" s="1351"/>
      <c r="K1841" s="1351" t="str">
        <f t="shared" si="282"/>
        <v/>
      </c>
      <c r="L1841" s="852"/>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1" t="s">
        <v>1524</v>
      </c>
      <c r="G1842" s="1351" t="str">
        <f>IF(T1842&lt;&gt;"","M","")</f>
        <v/>
      </c>
      <c r="H1842" s="1351" t="s">
        <v>1990</v>
      </c>
      <c r="I1842" s="1307"/>
      <c r="J1842" s="1351"/>
      <c r="K1842" s="1351" t="str">
        <f t="shared" si="282"/>
        <v/>
      </c>
      <c r="L1842" s="852"/>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1" t="s">
        <v>1524</v>
      </c>
      <c r="G1843" s="1351" t="str">
        <f>IF(T1843&lt;&gt;"","M","")</f>
        <v/>
      </c>
      <c r="H1843" s="1351" t="s">
        <v>1990</v>
      </c>
      <c r="I1843" s="1307" t="str">
        <f t="shared" ref="I1843" si="284">IF(J1843&lt;&gt;"",A1843,"")</f>
        <v/>
      </c>
      <c r="J1843" s="1351"/>
      <c r="K1843" s="1351" t="str">
        <f t="shared" si="282"/>
        <v/>
      </c>
      <c r="L1843" s="852"/>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1" t="s">
        <v>1998</v>
      </c>
      <c r="G1844" s="1351" t="str">
        <f>IF(T1844&lt;&gt;"","N","")</f>
        <v/>
      </c>
      <c r="H1844" s="1351" t="s">
        <v>1990</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1" t="s">
        <v>1998</v>
      </c>
      <c r="G1845" s="1351" t="str">
        <f t="shared" ref="G1845:G1866" si="286">IF(T1845&lt;&gt;"","N","")</f>
        <v/>
      </c>
      <c r="H1845" s="1351" t="s">
        <v>1990</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1" t="s">
        <v>1998</v>
      </c>
      <c r="G1846" s="1351" t="str">
        <f t="shared" si="286"/>
        <v/>
      </c>
      <c r="H1846" s="1351" t="s">
        <v>1990</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1" t="s">
        <v>1998</v>
      </c>
      <c r="G1847" s="1351" t="str">
        <f t="shared" si="286"/>
        <v/>
      </c>
      <c r="H1847" s="1351" t="s">
        <v>1990</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1" t="s">
        <v>1998</v>
      </c>
      <c r="G1848" s="1351" t="str">
        <f t="shared" si="286"/>
        <v/>
      </c>
      <c r="H1848" s="1351" t="s">
        <v>1990</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1" t="s">
        <v>1998</v>
      </c>
      <c r="G1849" s="1351" t="str">
        <f t="shared" si="286"/>
        <v/>
      </c>
      <c r="H1849" s="1351" t="s">
        <v>1990</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1" t="s">
        <v>1998</v>
      </c>
      <c r="G1850" s="1351" t="str">
        <f t="shared" si="286"/>
        <v/>
      </c>
      <c r="H1850" s="1351" t="s">
        <v>1990</v>
      </c>
      <c r="I1850" s="1307"/>
      <c r="J1850" s="1351"/>
      <c r="K1850" s="1351"/>
      <c r="L1850" s="852"/>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1" t="s">
        <v>1998</v>
      </c>
      <c r="G1851" s="1351" t="str">
        <f t="shared" si="286"/>
        <v/>
      </c>
      <c r="H1851" s="1351" t="s">
        <v>1990</v>
      </c>
      <c r="I1851" s="1307"/>
      <c r="J1851" s="1351"/>
      <c r="K1851" s="1351"/>
      <c r="L1851" s="852"/>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1" t="s">
        <v>1998</v>
      </c>
      <c r="G1852" s="1351" t="str">
        <f t="shared" si="286"/>
        <v/>
      </c>
      <c r="H1852" s="1351" t="s">
        <v>1990</v>
      </c>
      <c r="I1852" s="1307"/>
      <c r="J1852" s="1351"/>
      <c r="K1852" s="1351"/>
      <c r="L1852" s="852"/>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1" t="s">
        <v>1998</v>
      </c>
      <c r="G1853" s="1351" t="str">
        <f t="shared" si="286"/>
        <v/>
      </c>
      <c r="H1853" s="1351" t="s">
        <v>1990</v>
      </c>
      <c r="I1853" s="1307"/>
      <c r="J1853" s="1351"/>
      <c r="K1853" s="1351"/>
      <c r="L1853" s="852"/>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1" t="s">
        <v>1998</v>
      </c>
      <c r="G1854" s="1351" t="str">
        <f t="shared" si="286"/>
        <v/>
      </c>
      <c r="H1854" s="1351" t="s">
        <v>1990</v>
      </c>
      <c r="I1854" s="1307"/>
      <c r="J1854" s="1351"/>
      <c r="K1854" s="1351"/>
      <c r="L1854" s="852"/>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1" t="s">
        <v>1998</v>
      </c>
      <c r="G1855" s="1351" t="str">
        <f t="shared" si="286"/>
        <v/>
      </c>
      <c r="H1855" s="1351" t="s">
        <v>1990</v>
      </c>
      <c r="I1855" s="1307"/>
      <c r="J1855" s="1351"/>
      <c r="K1855" s="1351"/>
      <c r="L1855" s="852"/>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1" t="s">
        <v>1998</v>
      </c>
      <c r="G1856" s="1351" t="str">
        <f t="shared" si="286"/>
        <v/>
      </c>
      <c r="H1856" s="1351" t="s">
        <v>1990</v>
      </c>
      <c r="I1856" s="1307"/>
      <c r="J1856" s="1351"/>
      <c r="K1856" s="1351"/>
      <c r="L1856" s="852"/>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1" t="s">
        <v>1998</v>
      </c>
      <c r="G1857" s="1351" t="str">
        <f t="shared" si="286"/>
        <v/>
      </c>
      <c r="H1857" s="1351" t="s">
        <v>1990</v>
      </c>
      <c r="I1857" s="1307"/>
      <c r="J1857" s="1351"/>
      <c r="K1857" s="1351"/>
      <c r="L1857" s="852"/>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1" t="s">
        <v>1998</v>
      </c>
      <c r="G1858" s="1351" t="str">
        <f t="shared" si="286"/>
        <v/>
      </c>
      <c r="H1858" s="1351" t="s">
        <v>1990</v>
      </c>
      <c r="I1858" s="1307"/>
      <c r="J1858" s="1351"/>
      <c r="K1858" s="1351"/>
      <c r="L1858" s="852"/>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1" t="s">
        <v>1998</v>
      </c>
      <c r="G1859" s="1351" t="str">
        <f t="shared" si="286"/>
        <v/>
      </c>
      <c r="H1859" s="1351" t="s">
        <v>1990</v>
      </c>
      <c r="I1859" s="1307"/>
      <c r="J1859" s="1351"/>
      <c r="K1859" s="1351"/>
      <c r="L1859" s="852"/>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1" t="s">
        <v>1998</v>
      </c>
      <c r="G1860" s="1351" t="str">
        <f t="shared" si="286"/>
        <v/>
      </c>
      <c r="H1860" s="1351" t="s">
        <v>1990</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1" t="s">
        <v>1998</v>
      </c>
      <c r="G1861" s="1351" t="str">
        <f t="shared" si="286"/>
        <v/>
      </c>
      <c r="H1861" s="1351" t="s">
        <v>1990</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1" t="s">
        <v>1998</v>
      </c>
      <c r="G1862" s="1351" t="str">
        <f t="shared" si="286"/>
        <v/>
      </c>
      <c r="H1862" s="1351" t="s">
        <v>1990</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1" t="s">
        <v>1998</v>
      </c>
      <c r="G1863" s="1351" t="str">
        <f t="shared" si="286"/>
        <v/>
      </c>
      <c r="H1863" s="1351" t="s">
        <v>1990</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1" t="s">
        <v>1998</v>
      </c>
      <c r="G1864" s="1351" t="str">
        <f t="shared" si="286"/>
        <v/>
      </c>
      <c r="H1864" s="1351" t="s">
        <v>1990</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1" t="s">
        <v>1998</v>
      </c>
      <c r="G1865" s="1351" t="str">
        <f t="shared" si="286"/>
        <v/>
      </c>
      <c r="H1865" s="1351" t="s">
        <v>1990</v>
      </c>
      <c r="I1865" s="1307"/>
      <c r="J1865" s="1351"/>
      <c r="K1865" s="1351"/>
      <c r="L1865" s="852"/>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1" t="s">
        <v>1998</v>
      </c>
      <c r="G1866" s="1351" t="str">
        <f t="shared" si="286"/>
        <v/>
      </c>
      <c r="H1866" s="1351" t="s">
        <v>1990</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1" t="s">
        <v>1508</v>
      </c>
      <c r="G1867" s="1351" t="str">
        <f>IF(T1867&lt;&gt;"","P","")</f>
        <v/>
      </c>
      <c r="H1867" s="1351" t="s">
        <v>1990</v>
      </c>
      <c r="I1867" s="1307"/>
      <c r="J1867" s="1351"/>
      <c r="K1867" s="1351"/>
      <c r="L1867" s="852"/>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1" t="s">
        <v>1508</v>
      </c>
      <c r="G1868" s="1351" t="str">
        <f t="shared" ref="G1868:G1871" si="290">IF(T1868&lt;&gt;"","P","")</f>
        <v/>
      </c>
      <c r="H1868" s="1351" t="s">
        <v>1990</v>
      </c>
      <c r="I1868" s="1307"/>
      <c r="J1868" s="1351"/>
      <c r="K1868" s="1351"/>
      <c r="L1868" s="852"/>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1" t="s">
        <v>1508</v>
      </c>
      <c r="G1869" s="1351" t="str">
        <f t="shared" si="290"/>
        <v/>
      </c>
      <c r="H1869" s="1351" t="s">
        <v>1990</v>
      </c>
      <c r="I1869" s="1307"/>
      <c r="J1869" s="1351"/>
      <c r="K1869" s="1351"/>
      <c r="L1869" s="852"/>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1" t="s">
        <v>1508</v>
      </c>
      <c r="G1870" s="1351" t="str">
        <f t="shared" si="290"/>
        <v/>
      </c>
      <c r="H1870" s="1351" t="s">
        <v>1990</v>
      </c>
      <c r="I1870" s="1307"/>
      <c r="J1870" s="1351"/>
      <c r="K1870" s="1351"/>
      <c r="L1870" s="852"/>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1" t="s">
        <v>1508</v>
      </c>
      <c r="G1871" s="1351" t="str">
        <f t="shared" si="290"/>
        <v/>
      </c>
      <c r="H1871" s="1351" t="s">
        <v>1990</v>
      </c>
      <c r="I1871" s="1307"/>
      <c r="J1871" s="1351"/>
      <c r="K1871" s="1351"/>
      <c r="L1871" s="852"/>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1" t="s">
        <v>1507</v>
      </c>
      <c r="G1872" s="1351" t="str">
        <f>IF(T1872&lt;&gt;"","Q","")</f>
        <v/>
      </c>
      <c r="H1872" s="1351" t="s">
        <v>1990</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1" t="s">
        <v>1507</v>
      </c>
      <c r="G1873" s="1351" t="str">
        <f t="shared" ref="G1873:G1885" si="293">IF(T1873&lt;&gt;"","Q","")</f>
        <v/>
      </c>
      <c r="H1873" s="1351" t="s">
        <v>1990</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1" t="s">
        <v>1507</v>
      </c>
      <c r="G1874" s="1351" t="str">
        <f t="shared" si="293"/>
        <v/>
      </c>
      <c r="H1874" s="1351" t="s">
        <v>1990</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1" t="s">
        <v>1507</v>
      </c>
      <c r="G1875" s="1351" t="str">
        <f t="shared" si="293"/>
        <v/>
      </c>
      <c r="H1875" s="1351" t="s">
        <v>1990</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1" t="s">
        <v>1507</v>
      </c>
      <c r="G1876" s="1351" t="str">
        <f t="shared" si="293"/>
        <v/>
      </c>
      <c r="H1876" s="1351" t="s">
        <v>1990</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1" t="s">
        <v>1507</v>
      </c>
      <c r="G1877" s="1351" t="str">
        <f t="shared" si="293"/>
        <v/>
      </c>
      <c r="H1877" s="1351" t="s">
        <v>1990</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1" t="s">
        <v>1507</v>
      </c>
      <c r="G1878" s="1351" t="str">
        <f t="shared" si="293"/>
        <v/>
      </c>
      <c r="H1878" s="1351" t="s">
        <v>1990</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1" t="s">
        <v>1507</v>
      </c>
      <c r="G1879" s="1351" t="str">
        <f t="shared" si="293"/>
        <v/>
      </c>
      <c r="H1879" s="1351" t="s">
        <v>1990</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1" t="s">
        <v>1507</v>
      </c>
      <c r="G1880" s="1351" t="str">
        <f t="shared" si="293"/>
        <v/>
      </c>
      <c r="H1880" s="1351" t="s">
        <v>1990</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1" t="s">
        <v>1507</v>
      </c>
      <c r="G1881" s="1351" t="str">
        <f t="shared" si="293"/>
        <v/>
      </c>
      <c r="H1881" s="1351" t="s">
        <v>1990</v>
      </c>
      <c r="I1881" s="1307"/>
      <c r="J1881" s="1351"/>
      <c r="K1881" s="1351"/>
      <c r="L1881" s="852"/>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1" t="s">
        <v>1507</v>
      </c>
      <c r="G1882" s="1351" t="str">
        <f t="shared" si="293"/>
        <v/>
      </c>
      <c r="H1882" s="1351" t="s">
        <v>1990</v>
      </c>
      <c r="I1882" s="1307"/>
      <c r="J1882" s="1351"/>
      <c r="K1882" s="1351"/>
      <c r="L1882" s="852"/>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1" t="s">
        <v>1507</v>
      </c>
      <c r="G1883" s="1351" t="str">
        <f t="shared" si="293"/>
        <v/>
      </c>
      <c r="H1883" s="1351" t="s">
        <v>1990</v>
      </c>
      <c r="I1883" s="1307"/>
      <c r="J1883" s="1351"/>
      <c r="K1883" s="1351"/>
      <c r="L1883" s="852"/>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1" t="s">
        <v>1507</v>
      </c>
      <c r="G1884" s="1351" t="str">
        <f t="shared" si="293"/>
        <v/>
      </c>
      <c r="H1884" s="1351" t="s">
        <v>1990</v>
      </c>
      <c r="I1884" s="1307"/>
      <c r="J1884" s="1351"/>
      <c r="K1884" s="1351"/>
      <c r="L1884" s="852"/>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1" t="s">
        <v>1507</v>
      </c>
      <c r="G1885" s="1351" t="str">
        <f t="shared" si="293"/>
        <v/>
      </c>
      <c r="H1885" s="1351" t="s">
        <v>1990</v>
      </c>
      <c r="I1885" s="1307"/>
      <c r="J1885" s="1351"/>
      <c r="K1885" s="1351"/>
      <c r="L1885" s="852"/>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0" t="s">
        <v>1475</v>
      </c>
      <c r="G1900" s="1351" t="str">
        <f>IF(T1900&lt;&gt;"","U","")</f>
        <v/>
      </c>
      <c r="H1900" s="1351" t="s">
        <v>1990</v>
      </c>
      <c r="I1900" s="1307" t="str">
        <f t="shared" ref="I1900" si="298">IF(J1900&lt;&gt;"",A1900,"")</f>
        <v/>
      </c>
      <c r="J1900" s="1351"/>
      <c r="K1900" s="1351" t="str">
        <f t="shared" ref="K1900" si="299">IF(J1900&lt;&gt;"",E1900,"")</f>
        <v/>
      </c>
      <c r="L1900" s="852"/>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1" t="s">
        <v>1474</v>
      </c>
      <c r="G1901" s="1351" t="str">
        <f>IF(T1901&lt;&gt;"","Z","")</f>
        <v/>
      </c>
      <c r="H1901" s="1351" t="s">
        <v>1990</v>
      </c>
      <c r="I1901" s="1307"/>
      <c r="J1901" s="1351"/>
      <c r="K1901" s="1351"/>
      <c r="L1901" s="852"/>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1" t="s">
        <v>1478</v>
      </c>
      <c r="G1902" s="1351" t="str">
        <f>IF(T1902&lt;&gt;"","V","")</f>
        <v/>
      </c>
      <c r="H1902" s="1351" t="s">
        <v>1990</v>
      </c>
      <c r="I1902" s="1307"/>
      <c r="J1902" s="1351"/>
      <c r="K1902" s="1351"/>
      <c r="L1902" s="852"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1" t="s">
        <v>1135</v>
      </c>
      <c r="G1903" s="1351" t="str">
        <f>IF(T1903&lt;&gt;"","W","")</f>
        <v/>
      </c>
      <c r="H1903" s="1351" t="s">
        <v>1990</v>
      </c>
      <c r="I1903" s="1307"/>
      <c r="J1903" s="1351"/>
      <c r="K1903" s="1351"/>
      <c r="L1903" s="852"/>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1" t="s">
        <v>1480</v>
      </c>
      <c r="G1904" s="1351" t="str">
        <f>IF(T1904&lt;&gt;"","X","")</f>
        <v/>
      </c>
      <c r="H1904" s="1351" t="s">
        <v>1990</v>
      </c>
      <c r="I1904" s="1307"/>
      <c r="J1904" s="1351"/>
      <c r="K1904" s="1351"/>
      <c r="L1904" s="852"/>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1" t="s">
        <v>1134</v>
      </c>
      <c r="G1905" s="1351" t="str">
        <f>IF(T1905&lt;&gt;"","Y","")</f>
        <v/>
      </c>
      <c r="H1905" s="1351" t="s">
        <v>1990</v>
      </c>
      <c r="I1905" s="1307"/>
      <c r="J1905" s="1351"/>
      <c r="K1905" s="1351"/>
      <c r="L1905" s="852"/>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1" t="s">
        <v>1474</v>
      </c>
      <c r="G1906" s="1351" t="str">
        <f>IF(T1906&lt;&gt;"","Z","")</f>
        <v/>
      </c>
      <c r="H1906" s="1351" t="s">
        <v>1990</v>
      </c>
      <c r="I1906" s="1307"/>
      <c r="J1906" s="1351"/>
      <c r="K1906" s="1351"/>
      <c r="L1906" s="852"/>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1" t="s">
        <v>1478</v>
      </c>
      <c r="G1907" s="1351" t="str">
        <f>IF(T1907&lt;&gt;"","V","")</f>
        <v/>
      </c>
      <c r="H1907" s="1351" t="s">
        <v>1990</v>
      </c>
      <c r="I1907" s="1307"/>
      <c r="J1907" s="1351"/>
      <c r="K1907" s="1351"/>
      <c r="L1907" s="852"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1" t="s">
        <v>1135</v>
      </c>
      <c r="G1908" s="1351" t="str">
        <f>IF(T1908&lt;&gt;"","W","")</f>
        <v/>
      </c>
      <c r="H1908" s="1351" t="s">
        <v>1990</v>
      </c>
      <c r="I1908" s="1307"/>
      <c r="J1908" s="1351"/>
      <c r="K1908" s="1351"/>
      <c r="L1908" s="852"/>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1" t="s">
        <v>1480</v>
      </c>
      <c r="G1909" s="1351" t="str">
        <f>IF(T1909&lt;&gt;"","X","")</f>
        <v/>
      </c>
      <c r="H1909" s="1351" t="s">
        <v>1990</v>
      </c>
      <c r="I1909" s="1307"/>
      <c r="J1909" s="1351"/>
      <c r="K1909" s="1351"/>
      <c r="L1909" s="852"/>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1" t="s">
        <v>1134</v>
      </c>
      <c r="G1910" s="1351" t="str">
        <f>IF(T1910&lt;&gt;"","Y","")</f>
        <v/>
      </c>
      <c r="H1910" s="1351" t="s">
        <v>1990</v>
      </c>
      <c r="I1910" s="1307"/>
      <c r="J1910" s="1351"/>
      <c r="K1910" s="1351"/>
      <c r="L1910" s="852"/>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1" t="s">
        <v>1999</v>
      </c>
      <c r="G1911" s="1351" t="str">
        <f>IF(T1911&lt;&gt;"","AB","")</f>
        <v/>
      </c>
      <c r="H1911" s="1351" t="s">
        <v>1990</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1" t="s">
        <v>1999</v>
      </c>
      <c r="G1912" s="1351" t="str">
        <f t="shared" ref="G1912:G1921" si="304">IF(T1912&lt;&gt;"","AB","")</f>
        <v/>
      </c>
      <c r="H1912" s="1351" t="s">
        <v>1990</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1" t="s">
        <v>1999</v>
      </c>
      <c r="G1913" s="1351" t="str">
        <f t="shared" si="304"/>
        <v/>
      </c>
      <c r="H1913" s="1351" t="s">
        <v>1990</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1" t="s">
        <v>1999</v>
      </c>
      <c r="G1914" s="1351" t="str">
        <f t="shared" si="304"/>
        <v/>
      </c>
      <c r="H1914" s="1351" t="s">
        <v>1990</v>
      </c>
      <c r="I1914" s="1307" t="str">
        <f t="shared" si="302"/>
        <v/>
      </c>
      <c r="J1914" s="1351"/>
      <c r="K1914" s="1351" t="str">
        <f t="shared" si="303"/>
        <v/>
      </c>
      <c r="L1914" s="852"/>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1" t="s">
        <v>1999</v>
      </c>
      <c r="G1915" s="1351" t="str">
        <f t="shared" si="304"/>
        <v/>
      </c>
      <c r="H1915" s="1351" t="s">
        <v>1990</v>
      </c>
      <c r="I1915" s="1307" t="str">
        <f t="shared" si="302"/>
        <v/>
      </c>
      <c r="J1915" s="1351"/>
      <c r="K1915" s="1351" t="str">
        <f t="shared" si="303"/>
        <v/>
      </c>
      <c r="L1915" s="852"/>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1" t="s">
        <v>1999</v>
      </c>
      <c r="G1916" s="1351" t="str">
        <f t="shared" si="304"/>
        <v/>
      </c>
      <c r="H1916" s="1351" t="s">
        <v>1990</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1" t="s">
        <v>1999</v>
      </c>
      <c r="G1917" s="1351" t="str">
        <f t="shared" si="304"/>
        <v/>
      </c>
      <c r="H1917" s="1351" t="s">
        <v>1990</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1" t="s">
        <v>1999</v>
      </c>
      <c r="G1918" s="1351" t="str">
        <f t="shared" si="304"/>
        <v/>
      </c>
      <c r="H1918" s="1351" t="s">
        <v>1990</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1" t="s">
        <v>1999</v>
      </c>
      <c r="G1919" s="1351" t="str">
        <f t="shared" si="304"/>
        <v/>
      </c>
      <c r="H1919" s="1351" t="s">
        <v>1990</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1" t="s">
        <v>1999</v>
      </c>
      <c r="G1920" s="1351" t="str">
        <f t="shared" si="304"/>
        <v/>
      </c>
      <c r="H1920" s="1351" t="s">
        <v>1990</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1" t="s">
        <v>1999</v>
      </c>
      <c r="G1921" s="1351" t="str">
        <f t="shared" si="304"/>
        <v/>
      </c>
      <c r="H1921" s="1351" t="s">
        <v>1990</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1" t="s">
        <v>1604</v>
      </c>
      <c r="G1934" s="1351" t="str">
        <f>IF(T1934&lt;&gt;"","AP","")</f>
        <v/>
      </c>
      <c r="H1934" s="1351" t="s">
        <v>1990</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1" t="s">
        <v>1604</v>
      </c>
      <c r="G1935" s="1351" t="str">
        <f t="shared" ref="G1935:G1944" si="320">IF(T1935&lt;&gt;"","AP","")</f>
        <v/>
      </c>
      <c r="H1935" s="1351" t="s">
        <v>1990</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1" t="s">
        <v>1604</v>
      </c>
      <c r="G1936" s="1351" t="str">
        <f t="shared" si="320"/>
        <v/>
      </c>
      <c r="H1936" s="1351" t="s">
        <v>1990</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1" t="s">
        <v>1604</v>
      </c>
      <c r="G1937" s="1351" t="str">
        <f t="shared" si="320"/>
        <v/>
      </c>
      <c r="H1937" s="1351" t="s">
        <v>1990</v>
      </c>
      <c r="I1937" s="1307" t="str">
        <f t="shared" si="318"/>
        <v/>
      </c>
      <c r="J1937" s="1351"/>
      <c r="K1937" s="1351" t="str">
        <f t="shared" si="319"/>
        <v/>
      </c>
      <c r="L1937" s="852"/>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1" t="s">
        <v>1604</v>
      </c>
      <c r="G1938" s="1351" t="str">
        <f t="shared" si="320"/>
        <v/>
      </c>
      <c r="H1938" s="1351" t="s">
        <v>1990</v>
      </c>
      <c r="I1938" s="1307" t="str">
        <f t="shared" si="318"/>
        <v/>
      </c>
      <c r="J1938" s="1351"/>
      <c r="K1938" s="1351" t="str">
        <f t="shared" si="319"/>
        <v/>
      </c>
      <c r="L1938" s="852"/>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1" t="s">
        <v>1604</v>
      </c>
      <c r="G1939" s="1351" t="str">
        <f t="shared" si="320"/>
        <v/>
      </c>
      <c r="H1939" s="1351" t="s">
        <v>1990</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1" t="s">
        <v>1604</v>
      </c>
      <c r="G1940" s="1351" t="str">
        <f t="shared" si="320"/>
        <v/>
      </c>
      <c r="H1940" s="1351" t="s">
        <v>1990</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1" t="s">
        <v>1604</v>
      </c>
      <c r="G1941" s="1351" t="str">
        <f t="shared" si="320"/>
        <v/>
      </c>
      <c r="H1941" s="1351" t="s">
        <v>1990</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1" t="s">
        <v>1604</v>
      </c>
      <c r="G1942" s="1351" t="str">
        <f t="shared" si="320"/>
        <v/>
      </c>
      <c r="H1942" s="1351" t="s">
        <v>1990</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1" t="s">
        <v>1604</v>
      </c>
      <c r="G1943" s="1351" t="str">
        <f t="shared" si="320"/>
        <v/>
      </c>
      <c r="H1943" s="1351" t="s">
        <v>1990</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1" t="s">
        <v>1604</v>
      </c>
      <c r="G1944" s="1351" t="str">
        <f t="shared" si="320"/>
        <v/>
      </c>
      <c r="H1944" s="1351" t="s">
        <v>1990</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1" t="s">
        <v>1509</v>
      </c>
      <c r="G1945" s="1351" t="str">
        <f>IF(T1945&lt;&gt;"","AR","")</f>
        <v/>
      </c>
      <c r="H1945" s="1351" t="s">
        <v>1990</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1" t="s">
        <v>1509</v>
      </c>
      <c r="G1946" s="1351" t="str">
        <f t="shared" ref="G1946:G1953" si="321">IF(T1946&lt;&gt;"","AR","")</f>
        <v/>
      </c>
      <c r="H1946" s="1351" t="s">
        <v>1990</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1" t="s">
        <v>1509</v>
      </c>
      <c r="G1947" s="1351" t="str">
        <f t="shared" si="321"/>
        <v/>
      </c>
      <c r="H1947" s="1351" t="s">
        <v>1990</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1" t="s">
        <v>1509</v>
      </c>
      <c r="G1948" s="1351" t="str">
        <f t="shared" si="321"/>
        <v/>
      </c>
      <c r="H1948" s="1351" t="s">
        <v>1990</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1" t="s">
        <v>1509</v>
      </c>
      <c r="G1949" s="1351" t="str">
        <f t="shared" si="321"/>
        <v/>
      </c>
      <c r="H1949" s="1351" t="s">
        <v>1990</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1" t="s">
        <v>1509</v>
      </c>
      <c r="G1950" s="1351" t="str">
        <f t="shared" si="321"/>
        <v/>
      </c>
      <c r="H1950" s="1351" t="s">
        <v>1990</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1" t="s">
        <v>1509</v>
      </c>
      <c r="G1951" s="1351" t="str">
        <f t="shared" si="321"/>
        <v/>
      </c>
      <c r="H1951" s="1351" t="s">
        <v>1990</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1" t="s">
        <v>1509</v>
      </c>
      <c r="G1952" s="1351" t="str">
        <f t="shared" si="321"/>
        <v/>
      </c>
      <c r="H1952" s="1351" t="s">
        <v>1990</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1" t="s">
        <v>1509</v>
      </c>
      <c r="G1953" s="1351" t="str">
        <f t="shared" si="321"/>
        <v/>
      </c>
      <c r="H1953" s="1351" t="s">
        <v>1990</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1" t="s">
        <v>1496</v>
      </c>
      <c r="G1954" s="1351" t="str">
        <f>IF(T1954&lt;&gt;"","AS","")</f>
        <v/>
      </c>
      <c r="H1954" s="1351" t="s">
        <v>1990</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1" t="s">
        <v>1496</v>
      </c>
      <c r="G1955" s="1351" t="str">
        <f t="shared" ref="G1955:G1987" si="326">IF(T1955&lt;&gt;"","AS","")</f>
        <v/>
      </c>
      <c r="H1955" s="1351" t="s">
        <v>1990</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1" t="s">
        <v>1496</v>
      </c>
      <c r="G1956" s="1351" t="str">
        <f t="shared" si="326"/>
        <v/>
      </c>
      <c r="H1956" s="1351" t="s">
        <v>1990</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1" t="s">
        <v>1496</v>
      </c>
      <c r="G1957" s="1351" t="str">
        <f t="shared" si="326"/>
        <v/>
      </c>
      <c r="H1957" s="1351" t="s">
        <v>1990</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1" t="s">
        <v>1496</v>
      </c>
      <c r="G1958" s="1351" t="str">
        <f t="shared" si="326"/>
        <v/>
      </c>
      <c r="H1958" s="1351" t="s">
        <v>1990</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1" t="s">
        <v>1496</v>
      </c>
      <c r="G1959" s="1351" t="str">
        <f t="shared" si="326"/>
        <v/>
      </c>
      <c r="H1959" s="1351" t="s">
        <v>1990</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1" t="s">
        <v>1496</v>
      </c>
      <c r="G1960" s="1351" t="str">
        <f t="shared" si="326"/>
        <v/>
      </c>
      <c r="H1960" s="1351" t="s">
        <v>1990</v>
      </c>
      <c r="I1960" s="1307" t="str">
        <f t="shared" si="324"/>
        <v/>
      </c>
      <c r="J1960" s="1351"/>
      <c r="K1960" s="1351" t="str">
        <f t="shared" si="325"/>
        <v/>
      </c>
      <c r="L1960" s="852"/>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1" t="s">
        <v>1496</v>
      </c>
      <c r="G1961" s="1351" t="str">
        <f t="shared" si="326"/>
        <v/>
      </c>
      <c r="H1961" s="1351" t="s">
        <v>1990</v>
      </c>
      <c r="I1961" s="1307" t="str">
        <f t="shared" si="324"/>
        <v/>
      </c>
      <c r="J1961" s="1351"/>
      <c r="K1961" s="1351" t="str">
        <f t="shared" si="325"/>
        <v/>
      </c>
      <c r="L1961" s="852"/>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1" t="s">
        <v>1496</v>
      </c>
      <c r="G1962" s="1351" t="str">
        <f t="shared" si="326"/>
        <v/>
      </c>
      <c r="H1962" s="1351" t="s">
        <v>1990</v>
      </c>
      <c r="I1962" s="1307" t="str">
        <f t="shared" si="324"/>
        <v/>
      </c>
      <c r="J1962" s="1351"/>
      <c r="K1962" s="1351" t="str">
        <f t="shared" si="325"/>
        <v/>
      </c>
      <c r="L1962" s="852"/>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1" t="s">
        <v>1496</v>
      </c>
      <c r="G1963" s="1351" t="str">
        <f t="shared" si="326"/>
        <v/>
      </c>
      <c r="H1963" s="1351" t="s">
        <v>1990</v>
      </c>
      <c r="I1963" s="1307" t="str">
        <f t="shared" si="324"/>
        <v/>
      </c>
      <c r="J1963" s="1351"/>
      <c r="K1963" s="1351" t="str">
        <f t="shared" si="325"/>
        <v/>
      </c>
      <c r="L1963" s="852"/>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1" t="s">
        <v>1496</v>
      </c>
      <c r="G1964" s="1351" t="str">
        <f t="shared" si="326"/>
        <v/>
      </c>
      <c r="H1964" s="1351" t="s">
        <v>1990</v>
      </c>
      <c r="I1964" s="1307" t="str">
        <f t="shared" si="324"/>
        <v/>
      </c>
      <c r="J1964" s="1351"/>
      <c r="K1964" s="1351" t="str">
        <f t="shared" si="325"/>
        <v/>
      </c>
      <c r="L1964" s="852"/>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1" t="s">
        <v>1496</v>
      </c>
      <c r="G1965" s="1351" t="str">
        <f t="shared" si="326"/>
        <v/>
      </c>
      <c r="H1965" s="1351" t="s">
        <v>1990</v>
      </c>
      <c r="I1965" s="1307" t="str">
        <f t="shared" si="324"/>
        <v/>
      </c>
      <c r="J1965" s="1351"/>
      <c r="K1965" s="1351" t="str">
        <f t="shared" si="325"/>
        <v/>
      </c>
      <c r="L1965" s="852"/>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1" t="s">
        <v>1496</v>
      </c>
      <c r="G1966" s="1351" t="str">
        <f t="shared" si="326"/>
        <v/>
      </c>
      <c r="H1966" s="1351" t="s">
        <v>1990</v>
      </c>
      <c r="I1966" s="1307" t="str">
        <f t="shared" si="324"/>
        <v/>
      </c>
      <c r="J1966" s="1351"/>
      <c r="K1966" s="1351" t="str">
        <f t="shared" si="325"/>
        <v/>
      </c>
      <c r="L1966" s="852"/>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1" t="s">
        <v>1496</v>
      </c>
      <c r="G1967" s="1351" t="str">
        <f t="shared" si="326"/>
        <v/>
      </c>
      <c r="H1967" s="1351" t="s">
        <v>1990</v>
      </c>
      <c r="I1967" s="1307" t="str">
        <f t="shared" si="324"/>
        <v/>
      </c>
      <c r="J1967" s="1351"/>
      <c r="K1967" s="1351" t="str">
        <f t="shared" si="325"/>
        <v/>
      </c>
      <c r="L1967" s="852"/>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1" t="s">
        <v>1496</v>
      </c>
      <c r="G1968" s="1351" t="str">
        <f t="shared" si="326"/>
        <v/>
      </c>
      <c r="H1968" s="1351" t="s">
        <v>1990</v>
      </c>
      <c r="I1968" s="1307" t="str">
        <f t="shared" si="324"/>
        <v/>
      </c>
      <c r="J1968" s="1351"/>
      <c r="K1968" s="1351" t="str">
        <f t="shared" si="325"/>
        <v/>
      </c>
      <c r="L1968" s="852"/>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1" t="s">
        <v>1496</v>
      </c>
      <c r="G1969" s="1351" t="str">
        <f t="shared" si="326"/>
        <v/>
      </c>
      <c r="H1969" s="1351" t="s">
        <v>1990</v>
      </c>
      <c r="I1969" s="1307" t="str">
        <f t="shared" si="324"/>
        <v/>
      </c>
      <c r="J1969" s="1351"/>
      <c r="K1969" s="1351" t="str">
        <f t="shared" si="325"/>
        <v/>
      </c>
      <c r="L1969" s="852"/>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1" t="s">
        <v>1496</v>
      </c>
      <c r="G1970" s="1351" t="str">
        <f t="shared" si="326"/>
        <v/>
      </c>
      <c r="H1970" s="1351" t="s">
        <v>1990</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1" t="s">
        <v>1496</v>
      </c>
      <c r="G1971" s="1351" t="str">
        <f t="shared" si="326"/>
        <v/>
      </c>
      <c r="H1971" s="1351" t="s">
        <v>1990</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1" t="s">
        <v>1496</v>
      </c>
      <c r="G1972" s="1351" t="str">
        <f t="shared" si="326"/>
        <v/>
      </c>
      <c r="H1972" s="1351" t="s">
        <v>1990</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1" t="s">
        <v>1496</v>
      </c>
      <c r="G1973" s="1351" t="str">
        <f t="shared" si="326"/>
        <v/>
      </c>
      <c r="H1973" s="1351" t="s">
        <v>1990</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1" t="s">
        <v>1496</v>
      </c>
      <c r="G1974" s="1351" t="str">
        <f t="shared" si="326"/>
        <v/>
      </c>
      <c r="H1974" s="1351" t="s">
        <v>1990</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1" t="s">
        <v>1496</v>
      </c>
      <c r="G1975" s="1351" t="str">
        <f t="shared" si="326"/>
        <v/>
      </c>
      <c r="H1975" s="1351" t="s">
        <v>1990</v>
      </c>
      <c r="I1975" s="1307" t="str">
        <f t="shared" si="324"/>
        <v/>
      </c>
      <c r="J1975" s="1351"/>
      <c r="K1975" s="1351" t="str">
        <f t="shared" si="325"/>
        <v/>
      </c>
      <c r="L1975" s="852"/>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1" t="s">
        <v>1496</v>
      </c>
      <c r="G1976" s="1351" t="str">
        <f t="shared" si="326"/>
        <v/>
      </c>
      <c r="H1976" s="1351" t="s">
        <v>1990</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1" t="s">
        <v>1496</v>
      </c>
      <c r="G1977" s="1351" t="str">
        <f t="shared" si="326"/>
        <v/>
      </c>
      <c r="H1977" s="1351" t="s">
        <v>1990</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1" t="s">
        <v>1496</v>
      </c>
      <c r="G1978" s="1351" t="str">
        <f t="shared" si="326"/>
        <v/>
      </c>
      <c r="H1978" s="1351" t="s">
        <v>1990</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1" t="s">
        <v>1496</v>
      </c>
      <c r="G1979" s="1351" t="str">
        <f t="shared" si="326"/>
        <v/>
      </c>
      <c r="H1979" s="1351" t="s">
        <v>1990</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1" t="s">
        <v>1496</v>
      </c>
      <c r="G1980" s="1351" t="str">
        <f t="shared" si="326"/>
        <v/>
      </c>
      <c r="H1980" s="1351" t="s">
        <v>1990</v>
      </c>
      <c r="I1980" s="1307" t="str">
        <f t="shared" si="324"/>
        <v/>
      </c>
      <c r="J1980" s="1351"/>
      <c r="K1980" s="1351" t="str">
        <f t="shared" si="325"/>
        <v/>
      </c>
      <c r="L1980" s="852"/>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1" t="s">
        <v>1496</v>
      </c>
      <c r="G1981" s="1351" t="str">
        <f t="shared" si="326"/>
        <v/>
      </c>
      <c r="H1981" s="1351" t="s">
        <v>1990</v>
      </c>
      <c r="I1981" s="1307" t="str">
        <f t="shared" si="324"/>
        <v/>
      </c>
      <c r="J1981" s="1351"/>
      <c r="K1981" s="1351" t="str">
        <f t="shared" si="325"/>
        <v/>
      </c>
      <c r="L1981" s="852"/>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1" t="s">
        <v>1496</v>
      </c>
      <c r="G1982" s="1351" t="str">
        <f t="shared" si="326"/>
        <v/>
      </c>
      <c r="H1982" s="1351" t="s">
        <v>1990</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1" t="s">
        <v>1496</v>
      </c>
      <c r="G1983" s="1351" t="str">
        <f t="shared" si="326"/>
        <v/>
      </c>
      <c r="H1983" s="1351" t="s">
        <v>1990</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1" t="s">
        <v>1496</v>
      </c>
      <c r="G1984" s="1351" t="str">
        <f t="shared" si="326"/>
        <v/>
      </c>
      <c r="H1984" s="1351" t="s">
        <v>1990</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1" t="s">
        <v>1496</v>
      </c>
      <c r="G1985" s="1351" t="str">
        <f t="shared" si="326"/>
        <v/>
      </c>
      <c r="H1985" s="1351" t="s">
        <v>1990</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1" t="s">
        <v>1496</v>
      </c>
      <c r="G1986" s="1351" t="str">
        <f t="shared" si="326"/>
        <v/>
      </c>
      <c r="H1986" s="1351" t="s">
        <v>1990</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1" t="s">
        <v>1496</v>
      </c>
      <c r="G1987" s="1351" t="str">
        <f t="shared" si="326"/>
        <v/>
      </c>
      <c r="H1987" s="1351" t="s">
        <v>1990</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1" t="s">
        <v>2002</v>
      </c>
      <c r="G1988" s="817" t="s">
        <v>1353</v>
      </c>
      <c r="H1988" s="817"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0" t="str">
        <f>IF(T1990&lt;&gt;"","A","")</f>
        <v/>
      </c>
      <c r="H1990" s="1390" t="s">
        <v>1990</v>
      </c>
      <c r="I1990" s="852"/>
      <c r="J1990" s="852"/>
      <c r="K1990" s="852"/>
      <c r="L1990" s="852" t="s">
        <v>1491</v>
      </c>
      <c r="M1990" s="1369">
        <v>1209</v>
      </c>
      <c r="N1990" s="852"/>
      <c r="O1990" s="1718" t="s">
        <v>725</v>
      </c>
      <c r="R1990" s="1387" t="s">
        <v>2043</v>
      </c>
      <c r="T1990" s="1390" t="str">
        <f>IF(Q$1991="Yes",36,"")</f>
        <v/>
      </c>
    </row>
    <row r="1991" spans="1:26" s="138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0"/>
      <c r="H1991" s="1390"/>
      <c r="I1991" s="852"/>
      <c r="J1991" s="852"/>
      <c r="K1991" s="852"/>
      <c r="L1991" s="852" t="s">
        <v>1705</v>
      </c>
      <c r="M1991" s="1369">
        <v>1210</v>
      </c>
      <c r="N1991" s="852"/>
      <c r="O1991" s="1718">
        <f>'Configurable Tab'!H38</f>
        <v>503</v>
      </c>
      <c r="P1991" s="18" t="str">
        <f>'Configurable Tab'!J38</f>
        <v>No</v>
      </c>
      <c r="Q1991" s="1385" t="s">
        <v>648</v>
      </c>
      <c r="R1991" s="1387" t="s">
        <v>2043</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0" t="str">
        <f>IF(T1992&lt;&gt;"","B","")</f>
        <v/>
      </c>
      <c r="H1992" s="1390" t="s">
        <v>1990</v>
      </c>
      <c r="I1992" s="852"/>
      <c r="J1992" s="852"/>
      <c r="K1992" s="852"/>
      <c r="L1992" s="852" t="s">
        <v>1383</v>
      </c>
      <c r="M1992" s="1369">
        <v>1211</v>
      </c>
      <c r="N1992" s="852"/>
      <c r="O1992" s="1718" t="s">
        <v>726</v>
      </c>
      <c r="R1992" s="1387" t="s">
        <v>2043</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0" t="str">
        <f>IF(T1993&lt;&gt;"","I","")</f>
        <v/>
      </c>
      <c r="H1993" s="1390" t="s">
        <v>1990</v>
      </c>
      <c r="I1993" s="852"/>
      <c r="J1993" s="852"/>
      <c r="K1993" s="852"/>
      <c r="L1993" s="852" t="s">
        <v>1381</v>
      </c>
      <c r="M1993" s="1369">
        <v>1212</v>
      </c>
      <c r="N1993" s="852"/>
      <c r="O1993" s="1718">
        <f>'Configurable Tab'!I38</f>
        <v>516</v>
      </c>
      <c r="R1993" s="1387" t="s">
        <v>2043</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0" t="str">
        <f>IF(T1994&lt;&gt;"",IF(Q1993="Credit Memo","J",IF(Q1993="Check","K","")),"")</f>
        <v/>
      </c>
      <c r="H1994" s="1390" t="s">
        <v>1990</v>
      </c>
      <c r="I1994" s="852"/>
      <c r="J1994" s="852"/>
      <c r="K1994" s="852"/>
      <c r="L1994" s="852" t="s">
        <v>1382</v>
      </c>
      <c r="M1994" s="1369">
        <v>1213</v>
      </c>
      <c r="N1994" s="852"/>
      <c r="O1994" s="1385" t="s">
        <v>2026</v>
      </c>
      <c r="R1994" s="1387" t="s">
        <v>2043</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0" t="str">
        <f>IF(T1995&lt;&gt;"","C","")</f>
        <v/>
      </c>
      <c r="H1995" s="1390" t="s">
        <v>1990</v>
      </c>
      <c r="I1995" s="852"/>
      <c r="J1995" s="852"/>
      <c r="K1995" s="852"/>
      <c r="L1995" s="852" t="s">
        <v>1385</v>
      </c>
      <c r="M1995" s="1369">
        <v>1214</v>
      </c>
      <c r="N1995" s="852"/>
      <c r="R1995" s="1387" t="s">
        <v>2043</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0" t="str">
        <f>IF(T1996&lt;&gt;"","D","")</f>
        <v/>
      </c>
      <c r="H1996" s="1390" t="s">
        <v>1990</v>
      </c>
      <c r="I1996" s="852"/>
      <c r="J1996" s="852"/>
      <c r="K1996" s="852"/>
      <c r="L1996" s="852" t="s">
        <v>1386</v>
      </c>
      <c r="M1996" s="1369">
        <v>1215</v>
      </c>
      <c r="N1996" s="852"/>
      <c r="R1996" s="1387" t="s">
        <v>2043</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1" t="s">
        <v>1396</v>
      </c>
      <c r="G1997" s="1391" t="str">
        <f>IF(T1997&lt;&gt;"","S","")</f>
        <v/>
      </c>
      <c r="H1997" s="1391" t="s">
        <v>1990</v>
      </c>
      <c r="I1997" s="852"/>
      <c r="J1997" s="852"/>
      <c r="K1997" s="852"/>
      <c r="L1997" s="852" t="s">
        <v>1396</v>
      </c>
      <c r="M1997" s="1369">
        <v>1216</v>
      </c>
      <c r="N1997" s="852"/>
      <c r="R1997" s="1387" t="s">
        <v>2043</v>
      </c>
      <c r="T1997" s="1390" t="str">
        <f t="shared" si="327"/>
        <v/>
      </c>
    </row>
    <row r="1998" spans="1:26" s="138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0" t="str">
        <f>IF(T1998&lt;&gt;"","AQ","")</f>
        <v/>
      </c>
      <c r="H1998" s="1390" t="s">
        <v>1990</v>
      </c>
      <c r="I1998" s="852"/>
      <c r="J1998" s="852"/>
      <c r="K1998" s="852"/>
      <c r="L1998" s="852" t="s">
        <v>2005</v>
      </c>
      <c r="M1998" s="1369">
        <v>1217</v>
      </c>
      <c r="N1998" s="852"/>
      <c r="R1998" s="1387" t="s">
        <v>2043</v>
      </c>
      <c r="T1998" s="1390" t="str">
        <f t="shared" si="327"/>
        <v/>
      </c>
    </row>
    <row r="1999" spans="1:26" s="138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0" t="str">
        <f>IF(T1999&lt;&gt;"","AA","")</f>
        <v/>
      </c>
      <c r="H1999" s="1390" t="s">
        <v>1990</v>
      </c>
      <c r="I1999" s="852"/>
      <c r="J1999" s="852"/>
      <c r="K1999" s="852"/>
      <c r="L1999" s="852" t="s">
        <v>2006</v>
      </c>
      <c r="M1999" s="1369">
        <v>1218</v>
      </c>
      <c r="N1999" s="852"/>
      <c r="R1999" s="1387" t="s">
        <v>2043</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0" t="str">
        <f>IF(T2000&lt;&gt;"","H","")</f>
        <v/>
      </c>
      <c r="H2000" s="1390" t="s">
        <v>1990</v>
      </c>
      <c r="I2000" s="852"/>
      <c r="J2000" s="852"/>
      <c r="K2000" s="852"/>
      <c r="L2000" s="852" t="s">
        <v>1397</v>
      </c>
      <c r="M2000" s="1369">
        <v>1219</v>
      </c>
      <c r="N2000" s="852"/>
      <c r="R2000" s="1387" t="s">
        <v>2043</v>
      </c>
      <c r="T2000" s="1390" t="str">
        <f t="shared" si="327"/>
        <v/>
      </c>
    </row>
    <row r="2001" spans="1:20" s="138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0" t="str">
        <f>IF(T2001&lt;&gt;"","A","")</f>
        <v/>
      </c>
      <c r="H2001" s="1390" t="s">
        <v>1990</v>
      </c>
      <c r="I2001" s="852"/>
      <c r="J2001" s="852"/>
      <c r="K2001" s="852"/>
      <c r="L2001" s="852" t="s">
        <v>1491</v>
      </c>
      <c r="M2001" s="1369">
        <v>1220</v>
      </c>
      <c r="N2001" s="852"/>
      <c r="O2001" s="1718" t="s">
        <v>725</v>
      </c>
      <c r="R2001" s="1387" t="s">
        <v>2044</v>
      </c>
      <c r="T2001" s="1390" t="str">
        <f>IF(Q$2002="Yes",37,"")</f>
        <v/>
      </c>
    </row>
    <row r="2002" spans="1:20" s="138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0"/>
      <c r="H2002" s="1390"/>
      <c r="I2002" s="852"/>
      <c r="J2002" s="852"/>
      <c r="K2002" s="852"/>
      <c r="L2002" s="852" t="s">
        <v>1705</v>
      </c>
      <c r="M2002" s="1369">
        <v>1221</v>
      </c>
      <c r="N2002" s="852"/>
      <c r="O2002" s="1718">
        <f>'Configurable Tab'!H39</f>
        <v>517</v>
      </c>
      <c r="P2002" s="18" t="str">
        <f>'Configurable Tab'!J39</f>
        <v>No</v>
      </c>
      <c r="Q2002" s="1388" t="s">
        <v>648</v>
      </c>
      <c r="R2002" s="1387" t="s">
        <v>2044</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0" t="str">
        <f>IF(T2003&lt;&gt;"","B","")</f>
        <v/>
      </c>
      <c r="H2003" s="1390" t="s">
        <v>1990</v>
      </c>
      <c r="I2003" s="852"/>
      <c r="J2003" s="852"/>
      <c r="K2003" s="852"/>
      <c r="L2003" s="852" t="s">
        <v>1383</v>
      </c>
      <c r="M2003" s="1369">
        <v>1222</v>
      </c>
      <c r="N2003" s="852"/>
      <c r="O2003" s="1718" t="s">
        <v>726</v>
      </c>
      <c r="R2003" s="1387" t="s">
        <v>2044</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0" t="str">
        <f>IF(T2004&lt;&gt;"","I","")</f>
        <v/>
      </c>
      <c r="H2004" s="1390" t="s">
        <v>1990</v>
      </c>
      <c r="I2004" s="852"/>
      <c r="J2004" s="852"/>
      <c r="K2004" s="852"/>
      <c r="L2004" s="852" t="s">
        <v>1381</v>
      </c>
      <c r="M2004" s="1369">
        <v>1223</v>
      </c>
      <c r="N2004" s="852"/>
      <c r="O2004" s="1718">
        <f>'Configurable Tab'!I39</f>
        <v>530</v>
      </c>
      <c r="R2004" s="1387" t="s">
        <v>2044</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0" t="str">
        <f>IF(T2005&lt;&gt;"",IF(Q2004="Credit Memo","J",IF(Q2004="Check","K","")),"")</f>
        <v/>
      </c>
      <c r="H2005" s="1390" t="s">
        <v>1990</v>
      </c>
      <c r="I2005" s="852"/>
      <c r="J2005" s="852"/>
      <c r="K2005" s="852"/>
      <c r="L2005" s="852" t="s">
        <v>1382</v>
      </c>
      <c r="M2005" s="1369">
        <v>1224</v>
      </c>
      <c r="N2005" s="852"/>
      <c r="O2005" s="1385" t="s">
        <v>2027</v>
      </c>
      <c r="R2005" s="1387" t="s">
        <v>2044</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0" t="str">
        <f>IF(T2006&lt;&gt;"","C","")</f>
        <v/>
      </c>
      <c r="H2006" s="1390" t="s">
        <v>1990</v>
      </c>
      <c r="I2006" s="852"/>
      <c r="J2006" s="852"/>
      <c r="K2006" s="852"/>
      <c r="L2006" s="852" t="s">
        <v>1385</v>
      </c>
      <c r="M2006" s="1369">
        <v>1225</v>
      </c>
      <c r="N2006" s="852"/>
      <c r="R2006" s="1387" t="s">
        <v>2044</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0" t="str">
        <f>IF(T2007&lt;&gt;"","D","")</f>
        <v/>
      </c>
      <c r="H2007" s="1390" t="s">
        <v>1990</v>
      </c>
      <c r="I2007" s="852"/>
      <c r="J2007" s="852"/>
      <c r="K2007" s="852"/>
      <c r="L2007" s="852" t="s">
        <v>1386</v>
      </c>
      <c r="M2007" s="1369">
        <v>1226</v>
      </c>
      <c r="N2007" s="852"/>
      <c r="R2007" s="1387" t="s">
        <v>2044</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0" t="s">
        <v>1396</v>
      </c>
      <c r="G2008" s="1390" t="str">
        <f t="shared" ref="G2008:G2052" si="329">IF(T2008&lt;&gt;"","S","")</f>
        <v/>
      </c>
      <c r="H2008" s="1390" t="s">
        <v>1990</v>
      </c>
      <c r="I2008" s="852"/>
      <c r="J2008" s="852"/>
      <c r="K2008" s="852"/>
      <c r="L2008" s="852" t="s">
        <v>1396</v>
      </c>
      <c r="M2008" s="1369">
        <v>1227</v>
      </c>
      <c r="N2008" s="852"/>
      <c r="R2008" s="1387" t="s">
        <v>2044</v>
      </c>
      <c r="T2008" s="1604" t="str">
        <f t="shared" si="328"/>
        <v/>
      </c>
    </row>
    <row r="2009" spans="1:20" s="138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0" t="str">
        <f>IF(T2009&lt;&gt;"","AQ","")</f>
        <v/>
      </c>
      <c r="H2009" s="1390" t="s">
        <v>1990</v>
      </c>
      <c r="I2009" s="852"/>
      <c r="J2009" s="852"/>
      <c r="K2009" s="852"/>
      <c r="L2009" s="852" t="s">
        <v>2005</v>
      </c>
      <c r="M2009" s="1369">
        <v>1228</v>
      </c>
      <c r="N2009" s="852"/>
      <c r="R2009" s="1387" t="s">
        <v>2044</v>
      </c>
      <c r="T2009" s="1604" t="str">
        <f t="shared" si="328"/>
        <v/>
      </c>
    </row>
    <row r="2010" spans="1:20" s="138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0" t="str">
        <f>IF(T2010&lt;&gt;"","AA","")</f>
        <v/>
      </c>
      <c r="H2010" s="1390" t="s">
        <v>1990</v>
      </c>
      <c r="I2010" s="852"/>
      <c r="J2010" s="852"/>
      <c r="K2010" s="852"/>
      <c r="L2010" s="852" t="s">
        <v>2006</v>
      </c>
      <c r="M2010" s="1369">
        <v>1229</v>
      </c>
      <c r="N2010" s="852"/>
      <c r="R2010" s="1387" t="s">
        <v>2044</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0" t="str">
        <f>IF(T2011&lt;&gt;"","H","")</f>
        <v/>
      </c>
      <c r="H2011" s="1390" t="s">
        <v>1990</v>
      </c>
      <c r="I2011" s="852"/>
      <c r="J2011" s="852"/>
      <c r="K2011" s="852"/>
      <c r="L2011" s="852" t="s">
        <v>1397</v>
      </c>
      <c r="M2011" s="1369">
        <v>1230</v>
      </c>
      <c r="N2011" s="852"/>
      <c r="R2011" s="1387" t="s">
        <v>2044</v>
      </c>
      <c r="T2011" s="1604" t="str">
        <f t="shared" si="328"/>
        <v/>
      </c>
    </row>
    <row r="2012" spans="1:20" s="138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0" t="str">
        <f>IF(T2012&lt;&gt;"","A","")</f>
        <v/>
      </c>
      <c r="H2012" s="1390" t="s">
        <v>1990</v>
      </c>
      <c r="I2012" s="852"/>
      <c r="J2012" s="852"/>
      <c r="K2012" s="852"/>
      <c r="L2012" s="852" t="s">
        <v>1491</v>
      </c>
      <c r="M2012" s="1369">
        <v>1231</v>
      </c>
      <c r="N2012" s="852"/>
      <c r="O2012" s="1718" t="s">
        <v>725</v>
      </c>
      <c r="R2012" s="1387" t="s">
        <v>2045</v>
      </c>
      <c r="T2012" s="1390" t="str">
        <f>IF(Q$2013="Yes",38,"")</f>
        <v/>
      </c>
    </row>
    <row r="2013" spans="1:20" s="138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0"/>
      <c r="H2013" s="1390"/>
      <c r="I2013" s="852"/>
      <c r="J2013" s="852"/>
      <c r="K2013" s="852"/>
      <c r="L2013" s="852" t="s">
        <v>1705</v>
      </c>
      <c r="M2013" s="1369">
        <v>1232</v>
      </c>
      <c r="N2013" s="852"/>
      <c r="O2013" s="1718">
        <f>'Configurable Tab'!H40</f>
        <v>531</v>
      </c>
      <c r="P2013" s="18" t="str">
        <f>'Configurable Tab'!J40</f>
        <v>No</v>
      </c>
      <c r="Q2013" s="1388" t="s">
        <v>648</v>
      </c>
      <c r="R2013" s="1387" t="s">
        <v>2045</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0" t="str">
        <f>IF(T2014&lt;&gt;"","B","")</f>
        <v/>
      </c>
      <c r="H2014" s="1390" t="s">
        <v>1990</v>
      </c>
      <c r="I2014" s="852"/>
      <c r="J2014" s="852"/>
      <c r="K2014" s="852"/>
      <c r="L2014" s="852" t="s">
        <v>1383</v>
      </c>
      <c r="M2014" s="1369">
        <v>1233</v>
      </c>
      <c r="N2014" s="852"/>
      <c r="O2014" s="1718" t="s">
        <v>726</v>
      </c>
      <c r="R2014" s="1387" t="s">
        <v>2045</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0" t="str">
        <f>IF(T2015&lt;&gt;"","I","")</f>
        <v/>
      </c>
      <c r="H2015" s="1390" t="s">
        <v>1990</v>
      </c>
      <c r="I2015" s="852"/>
      <c r="J2015" s="852"/>
      <c r="K2015" s="852"/>
      <c r="L2015" s="852" t="s">
        <v>1381</v>
      </c>
      <c r="M2015" s="1369">
        <v>1234</v>
      </c>
      <c r="N2015" s="852"/>
      <c r="O2015" s="1718">
        <f>'Configurable Tab'!I40</f>
        <v>544</v>
      </c>
      <c r="R2015" s="1387" t="s">
        <v>2045</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0" t="str">
        <f>IF(T2016&lt;&gt;"",IF(Q2015="Credit Memo","J",IF(Q2015="Check","K","")),"")</f>
        <v/>
      </c>
      <c r="H2016" s="1390" t="s">
        <v>1990</v>
      </c>
      <c r="I2016" s="852"/>
      <c r="J2016" s="852"/>
      <c r="K2016" s="852"/>
      <c r="L2016" s="852" t="s">
        <v>1382</v>
      </c>
      <c r="M2016" s="1369">
        <v>1235</v>
      </c>
      <c r="N2016" s="852"/>
      <c r="O2016" s="1385" t="s">
        <v>2028</v>
      </c>
      <c r="R2016" s="1387" t="s">
        <v>2045</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0" t="str">
        <f>IF(T2017&lt;&gt;"","C","")</f>
        <v/>
      </c>
      <c r="H2017" s="1390" t="s">
        <v>1990</v>
      </c>
      <c r="I2017" s="852"/>
      <c r="J2017" s="852"/>
      <c r="K2017" s="852"/>
      <c r="L2017" s="852" t="s">
        <v>1385</v>
      </c>
      <c r="M2017" s="1369">
        <v>1236</v>
      </c>
      <c r="N2017" s="852"/>
      <c r="R2017" s="1387" t="s">
        <v>2045</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0" t="str">
        <f>IF(T2018&lt;&gt;"","D","")</f>
        <v/>
      </c>
      <c r="H2018" s="1390" t="s">
        <v>1990</v>
      </c>
      <c r="I2018" s="852"/>
      <c r="J2018" s="852"/>
      <c r="K2018" s="852"/>
      <c r="L2018" s="852" t="s">
        <v>1386</v>
      </c>
      <c r="M2018" s="1369">
        <v>1237</v>
      </c>
      <c r="N2018" s="852"/>
      <c r="R2018" s="1387" t="s">
        <v>2045</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0" t="s">
        <v>1396</v>
      </c>
      <c r="G2019" s="1390" t="str">
        <f t="shared" si="329"/>
        <v/>
      </c>
      <c r="H2019" s="1390" t="s">
        <v>1990</v>
      </c>
      <c r="I2019" s="852"/>
      <c r="J2019" s="852"/>
      <c r="K2019" s="852"/>
      <c r="L2019" s="852" t="s">
        <v>1396</v>
      </c>
      <c r="M2019" s="1369">
        <v>1238</v>
      </c>
      <c r="N2019" s="852"/>
      <c r="R2019" s="1387" t="s">
        <v>2045</v>
      </c>
      <c r="T2019" s="1604" t="str">
        <f t="shared" si="330"/>
        <v/>
      </c>
    </row>
    <row r="2020" spans="1:20" s="138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0" t="str">
        <f>IF(T2020&lt;&gt;"","AQ","")</f>
        <v/>
      </c>
      <c r="H2020" s="1390" t="s">
        <v>1990</v>
      </c>
      <c r="I2020" s="852"/>
      <c r="J2020" s="852"/>
      <c r="K2020" s="852"/>
      <c r="L2020" s="852" t="s">
        <v>2005</v>
      </c>
      <c r="M2020" s="1369">
        <v>1239</v>
      </c>
      <c r="N2020" s="852"/>
      <c r="R2020" s="1387" t="s">
        <v>2045</v>
      </c>
      <c r="T2020" s="1604" t="str">
        <f t="shared" si="330"/>
        <v/>
      </c>
    </row>
    <row r="2021" spans="1:20" s="138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0" t="str">
        <f>IF(T2021&lt;&gt;"","AA","")</f>
        <v/>
      </c>
      <c r="H2021" s="1390" t="s">
        <v>1990</v>
      </c>
      <c r="I2021" s="852"/>
      <c r="J2021" s="852"/>
      <c r="K2021" s="852"/>
      <c r="L2021" s="852" t="s">
        <v>2006</v>
      </c>
      <c r="M2021" s="1369">
        <v>1240</v>
      </c>
      <c r="N2021" s="852"/>
      <c r="R2021" s="1387" t="s">
        <v>2045</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0" t="str">
        <f>IF(T2022&lt;&gt;"","H","")</f>
        <v/>
      </c>
      <c r="H2022" s="1390" t="s">
        <v>1990</v>
      </c>
      <c r="I2022" s="852"/>
      <c r="J2022" s="852"/>
      <c r="K2022" s="852"/>
      <c r="L2022" s="852" t="s">
        <v>1397</v>
      </c>
      <c r="M2022" s="1369">
        <v>1241</v>
      </c>
      <c r="N2022" s="852"/>
      <c r="R2022" s="1387" t="s">
        <v>2045</v>
      </c>
      <c r="T2022" s="1604" t="str">
        <f t="shared" si="330"/>
        <v/>
      </c>
    </row>
    <row r="2023" spans="1:20" s="138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0" t="str">
        <f>IF(T2023&lt;&gt;"","A","")</f>
        <v/>
      </c>
      <c r="H2023" s="1390" t="s">
        <v>1990</v>
      </c>
      <c r="I2023" s="852"/>
      <c r="J2023" s="852"/>
      <c r="K2023" s="852"/>
      <c r="L2023" s="852" t="s">
        <v>1491</v>
      </c>
      <c r="M2023" s="1369">
        <v>1242</v>
      </c>
      <c r="N2023" s="852"/>
      <c r="O2023" s="1718" t="s">
        <v>725</v>
      </c>
      <c r="R2023" s="1387" t="s">
        <v>2046</v>
      </c>
      <c r="T2023" s="1390" t="str">
        <f>IF(Q$2024="Yes",39,"")</f>
        <v/>
      </c>
    </row>
    <row r="2024" spans="1:20" s="138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0"/>
      <c r="H2024" s="1390"/>
      <c r="I2024" s="852"/>
      <c r="J2024" s="852"/>
      <c r="K2024" s="852"/>
      <c r="L2024" s="852" t="s">
        <v>1705</v>
      </c>
      <c r="M2024" s="1369">
        <v>1243</v>
      </c>
      <c r="N2024" s="852"/>
      <c r="O2024" s="1718">
        <f>'Configurable Tab'!H41</f>
        <v>545</v>
      </c>
      <c r="P2024" s="18" t="str">
        <f>'Configurable Tab'!J41</f>
        <v>No</v>
      </c>
      <c r="Q2024" s="1388" t="s">
        <v>648</v>
      </c>
      <c r="R2024" s="1387" t="s">
        <v>2046</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0" t="str">
        <f>IF(T2025&lt;&gt;"","B","")</f>
        <v/>
      </c>
      <c r="H2025" s="1390" t="s">
        <v>1990</v>
      </c>
      <c r="I2025" s="852"/>
      <c r="J2025" s="852"/>
      <c r="K2025" s="852"/>
      <c r="L2025" s="852" t="s">
        <v>1383</v>
      </c>
      <c r="M2025" s="1369">
        <v>1244</v>
      </c>
      <c r="N2025" s="852"/>
      <c r="O2025" s="1718" t="s">
        <v>726</v>
      </c>
      <c r="R2025" s="1387" t="s">
        <v>2046</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0" t="str">
        <f>IF(T2026&lt;&gt;"","I","")</f>
        <v/>
      </c>
      <c r="H2026" s="1390" t="s">
        <v>1990</v>
      </c>
      <c r="I2026" s="852"/>
      <c r="J2026" s="852"/>
      <c r="K2026" s="852"/>
      <c r="L2026" s="852" t="s">
        <v>1381</v>
      </c>
      <c r="M2026" s="1369">
        <v>1245</v>
      </c>
      <c r="N2026" s="852"/>
      <c r="O2026" s="1718">
        <f>'Configurable Tab'!I41</f>
        <v>558</v>
      </c>
      <c r="R2026" s="1387" t="s">
        <v>2046</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0" t="str">
        <f>IF(T2027&lt;&gt;"",IF(Q2026="Credit Memo","J",IF(Q2026="Check","K","")),"")</f>
        <v/>
      </c>
      <c r="H2027" s="1390" t="s">
        <v>1990</v>
      </c>
      <c r="I2027" s="852"/>
      <c r="J2027" s="852"/>
      <c r="K2027" s="852"/>
      <c r="L2027" s="852" t="s">
        <v>1382</v>
      </c>
      <c r="M2027" s="1369">
        <v>1246</v>
      </c>
      <c r="N2027" s="852"/>
      <c r="O2027" s="1385" t="s">
        <v>2029</v>
      </c>
      <c r="R2027" s="1387" t="s">
        <v>2046</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0" t="str">
        <f>IF(T2028&lt;&gt;"","C","")</f>
        <v/>
      </c>
      <c r="H2028" s="1390" t="s">
        <v>1990</v>
      </c>
      <c r="I2028" s="852"/>
      <c r="J2028" s="852"/>
      <c r="K2028" s="852"/>
      <c r="L2028" s="852" t="s">
        <v>1385</v>
      </c>
      <c r="M2028" s="1369">
        <v>1247</v>
      </c>
      <c r="N2028" s="852"/>
      <c r="R2028" s="1387" t="s">
        <v>2046</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0" t="str">
        <f>IF(T2029&lt;&gt;"","D","")</f>
        <v/>
      </c>
      <c r="H2029" s="1390" t="s">
        <v>1990</v>
      </c>
      <c r="I2029" s="852"/>
      <c r="J2029" s="852"/>
      <c r="K2029" s="852"/>
      <c r="L2029" s="852" t="s">
        <v>1386</v>
      </c>
      <c r="M2029" s="1369">
        <v>1248</v>
      </c>
      <c r="N2029" s="852"/>
      <c r="R2029" s="1387" t="s">
        <v>2046</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0" t="s">
        <v>1396</v>
      </c>
      <c r="G2030" s="1390" t="str">
        <f t="shared" si="329"/>
        <v/>
      </c>
      <c r="H2030" s="1390" t="s">
        <v>1990</v>
      </c>
      <c r="I2030" s="852"/>
      <c r="J2030" s="852"/>
      <c r="K2030" s="852"/>
      <c r="L2030" s="852" t="s">
        <v>1396</v>
      </c>
      <c r="M2030" s="1369">
        <v>1249</v>
      </c>
      <c r="N2030" s="852"/>
      <c r="R2030" s="1387" t="s">
        <v>2046</v>
      </c>
      <c r="T2030" s="1604" t="str">
        <f t="shared" si="331"/>
        <v/>
      </c>
    </row>
    <row r="2031" spans="1:20" s="138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0" t="str">
        <f>IF(T2031&lt;&gt;"","AQ","")</f>
        <v/>
      </c>
      <c r="H2031" s="1390" t="s">
        <v>1990</v>
      </c>
      <c r="I2031" s="852"/>
      <c r="J2031" s="852"/>
      <c r="K2031" s="852"/>
      <c r="L2031" s="852" t="s">
        <v>2005</v>
      </c>
      <c r="M2031" s="1369">
        <v>1250</v>
      </c>
      <c r="N2031" s="852"/>
      <c r="R2031" s="1387" t="s">
        <v>2046</v>
      </c>
      <c r="T2031" s="1604" t="str">
        <f t="shared" si="331"/>
        <v/>
      </c>
    </row>
    <row r="2032" spans="1:20" s="138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0" t="str">
        <f>IF(T2032&lt;&gt;"","AA","")</f>
        <v/>
      </c>
      <c r="H2032" s="1390" t="s">
        <v>1990</v>
      </c>
      <c r="I2032" s="852"/>
      <c r="J2032" s="852"/>
      <c r="K2032" s="852"/>
      <c r="L2032" s="852" t="s">
        <v>2006</v>
      </c>
      <c r="M2032" s="1369">
        <v>1251</v>
      </c>
      <c r="N2032" s="852"/>
      <c r="R2032" s="1387" t="s">
        <v>2046</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0" t="str">
        <f>IF(T2033&lt;&gt;"","H","")</f>
        <v/>
      </c>
      <c r="H2033" s="1390" t="s">
        <v>1990</v>
      </c>
      <c r="I2033" s="852"/>
      <c r="J2033" s="852"/>
      <c r="K2033" s="852"/>
      <c r="L2033" s="852" t="s">
        <v>1397</v>
      </c>
      <c r="M2033" s="1369">
        <v>1252</v>
      </c>
      <c r="N2033" s="852"/>
      <c r="R2033" s="1387" t="s">
        <v>2046</v>
      </c>
      <c r="T2033" s="1604" t="str">
        <f t="shared" si="331"/>
        <v/>
      </c>
    </row>
    <row r="2034" spans="1:20" s="138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0" t="str">
        <f>IF(T2034&lt;&gt;"","A","")</f>
        <v/>
      </c>
      <c r="H2034" s="1390" t="s">
        <v>1990</v>
      </c>
      <c r="I2034" s="852"/>
      <c r="J2034" s="852"/>
      <c r="K2034" s="852"/>
      <c r="L2034" s="852" t="s">
        <v>1491</v>
      </c>
      <c r="M2034" s="1369">
        <v>1253</v>
      </c>
      <c r="N2034" s="852"/>
      <c r="O2034" s="1718" t="s">
        <v>725</v>
      </c>
      <c r="R2034" s="1387" t="s">
        <v>2047</v>
      </c>
      <c r="T2034" s="1390" t="str">
        <f>IF(Q$2035="Yes",40,"")</f>
        <v/>
      </c>
    </row>
    <row r="2035" spans="1:20" s="138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0"/>
      <c r="H2035" s="1390"/>
      <c r="I2035" s="852"/>
      <c r="J2035" s="852"/>
      <c r="K2035" s="852"/>
      <c r="L2035" s="852" t="s">
        <v>1705</v>
      </c>
      <c r="M2035" s="1369">
        <v>1254</v>
      </c>
      <c r="N2035" s="852"/>
      <c r="O2035" s="1718">
        <f>'Configurable Tab'!H42</f>
        <v>559</v>
      </c>
      <c r="P2035" s="18" t="str">
        <f>'Configurable Tab'!J42</f>
        <v>No</v>
      </c>
      <c r="Q2035" s="1388" t="s">
        <v>648</v>
      </c>
      <c r="R2035" s="1387" t="s">
        <v>2047</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0" t="str">
        <f>IF(T2036&lt;&gt;"","B","")</f>
        <v/>
      </c>
      <c r="H2036" s="1390" t="s">
        <v>1990</v>
      </c>
      <c r="I2036" s="852"/>
      <c r="J2036" s="852"/>
      <c r="K2036" s="852"/>
      <c r="L2036" s="852" t="s">
        <v>1383</v>
      </c>
      <c r="M2036" s="1369">
        <v>1255</v>
      </c>
      <c r="N2036" s="852"/>
      <c r="O2036" s="1718" t="s">
        <v>726</v>
      </c>
      <c r="R2036" s="1387" t="s">
        <v>2047</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0" t="str">
        <f>IF(T2037&lt;&gt;"","I","")</f>
        <v/>
      </c>
      <c r="H2037" s="1390" t="s">
        <v>1990</v>
      </c>
      <c r="I2037" s="852"/>
      <c r="J2037" s="852"/>
      <c r="K2037" s="852"/>
      <c r="L2037" s="852" t="s">
        <v>1381</v>
      </c>
      <c r="M2037" s="1369">
        <v>1256</v>
      </c>
      <c r="N2037" s="852"/>
      <c r="O2037" s="1718">
        <f>'Configurable Tab'!I42</f>
        <v>572</v>
      </c>
      <c r="R2037" s="1387" t="s">
        <v>2047</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0" t="str">
        <f>IF(T2038&lt;&gt;"",IF(Q2037="Credit Memo","J",IF(Q2037="Check","K","")),"")</f>
        <v/>
      </c>
      <c r="H2038" s="1390" t="s">
        <v>1990</v>
      </c>
      <c r="I2038" s="852"/>
      <c r="J2038" s="852"/>
      <c r="K2038" s="852"/>
      <c r="L2038" s="852" t="s">
        <v>1382</v>
      </c>
      <c r="M2038" s="1369">
        <v>1257</v>
      </c>
      <c r="N2038" s="852"/>
      <c r="O2038" s="1385" t="s">
        <v>2030</v>
      </c>
      <c r="R2038" s="1387" t="s">
        <v>2047</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0" t="str">
        <f>IF(T2039&lt;&gt;"","C","")</f>
        <v/>
      </c>
      <c r="H2039" s="1390" t="s">
        <v>1990</v>
      </c>
      <c r="I2039" s="852"/>
      <c r="J2039" s="852"/>
      <c r="K2039" s="852"/>
      <c r="L2039" s="852" t="s">
        <v>1385</v>
      </c>
      <c r="M2039" s="1369">
        <v>1258</v>
      </c>
      <c r="N2039" s="852"/>
      <c r="R2039" s="1387" t="s">
        <v>2047</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0" t="str">
        <f>IF(T2040&lt;&gt;"","D","")</f>
        <v/>
      </c>
      <c r="H2040" s="1390" t="s">
        <v>1990</v>
      </c>
      <c r="I2040" s="852"/>
      <c r="J2040" s="852"/>
      <c r="K2040" s="852"/>
      <c r="L2040" s="852" t="s">
        <v>1386</v>
      </c>
      <c r="M2040" s="1369">
        <v>1259</v>
      </c>
      <c r="N2040" s="852"/>
      <c r="R2040" s="1387" t="s">
        <v>2047</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0" t="s">
        <v>1396</v>
      </c>
      <c r="G2041" s="1390" t="str">
        <f t="shared" si="329"/>
        <v/>
      </c>
      <c r="H2041" s="1390" t="s">
        <v>1990</v>
      </c>
      <c r="I2041" s="852"/>
      <c r="J2041" s="852"/>
      <c r="K2041" s="852"/>
      <c r="L2041" s="852" t="s">
        <v>1396</v>
      </c>
      <c r="M2041" s="1369">
        <v>1260</v>
      </c>
      <c r="N2041" s="852"/>
      <c r="R2041" s="1387" t="s">
        <v>2047</v>
      </c>
      <c r="T2041" s="1604" t="str">
        <f t="shared" si="332"/>
        <v/>
      </c>
    </row>
    <row r="2042" spans="1:20" s="138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0" t="str">
        <f>IF(T2042&lt;&gt;"","AQ","")</f>
        <v/>
      </c>
      <c r="H2042" s="1390" t="s">
        <v>1990</v>
      </c>
      <c r="I2042" s="852"/>
      <c r="J2042" s="852"/>
      <c r="K2042" s="852"/>
      <c r="L2042" s="852" t="s">
        <v>2005</v>
      </c>
      <c r="M2042" s="1369">
        <v>1261</v>
      </c>
      <c r="N2042" s="852"/>
      <c r="R2042" s="1387" t="s">
        <v>2047</v>
      </c>
      <c r="T2042" s="1604" t="str">
        <f t="shared" si="332"/>
        <v/>
      </c>
    </row>
    <row r="2043" spans="1:20" s="138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0" t="str">
        <f>IF(T2043&lt;&gt;"","AA","")</f>
        <v/>
      </c>
      <c r="H2043" s="1390" t="s">
        <v>1990</v>
      </c>
      <c r="I2043" s="852"/>
      <c r="J2043" s="852"/>
      <c r="K2043" s="852"/>
      <c r="L2043" s="852" t="s">
        <v>2006</v>
      </c>
      <c r="M2043" s="1369">
        <v>1262</v>
      </c>
      <c r="N2043" s="852"/>
      <c r="R2043" s="1387" t="s">
        <v>2047</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0" t="str">
        <f>IF(T2044&lt;&gt;"","H","")</f>
        <v/>
      </c>
      <c r="H2044" s="1390" t="s">
        <v>1990</v>
      </c>
      <c r="I2044" s="852"/>
      <c r="J2044" s="852"/>
      <c r="K2044" s="852"/>
      <c r="L2044" s="852" t="s">
        <v>1397</v>
      </c>
      <c r="M2044" s="1369">
        <v>1263</v>
      </c>
      <c r="N2044" s="852"/>
      <c r="R2044" s="1387" t="s">
        <v>2047</v>
      </c>
      <c r="T2044" s="1604" t="str">
        <f t="shared" si="332"/>
        <v/>
      </c>
    </row>
    <row r="2045" spans="1:20" s="138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0" t="str">
        <f>IF(T2045&lt;&gt;"","A","")</f>
        <v/>
      </c>
      <c r="H2045" s="1390" t="s">
        <v>1990</v>
      </c>
      <c r="I2045" s="852"/>
      <c r="J2045" s="852"/>
      <c r="K2045" s="852"/>
      <c r="L2045" s="852" t="s">
        <v>1491</v>
      </c>
      <c r="M2045" s="1369">
        <v>1264</v>
      </c>
      <c r="N2045" s="852"/>
      <c r="O2045" s="1718" t="s">
        <v>725</v>
      </c>
      <c r="R2045" s="1387" t="s">
        <v>2048</v>
      </c>
      <c r="T2045" s="1390" t="str">
        <f>IF(Q$2046="Yes",41,"")</f>
        <v/>
      </c>
    </row>
    <row r="2046" spans="1:20" s="138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0"/>
      <c r="H2046" s="1390"/>
      <c r="I2046" s="852"/>
      <c r="J2046" s="852"/>
      <c r="K2046" s="852"/>
      <c r="L2046" s="852" t="s">
        <v>1705</v>
      </c>
      <c r="M2046" s="1369">
        <v>1265</v>
      </c>
      <c r="N2046" s="852"/>
      <c r="O2046" s="1718">
        <f>'Configurable Tab'!H43</f>
        <v>573</v>
      </c>
      <c r="P2046" s="18" t="str">
        <f>'Configurable Tab'!J43</f>
        <v>No</v>
      </c>
      <c r="Q2046" s="1388" t="s">
        <v>648</v>
      </c>
      <c r="R2046" s="1387" t="s">
        <v>2048</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0" t="str">
        <f>IF(T2047&lt;&gt;"","B","")</f>
        <v/>
      </c>
      <c r="H2047" s="1390" t="s">
        <v>1990</v>
      </c>
      <c r="I2047" s="852"/>
      <c r="J2047" s="852"/>
      <c r="K2047" s="852"/>
      <c r="L2047" s="852" t="s">
        <v>1383</v>
      </c>
      <c r="M2047" s="1369">
        <v>1266</v>
      </c>
      <c r="N2047" s="852"/>
      <c r="O2047" s="1718" t="s">
        <v>726</v>
      </c>
      <c r="R2047" s="1387" t="s">
        <v>2048</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0" t="str">
        <f>IF(T2048&lt;&gt;"","I","")</f>
        <v/>
      </c>
      <c r="H2048" s="1390" t="s">
        <v>1990</v>
      </c>
      <c r="I2048" s="852"/>
      <c r="J2048" s="852"/>
      <c r="K2048" s="852"/>
      <c r="L2048" s="852" t="s">
        <v>1381</v>
      </c>
      <c r="M2048" s="1369">
        <v>1267</v>
      </c>
      <c r="N2048" s="852"/>
      <c r="O2048" s="1718">
        <f>'Configurable Tab'!I43</f>
        <v>586</v>
      </c>
      <c r="R2048" s="1387" t="s">
        <v>2048</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0" t="str">
        <f>IF(T2049&lt;&gt;"",IF(Q2048="Credit Memo","J",IF(Q2048="Check","K","")),"")</f>
        <v/>
      </c>
      <c r="H2049" s="1390" t="s">
        <v>1990</v>
      </c>
      <c r="I2049" s="852"/>
      <c r="J2049" s="852"/>
      <c r="K2049" s="852"/>
      <c r="L2049" s="852" t="s">
        <v>1382</v>
      </c>
      <c r="M2049" s="1369">
        <v>1268</v>
      </c>
      <c r="N2049" s="852"/>
      <c r="O2049" s="1385" t="s">
        <v>2031</v>
      </c>
      <c r="R2049" s="1387" t="s">
        <v>2048</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0" t="str">
        <f>IF(T2050&lt;&gt;"","C","")</f>
        <v/>
      </c>
      <c r="H2050" s="1390" t="s">
        <v>1990</v>
      </c>
      <c r="I2050" s="852"/>
      <c r="J2050" s="852"/>
      <c r="K2050" s="852"/>
      <c r="L2050" s="852" t="s">
        <v>1385</v>
      </c>
      <c r="M2050" s="1369">
        <v>1269</v>
      </c>
      <c r="N2050" s="852"/>
      <c r="R2050" s="1387" t="s">
        <v>2048</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0" t="str">
        <f>IF(T2051&lt;&gt;"","D","")</f>
        <v/>
      </c>
      <c r="H2051" s="1390" t="s">
        <v>1990</v>
      </c>
      <c r="I2051" s="852"/>
      <c r="J2051" s="852"/>
      <c r="K2051" s="852"/>
      <c r="L2051" s="852" t="s">
        <v>1386</v>
      </c>
      <c r="M2051" s="1369">
        <v>1270</v>
      </c>
      <c r="N2051" s="852"/>
      <c r="R2051" s="1387" t="s">
        <v>2048</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0" t="s">
        <v>1396</v>
      </c>
      <c r="G2052" s="1390" t="str">
        <f t="shared" si="329"/>
        <v/>
      </c>
      <c r="H2052" s="1390" t="s">
        <v>1990</v>
      </c>
      <c r="I2052" s="852"/>
      <c r="J2052" s="852"/>
      <c r="K2052" s="852"/>
      <c r="L2052" s="852" t="s">
        <v>1396</v>
      </c>
      <c r="M2052" s="1369">
        <v>1271</v>
      </c>
      <c r="N2052" s="852"/>
      <c r="R2052" s="1387" t="s">
        <v>2048</v>
      </c>
      <c r="T2052" s="1604" t="str">
        <f t="shared" si="333"/>
        <v/>
      </c>
    </row>
    <row r="2053" spans="1:20" s="138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0" t="str">
        <f>IF(T2053&lt;&gt;"","AQ","")</f>
        <v/>
      </c>
      <c r="H2053" s="1390" t="s">
        <v>1990</v>
      </c>
      <c r="I2053" s="852"/>
      <c r="J2053" s="852"/>
      <c r="K2053" s="852"/>
      <c r="L2053" s="852" t="s">
        <v>2005</v>
      </c>
      <c r="M2053" s="1369">
        <v>1272</v>
      </c>
      <c r="N2053" s="852"/>
      <c r="R2053" s="1387" t="s">
        <v>2048</v>
      </c>
      <c r="T2053" s="1604" t="str">
        <f t="shared" si="333"/>
        <v/>
      </c>
    </row>
    <row r="2054" spans="1:20" s="138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0" t="str">
        <f>IF(T2054&lt;&gt;"","AA","")</f>
        <v/>
      </c>
      <c r="H2054" s="1390" t="s">
        <v>1990</v>
      </c>
      <c r="I2054" s="852"/>
      <c r="J2054" s="852"/>
      <c r="K2054" s="852"/>
      <c r="L2054" s="852" t="s">
        <v>2006</v>
      </c>
      <c r="M2054" s="1369">
        <v>1273</v>
      </c>
      <c r="N2054" s="852"/>
      <c r="R2054" s="1387" t="s">
        <v>2048</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0" t="str">
        <f>IF(T2055&lt;&gt;"","H","")</f>
        <v/>
      </c>
      <c r="H2055" s="1390" t="s">
        <v>1990</v>
      </c>
      <c r="I2055" s="852"/>
      <c r="J2055" s="852"/>
      <c r="K2055" s="852"/>
      <c r="L2055" s="852" t="s">
        <v>1397</v>
      </c>
      <c r="M2055" s="1369">
        <v>1274</v>
      </c>
      <c r="N2055" s="852"/>
      <c r="R2055" s="1387" t="s">
        <v>2048</v>
      </c>
      <c r="T2055" s="1604" t="str">
        <f t="shared" si="333"/>
        <v/>
      </c>
    </row>
    <row r="2056" spans="1:20" s="138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0" t="str">
        <f>IF(T2056&lt;&gt;"","A","")</f>
        <v/>
      </c>
      <c r="H2056" s="1390" t="s">
        <v>1990</v>
      </c>
      <c r="I2056" s="852"/>
      <c r="J2056" s="852"/>
      <c r="K2056" s="852"/>
      <c r="L2056" s="852" t="s">
        <v>1491</v>
      </c>
      <c r="M2056" s="1369">
        <v>1275</v>
      </c>
      <c r="N2056" s="852"/>
      <c r="O2056" s="1718" t="s">
        <v>725</v>
      </c>
      <c r="R2056" s="1387" t="s">
        <v>2049</v>
      </c>
      <c r="T2056" s="1390" t="str">
        <f>IF(Q$2057="Yes",42,"")</f>
        <v/>
      </c>
    </row>
    <row r="2057" spans="1:20" s="138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0"/>
      <c r="H2057" s="1390"/>
      <c r="I2057" s="852"/>
      <c r="J2057" s="852"/>
      <c r="K2057" s="852"/>
      <c r="L2057" s="852" t="s">
        <v>1705</v>
      </c>
      <c r="M2057" s="1369">
        <v>1276</v>
      </c>
      <c r="N2057" s="852"/>
      <c r="O2057" s="1718">
        <f>'Configurable Tab'!H44</f>
        <v>587</v>
      </c>
      <c r="P2057" s="18" t="str">
        <f>'Configurable Tab'!J44</f>
        <v>No</v>
      </c>
      <c r="Q2057" s="1388" t="s">
        <v>648</v>
      </c>
      <c r="R2057" s="1387" t="s">
        <v>2049</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0" t="str">
        <f>IF(T2058&lt;&gt;"","B","")</f>
        <v/>
      </c>
      <c r="H2058" s="1390" t="s">
        <v>1990</v>
      </c>
      <c r="I2058" s="852"/>
      <c r="J2058" s="852"/>
      <c r="K2058" s="852"/>
      <c r="L2058" s="852" t="s">
        <v>1383</v>
      </c>
      <c r="M2058" s="1369">
        <v>1277</v>
      </c>
      <c r="N2058" s="852"/>
      <c r="O2058" s="1718" t="s">
        <v>726</v>
      </c>
      <c r="R2058" s="1387" t="s">
        <v>2049</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0" t="str">
        <f>IF(T2059&lt;&gt;"","I","")</f>
        <v/>
      </c>
      <c r="H2059" s="1390" t="s">
        <v>1990</v>
      </c>
      <c r="I2059" s="852"/>
      <c r="J2059" s="852"/>
      <c r="K2059" s="852"/>
      <c r="L2059" s="852" t="s">
        <v>1381</v>
      </c>
      <c r="M2059" s="1369">
        <v>1278</v>
      </c>
      <c r="N2059" s="852"/>
      <c r="O2059" s="1718">
        <f>'Configurable Tab'!I44</f>
        <v>600</v>
      </c>
      <c r="R2059" s="1387" t="s">
        <v>2049</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0" t="str">
        <f>IF(T2060&lt;&gt;"",IF(Q2059="Credit Memo","J",IF(Q2059="Check","K","")),"")</f>
        <v/>
      </c>
      <c r="H2060" s="1390" t="s">
        <v>1990</v>
      </c>
      <c r="I2060" s="852"/>
      <c r="J2060" s="852"/>
      <c r="K2060" s="852"/>
      <c r="L2060" s="852" t="s">
        <v>1382</v>
      </c>
      <c r="M2060" s="1369">
        <v>1279</v>
      </c>
      <c r="N2060" s="852"/>
      <c r="O2060" s="1385" t="s">
        <v>2032</v>
      </c>
      <c r="R2060" s="1387" t="s">
        <v>2049</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0" t="str">
        <f>IF(T2061&lt;&gt;"","C","")</f>
        <v/>
      </c>
      <c r="H2061" s="1390" t="s">
        <v>1990</v>
      </c>
      <c r="I2061" s="852"/>
      <c r="J2061" s="852"/>
      <c r="K2061" s="852"/>
      <c r="L2061" s="852" t="s">
        <v>1385</v>
      </c>
      <c r="M2061" s="1369">
        <v>1280</v>
      </c>
      <c r="N2061" s="852"/>
      <c r="R2061" s="1387" t="s">
        <v>2049</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0" t="str">
        <f>IF(T2062&lt;&gt;"","D","")</f>
        <v/>
      </c>
      <c r="H2062" s="1390" t="s">
        <v>1990</v>
      </c>
      <c r="I2062" s="852"/>
      <c r="J2062" s="852"/>
      <c r="K2062" s="852"/>
      <c r="L2062" s="852" t="s">
        <v>1386</v>
      </c>
      <c r="M2062" s="1369">
        <v>1281</v>
      </c>
      <c r="N2062" s="852"/>
      <c r="R2062" s="1387" t="s">
        <v>2049</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0" t="s">
        <v>1396</v>
      </c>
      <c r="G2063" s="1390" t="str">
        <f t="shared" ref="G2063:G2085" si="335">IF(T2063&lt;&gt;"","S","")</f>
        <v/>
      </c>
      <c r="H2063" s="1390" t="s">
        <v>1990</v>
      </c>
      <c r="I2063" s="852"/>
      <c r="J2063" s="852"/>
      <c r="K2063" s="852"/>
      <c r="L2063" s="852" t="s">
        <v>1396</v>
      </c>
      <c r="M2063" s="1369">
        <v>1282</v>
      </c>
      <c r="N2063" s="852"/>
      <c r="R2063" s="1387" t="s">
        <v>2049</v>
      </c>
      <c r="T2063" s="1604" t="str">
        <f t="shared" si="334"/>
        <v/>
      </c>
    </row>
    <row r="2064" spans="1:20" s="138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0" t="str">
        <f>IF(T2064&lt;&gt;"","AQ","")</f>
        <v/>
      </c>
      <c r="H2064" s="1390" t="s">
        <v>1990</v>
      </c>
      <c r="I2064" s="852"/>
      <c r="J2064" s="852"/>
      <c r="K2064" s="852"/>
      <c r="L2064" s="852" t="s">
        <v>2005</v>
      </c>
      <c r="M2064" s="1369">
        <v>1283</v>
      </c>
      <c r="N2064" s="852"/>
      <c r="R2064" s="1387" t="s">
        <v>2049</v>
      </c>
      <c r="T2064" s="1604" t="str">
        <f t="shared" si="334"/>
        <v/>
      </c>
    </row>
    <row r="2065" spans="1:20" s="138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0" t="str">
        <f>IF(T2065&lt;&gt;"","AA","")</f>
        <v/>
      </c>
      <c r="H2065" s="1390" t="s">
        <v>1990</v>
      </c>
      <c r="I2065" s="852"/>
      <c r="J2065" s="852"/>
      <c r="K2065" s="852"/>
      <c r="L2065" s="852" t="s">
        <v>2006</v>
      </c>
      <c r="M2065" s="1369">
        <v>1284</v>
      </c>
      <c r="N2065" s="852"/>
      <c r="R2065" s="1387" t="s">
        <v>2049</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0" t="str">
        <f>IF(T2066&lt;&gt;"","H","")</f>
        <v/>
      </c>
      <c r="H2066" s="1390" t="s">
        <v>1990</v>
      </c>
      <c r="I2066" s="852"/>
      <c r="J2066" s="852"/>
      <c r="K2066" s="852"/>
      <c r="L2066" s="852" t="s">
        <v>1397</v>
      </c>
      <c r="M2066" s="1369">
        <v>1285</v>
      </c>
      <c r="N2066" s="852"/>
      <c r="R2066" s="1387" t="s">
        <v>2049</v>
      </c>
      <c r="T2066" s="1604" t="str">
        <f t="shared" si="334"/>
        <v/>
      </c>
    </row>
    <row r="2067" spans="1:20" s="138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0" t="str">
        <f>IF(T2067&lt;&gt;"","A","")</f>
        <v/>
      </c>
      <c r="H2067" s="1390" t="s">
        <v>1990</v>
      </c>
      <c r="I2067" s="852"/>
      <c r="J2067" s="852"/>
      <c r="K2067" s="852"/>
      <c r="L2067" s="852" t="s">
        <v>1491</v>
      </c>
      <c r="M2067" s="1369">
        <v>1286</v>
      </c>
      <c r="N2067" s="852"/>
      <c r="O2067" s="1718" t="s">
        <v>725</v>
      </c>
      <c r="R2067" s="1387" t="s">
        <v>2050</v>
      </c>
      <c r="T2067" s="1390" t="str">
        <f>IF(Q$2068="Yes",43,"")</f>
        <v/>
      </c>
    </row>
    <row r="2068" spans="1:20" s="138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0"/>
      <c r="H2068" s="1390"/>
      <c r="I2068" s="852"/>
      <c r="J2068" s="852"/>
      <c r="K2068" s="852"/>
      <c r="L2068" s="852" t="s">
        <v>1705</v>
      </c>
      <c r="M2068" s="1369">
        <v>1287</v>
      </c>
      <c r="N2068" s="852"/>
      <c r="O2068" s="1718">
        <f>'Configurable Tab'!H45</f>
        <v>601</v>
      </c>
      <c r="P2068" s="18" t="str">
        <f>'Configurable Tab'!J45</f>
        <v>No</v>
      </c>
      <c r="Q2068" s="1388" t="s">
        <v>648</v>
      </c>
      <c r="R2068" s="1387" t="s">
        <v>2050</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0" t="str">
        <f>IF(T2069&lt;&gt;"","B","")</f>
        <v/>
      </c>
      <c r="H2069" s="1390" t="s">
        <v>1990</v>
      </c>
      <c r="I2069" s="852"/>
      <c r="J2069" s="852"/>
      <c r="K2069" s="852"/>
      <c r="L2069" s="852" t="s">
        <v>1383</v>
      </c>
      <c r="M2069" s="1369">
        <v>1288</v>
      </c>
      <c r="N2069" s="852"/>
      <c r="O2069" s="1718" t="s">
        <v>726</v>
      </c>
      <c r="R2069" s="1387" t="s">
        <v>2050</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0" t="str">
        <f>IF(T2070&lt;&gt;"","I","")</f>
        <v/>
      </c>
      <c r="H2070" s="1390" t="s">
        <v>1990</v>
      </c>
      <c r="I2070" s="852"/>
      <c r="J2070" s="852"/>
      <c r="K2070" s="852"/>
      <c r="L2070" s="852" t="s">
        <v>1381</v>
      </c>
      <c r="M2070" s="1369">
        <v>1289</v>
      </c>
      <c r="N2070" s="852"/>
      <c r="O2070" s="1718">
        <f>'Configurable Tab'!I45</f>
        <v>614</v>
      </c>
      <c r="R2070" s="1387" t="s">
        <v>2050</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0" t="str">
        <f>IF(T2071&lt;&gt;"",IF(Q2070="Credit Memo","J",IF(Q2070="Check","K","")),"")</f>
        <v/>
      </c>
      <c r="H2071" s="1390" t="s">
        <v>1990</v>
      </c>
      <c r="I2071" s="852"/>
      <c r="J2071" s="852"/>
      <c r="K2071" s="852"/>
      <c r="L2071" s="852" t="s">
        <v>1382</v>
      </c>
      <c r="M2071" s="1369">
        <v>1290</v>
      </c>
      <c r="N2071" s="852"/>
      <c r="O2071" s="1385" t="s">
        <v>2033</v>
      </c>
      <c r="R2071" s="1387" t="s">
        <v>2050</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0" t="str">
        <f>IF(T2072&lt;&gt;"","C","")</f>
        <v/>
      </c>
      <c r="H2072" s="1390" t="s">
        <v>1990</v>
      </c>
      <c r="I2072" s="852"/>
      <c r="J2072" s="852"/>
      <c r="K2072" s="852"/>
      <c r="L2072" s="852" t="s">
        <v>1385</v>
      </c>
      <c r="M2072" s="1369">
        <v>1291</v>
      </c>
      <c r="N2072" s="852"/>
      <c r="R2072" s="1387" t="s">
        <v>2050</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0" t="str">
        <f>IF(T2073&lt;&gt;"","D","")</f>
        <v/>
      </c>
      <c r="H2073" s="1390" t="s">
        <v>1990</v>
      </c>
      <c r="I2073" s="852"/>
      <c r="J2073" s="852"/>
      <c r="K2073" s="852"/>
      <c r="L2073" s="852" t="s">
        <v>1386</v>
      </c>
      <c r="M2073" s="1369">
        <v>1292</v>
      </c>
      <c r="N2073" s="852"/>
      <c r="R2073" s="1387" t="s">
        <v>2050</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0" t="s">
        <v>1396</v>
      </c>
      <c r="G2074" s="1390" t="str">
        <f t="shared" si="335"/>
        <v/>
      </c>
      <c r="H2074" s="1390" t="s">
        <v>1990</v>
      </c>
      <c r="I2074" s="852"/>
      <c r="J2074" s="852"/>
      <c r="K2074" s="852"/>
      <c r="L2074" s="852" t="s">
        <v>1396</v>
      </c>
      <c r="M2074" s="1369">
        <v>1293</v>
      </c>
      <c r="N2074" s="852"/>
      <c r="R2074" s="1387" t="s">
        <v>2050</v>
      </c>
      <c r="T2074" s="1604" t="str">
        <f t="shared" si="336"/>
        <v/>
      </c>
    </row>
    <row r="2075" spans="1:20" s="138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0" t="str">
        <f>IF(T2075&lt;&gt;"","AQ","")</f>
        <v/>
      </c>
      <c r="H2075" s="1390" t="s">
        <v>1990</v>
      </c>
      <c r="I2075" s="852"/>
      <c r="J2075" s="852"/>
      <c r="K2075" s="852"/>
      <c r="L2075" s="852" t="s">
        <v>2005</v>
      </c>
      <c r="M2075" s="1369">
        <v>1294</v>
      </c>
      <c r="N2075" s="852"/>
      <c r="R2075" s="1387" t="s">
        <v>2050</v>
      </c>
      <c r="T2075" s="1604" t="str">
        <f t="shared" si="336"/>
        <v/>
      </c>
    </row>
    <row r="2076" spans="1:20" s="138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0" t="str">
        <f>IF(T2076&lt;&gt;"","AA","")</f>
        <v/>
      </c>
      <c r="H2076" s="1390" t="s">
        <v>1990</v>
      </c>
      <c r="I2076" s="852"/>
      <c r="J2076" s="852"/>
      <c r="K2076" s="852"/>
      <c r="L2076" s="852" t="s">
        <v>2006</v>
      </c>
      <c r="M2076" s="1369">
        <v>1295</v>
      </c>
      <c r="N2076" s="852"/>
      <c r="R2076" s="1387" t="s">
        <v>2050</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0" t="str">
        <f>IF(T2077&lt;&gt;"","H","")</f>
        <v/>
      </c>
      <c r="H2077" s="1390" t="s">
        <v>1990</v>
      </c>
      <c r="I2077" s="852"/>
      <c r="J2077" s="852"/>
      <c r="K2077" s="852"/>
      <c r="L2077" s="852" t="s">
        <v>1397</v>
      </c>
      <c r="M2077" s="1369">
        <v>1296</v>
      </c>
      <c r="N2077" s="852"/>
      <c r="R2077" s="1387" t="s">
        <v>2050</v>
      </c>
      <c r="T2077" s="1604" t="str">
        <f t="shared" si="336"/>
        <v/>
      </c>
    </row>
    <row r="2078" spans="1:20" s="138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0" t="str">
        <f>IF(T2078&lt;&gt;"","A","")</f>
        <v/>
      </c>
      <c r="H2078" s="1390" t="s">
        <v>1990</v>
      </c>
      <c r="I2078" s="852"/>
      <c r="J2078" s="852"/>
      <c r="K2078" s="852"/>
      <c r="L2078" s="852" t="s">
        <v>1491</v>
      </c>
      <c r="M2078" s="1369">
        <v>1297</v>
      </c>
      <c r="N2078" s="852"/>
      <c r="O2078" s="1718" t="s">
        <v>725</v>
      </c>
      <c r="R2078" s="1387" t="s">
        <v>2051</v>
      </c>
      <c r="T2078" s="1390" t="str">
        <f>IF(Q$2079="Yes",44,"")</f>
        <v/>
      </c>
    </row>
    <row r="2079" spans="1:20" s="138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0"/>
      <c r="H2079" s="1390"/>
      <c r="I2079" s="852"/>
      <c r="J2079" s="852"/>
      <c r="K2079" s="852"/>
      <c r="L2079" s="852" t="s">
        <v>1705</v>
      </c>
      <c r="M2079" s="1369">
        <v>1298</v>
      </c>
      <c r="N2079" s="852"/>
      <c r="O2079" s="1718">
        <f>'Configurable Tab'!H46</f>
        <v>615</v>
      </c>
      <c r="P2079" s="18" t="str">
        <f>'Configurable Tab'!J46</f>
        <v>No</v>
      </c>
      <c r="Q2079" s="1388" t="s">
        <v>648</v>
      </c>
      <c r="R2079" s="1387" t="s">
        <v>2051</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0" t="str">
        <f>IF(T2080&lt;&gt;"","B","")</f>
        <v/>
      </c>
      <c r="H2080" s="1390" t="s">
        <v>1990</v>
      </c>
      <c r="I2080" s="852"/>
      <c r="J2080" s="852"/>
      <c r="K2080" s="852"/>
      <c r="L2080" s="852" t="s">
        <v>1383</v>
      </c>
      <c r="M2080" s="1369">
        <v>1299</v>
      </c>
      <c r="N2080" s="852"/>
      <c r="O2080" s="1718" t="s">
        <v>726</v>
      </c>
      <c r="R2080" s="1387" t="s">
        <v>2051</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0" t="str">
        <f>IF(T2081&lt;&gt;"","I","")</f>
        <v/>
      </c>
      <c r="H2081" s="1390" t="s">
        <v>1990</v>
      </c>
      <c r="I2081" s="852"/>
      <c r="J2081" s="852"/>
      <c r="K2081" s="852"/>
      <c r="L2081" s="852" t="s">
        <v>1381</v>
      </c>
      <c r="M2081" s="1369">
        <v>1300</v>
      </c>
      <c r="N2081" s="852"/>
      <c r="O2081" s="1718">
        <f>'Configurable Tab'!I46</f>
        <v>628</v>
      </c>
      <c r="R2081" s="1387" t="s">
        <v>2051</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0" t="str">
        <f>IF(T2082&lt;&gt;"",IF(Q2081="Credit Memo","J",IF(Q2081="Check","K","")),"")</f>
        <v/>
      </c>
      <c r="H2082" s="1390" t="s">
        <v>1990</v>
      </c>
      <c r="I2082" s="852"/>
      <c r="J2082" s="852"/>
      <c r="K2082" s="852"/>
      <c r="L2082" s="852" t="s">
        <v>1382</v>
      </c>
      <c r="M2082" s="1369">
        <v>1301</v>
      </c>
      <c r="N2082" s="852"/>
      <c r="O2082" s="1385" t="s">
        <v>2034</v>
      </c>
      <c r="R2082" s="1387" t="s">
        <v>2051</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0" t="str">
        <f>IF(T2083&lt;&gt;"","C","")</f>
        <v/>
      </c>
      <c r="H2083" s="1390" t="s">
        <v>1990</v>
      </c>
      <c r="I2083" s="852"/>
      <c r="J2083" s="852"/>
      <c r="K2083" s="852"/>
      <c r="L2083" s="852" t="s">
        <v>1385</v>
      </c>
      <c r="M2083" s="1369">
        <v>1302</v>
      </c>
      <c r="N2083" s="852"/>
      <c r="R2083" s="1387" t="s">
        <v>2051</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0" t="str">
        <f>IF(T2084&lt;&gt;"","D","")</f>
        <v/>
      </c>
      <c r="H2084" s="1390" t="s">
        <v>1990</v>
      </c>
      <c r="I2084" s="852"/>
      <c r="J2084" s="852"/>
      <c r="K2084" s="852"/>
      <c r="L2084" s="852" t="s">
        <v>1386</v>
      </c>
      <c r="M2084" s="1369">
        <v>1303</v>
      </c>
      <c r="N2084" s="852"/>
      <c r="R2084" s="1387" t="s">
        <v>2051</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0" t="s">
        <v>1396</v>
      </c>
      <c r="G2085" s="1390" t="str">
        <f t="shared" si="335"/>
        <v/>
      </c>
      <c r="H2085" s="1390" t="s">
        <v>1990</v>
      </c>
      <c r="I2085" s="852"/>
      <c r="J2085" s="852"/>
      <c r="K2085" s="852"/>
      <c r="L2085" s="852" t="s">
        <v>1396</v>
      </c>
      <c r="M2085" s="1369">
        <v>1304</v>
      </c>
      <c r="N2085" s="852"/>
      <c r="R2085" s="1387" t="s">
        <v>2051</v>
      </c>
      <c r="T2085" s="1604" t="str">
        <f t="shared" si="337"/>
        <v/>
      </c>
    </row>
    <row r="2086" spans="1:20" s="138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0" t="str">
        <f>IF(T2086&lt;&gt;"","AQ","")</f>
        <v/>
      </c>
      <c r="H2086" s="1390" t="s">
        <v>1990</v>
      </c>
      <c r="I2086" s="852"/>
      <c r="J2086" s="852"/>
      <c r="K2086" s="852"/>
      <c r="L2086" s="852" t="s">
        <v>2005</v>
      </c>
      <c r="M2086" s="1369">
        <v>1305</v>
      </c>
      <c r="N2086" s="852"/>
      <c r="R2086" s="1387" t="s">
        <v>2051</v>
      </c>
      <c r="T2086" s="1604" t="str">
        <f t="shared" si="337"/>
        <v/>
      </c>
    </row>
    <row r="2087" spans="1:20" s="138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0" t="str">
        <f>IF(T2087&lt;&gt;"","AA","")</f>
        <v/>
      </c>
      <c r="H2087" s="1390" t="s">
        <v>1990</v>
      </c>
      <c r="I2087" s="852"/>
      <c r="J2087" s="852"/>
      <c r="K2087" s="852"/>
      <c r="L2087" s="852" t="s">
        <v>2006</v>
      </c>
      <c r="M2087" s="1369">
        <v>1306</v>
      </c>
      <c r="N2087" s="852"/>
      <c r="R2087" s="1387" t="s">
        <v>2051</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0" t="str">
        <f>IF(T2088&lt;&gt;"","H","")</f>
        <v/>
      </c>
      <c r="H2088" s="1390" t="s">
        <v>1990</v>
      </c>
      <c r="I2088" s="852"/>
      <c r="J2088" s="852"/>
      <c r="K2088" s="852"/>
      <c r="L2088" s="852" t="s">
        <v>1397</v>
      </c>
      <c r="M2088" s="1369">
        <v>1307</v>
      </c>
      <c r="N2088" s="852"/>
      <c r="R2088" s="1387" t="s">
        <v>2051</v>
      </c>
      <c r="T2088" s="1604" t="str">
        <f t="shared" si="337"/>
        <v/>
      </c>
    </row>
    <row r="2089" spans="1:20" s="1385" customFormat="1" x14ac:dyDescent="0.25">
      <c r="A2089" s="872" t="s">
        <v>1705</v>
      </c>
      <c r="B2089" s="1307" t="str">
        <f>IFERROR(_xlfn.CONCAT("D",('Configurable Tab'!$C$23+1)),"")</f>
        <v>D226</v>
      </c>
      <c r="C2089" s="1307" t="str">
        <f>IFERROR(_xlfn.CONCAT("E",('Configurable Tab'!$C$23+1)),"")</f>
        <v>E226</v>
      </c>
      <c r="D2089" s="852" t="s">
        <v>1350</v>
      </c>
      <c r="E2089" s="852"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2" t="s">
        <v>2005</v>
      </c>
      <c r="B2096" s="1307" t="str">
        <f>IFERROR(_xlfn.CONCAT("G",('Configurable Tab'!$C$23+7)),"")</f>
        <v>G232</v>
      </c>
      <c r="C2096" s="1307" t="str">
        <f>IFERROR(_xlfn.CONCAT("G",('Configurable Tab'!$C$23+8)),"")</f>
        <v>G233</v>
      </c>
      <c r="D2096" s="852" t="s">
        <v>1350</v>
      </c>
      <c r="E2096" s="852"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2" t="s">
        <v>1482</v>
      </c>
      <c r="B2097" s="1307" t="str">
        <f>IFERROR(_xlfn.CONCAT("K",('Configurable Tab'!$C$23+7)),"")</f>
        <v>K232</v>
      </c>
      <c r="C2097" s="1307" t="str">
        <f>IFERROR(_xlfn.CONCAT("K",('Configurable Tab'!$C$23+8)),"")</f>
        <v>K233</v>
      </c>
      <c r="D2097" s="852" t="s">
        <v>1350</v>
      </c>
      <c r="E2097" s="852"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5" t="s">
        <v>1705</v>
      </c>
      <c r="B2099" s="1307" t="str">
        <f>IFERROR(_xlfn.CONCAT("D",('Configurable Tab'!$C$24+1)),"")</f>
        <v>D237</v>
      </c>
      <c r="C2099" s="1307" t="str">
        <f>IFERROR(_xlfn.CONCAT("E",('Configurable Tab'!$C$24+1)),"")</f>
        <v>E237</v>
      </c>
      <c r="D2099" s="852" t="s">
        <v>1350</v>
      </c>
      <c r="E2099" s="852"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5" t="s">
        <v>2005</v>
      </c>
      <c r="B2106" s="1307" t="str">
        <f>IFERROR(_xlfn.CONCAT("G",('Configurable Tab'!$C$24+7)),"")</f>
        <v>G243</v>
      </c>
      <c r="C2106" s="1307" t="str">
        <f>IFERROR(_xlfn.CONCAT("G",('Configurable Tab'!$C$24+8)),"")</f>
        <v>G244</v>
      </c>
      <c r="D2106" s="852" t="s">
        <v>1350</v>
      </c>
      <c r="E2106" s="852"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5" t="s">
        <v>1482</v>
      </c>
      <c r="B2107" s="1307" t="str">
        <f>IFERROR(_xlfn.CONCAT("K",('Configurable Tab'!$C$24+7)),"")</f>
        <v>K243</v>
      </c>
      <c r="C2107" s="1307" t="str">
        <f>IFERROR(_xlfn.CONCAT("K",('Configurable Tab'!$C$24+8)),"")</f>
        <v>K244</v>
      </c>
      <c r="D2107" s="852" t="s">
        <v>1350</v>
      </c>
      <c r="E2107" s="852"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2" t="s">
        <v>1705</v>
      </c>
      <c r="B2109" s="1307" t="str">
        <f>IFERROR(_xlfn.CONCAT("D",('Configurable Tab'!$C$25+1)),"")</f>
        <v>D248</v>
      </c>
      <c r="C2109" s="1307" t="str">
        <f>IFERROR(_xlfn.CONCAT("E",('Configurable Tab'!$C$25+1)),"")</f>
        <v>E248</v>
      </c>
      <c r="D2109" s="852" t="s">
        <v>1350</v>
      </c>
      <c r="E2109" s="852"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2" t="s">
        <v>2005</v>
      </c>
      <c r="B2116" s="1307" t="str">
        <f>IFERROR(_xlfn.CONCAT("G",('Configurable Tab'!$C$25+7)),"")</f>
        <v>G254</v>
      </c>
      <c r="C2116" s="1307" t="str">
        <f>IFERROR(_xlfn.CONCAT("G",('Configurable Tab'!$C$25+8)),"")</f>
        <v>G255</v>
      </c>
      <c r="D2116" s="852" t="s">
        <v>1350</v>
      </c>
      <c r="E2116" s="852"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2" t="s">
        <v>1482</v>
      </c>
      <c r="B2117" s="1307" t="str">
        <f>IFERROR(_xlfn.CONCAT("K",('Configurable Tab'!$C$25+7)),"")</f>
        <v>K254</v>
      </c>
      <c r="C2117" s="1307" t="str">
        <f>IFERROR(_xlfn.CONCAT("K",('Configurable Tab'!$C$25+8)),"")</f>
        <v>K255</v>
      </c>
      <c r="D2117" s="852" t="s">
        <v>1350</v>
      </c>
      <c r="E2117" s="852"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5" t="s">
        <v>1705</v>
      </c>
      <c r="B2119" s="1307" t="str">
        <f>IFERROR(_xlfn.CONCAT("D",('Configurable Tab'!$C$26+1)),"")</f>
        <v>D259</v>
      </c>
      <c r="C2119" s="1307" t="str">
        <f>IFERROR(_xlfn.CONCAT("E",('Configurable Tab'!$C$26+1)),"")</f>
        <v>E259</v>
      </c>
      <c r="D2119" s="852" t="s">
        <v>1350</v>
      </c>
      <c r="E2119" s="852"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5" t="s">
        <v>2005</v>
      </c>
      <c r="B2126" s="1307" t="str">
        <f>IFERROR(_xlfn.CONCAT("G",('Configurable Tab'!$C$26+7)),"")</f>
        <v>G265</v>
      </c>
      <c r="C2126" s="1307" t="str">
        <f>IFERROR(_xlfn.CONCAT("G",('Configurable Tab'!$C$26+8)),"")</f>
        <v>G266</v>
      </c>
      <c r="D2126" s="852" t="s">
        <v>1350</v>
      </c>
      <c r="E2126" s="852"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5" t="s">
        <v>1482</v>
      </c>
      <c r="B2127" s="1307" t="str">
        <f>IFERROR(_xlfn.CONCAT("K",('Configurable Tab'!$C$26+7)),"")</f>
        <v>K265</v>
      </c>
      <c r="C2127" s="1307" t="str">
        <f>IFERROR(_xlfn.CONCAT("K",('Configurable Tab'!$C$26+8)),"")</f>
        <v>K266</v>
      </c>
      <c r="D2127" s="852" t="s">
        <v>1350</v>
      </c>
      <c r="E2127" s="852"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2" t="s">
        <v>1705</v>
      </c>
      <c r="B2129" s="1307" t="str">
        <f>IFERROR(_xlfn.CONCAT("D",('Configurable Tab'!$C$27+1)),"")</f>
        <v>D270</v>
      </c>
      <c r="C2129" s="1307" t="str">
        <f>IFERROR(_xlfn.CONCAT("E",('Configurable Tab'!$C$27+1)),"")</f>
        <v>E270</v>
      </c>
      <c r="D2129" s="852" t="s">
        <v>1350</v>
      </c>
      <c r="E2129" s="852"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2" t="s">
        <v>2005</v>
      </c>
      <c r="B2136" s="1307" t="str">
        <f>IFERROR(_xlfn.CONCAT("G",('Configurable Tab'!$C$27+7)),"")</f>
        <v>G276</v>
      </c>
      <c r="C2136" s="1307" t="str">
        <f>IFERROR(_xlfn.CONCAT("G",('Configurable Tab'!$C$27+8)),"")</f>
        <v>G277</v>
      </c>
      <c r="D2136" s="852" t="s">
        <v>1350</v>
      </c>
      <c r="E2136" s="852"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2" t="s">
        <v>1482</v>
      </c>
      <c r="B2137" s="1307" t="str">
        <f>IFERROR(_xlfn.CONCAT("K",('Configurable Tab'!$C$27+7)),"")</f>
        <v>K276</v>
      </c>
      <c r="C2137" s="1307" t="str">
        <f>IFERROR(_xlfn.CONCAT("K",('Configurable Tab'!$C$27+8)),"")</f>
        <v>K277</v>
      </c>
      <c r="D2137" s="852" t="s">
        <v>1350</v>
      </c>
      <c r="E2137" s="852"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5" t="s">
        <v>1705</v>
      </c>
      <c r="B2139" s="1307" t="str">
        <f>IFERROR(_xlfn.CONCAT("D",('Configurable Tab'!$C$28+1)),"")</f>
        <v>D281</v>
      </c>
      <c r="C2139" s="1307" t="str">
        <f>IFERROR(_xlfn.CONCAT("E",('Configurable Tab'!$C$28+1)),"")</f>
        <v>E281</v>
      </c>
      <c r="D2139" s="852" t="s">
        <v>1350</v>
      </c>
      <c r="E2139" s="852"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5" t="s">
        <v>2005</v>
      </c>
      <c r="B2146" s="1307" t="str">
        <f>IFERROR(_xlfn.CONCAT("G",('Configurable Tab'!$C$28+7)),"")</f>
        <v>G287</v>
      </c>
      <c r="C2146" s="1307" t="str">
        <f>IFERROR(_xlfn.CONCAT("G",('Configurable Tab'!$C$28+8)),"")</f>
        <v>G288</v>
      </c>
      <c r="D2146" s="852" t="s">
        <v>1350</v>
      </c>
      <c r="E2146" s="852"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5" t="s">
        <v>1482</v>
      </c>
      <c r="B2147" s="1307" t="str">
        <f>IFERROR(_xlfn.CONCAT("K",('Configurable Tab'!$C$28+7)),"")</f>
        <v>K287</v>
      </c>
      <c r="C2147" s="1307" t="str">
        <f>IFERROR(_xlfn.CONCAT("K",('Configurable Tab'!$C$28+8)),"")</f>
        <v>K288</v>
      </c>
      <c r="D2147" s="852" t="s">
        <v>1350</v>
      </c>
      <c r="E2147" s="852"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2" t="s">
        <v>1705</v>
      </c>
      <c r="B2149" s="1307" t="str">
        <f>IFERROR(_xlfn.CONCAT("D",('Configurable Tab'!$C$29+1)),"")</f>
        <v>D292</v>
      </c>
      <c r="C2149" s="1307" t="str">
        <f>IFERROR(_xlfn.CONCAT("E",('Configurable Tab'!$C$29+1)),"")</f>
        <v>E292</v>
      </c>
      <c r="D2149" s="852" t="s">
        <v>1350</v>
      </c>
      <c r="E2149" s="852"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2" t="s">
        <v>2005</v>
      </c>
      <c r="B2156" s="1307" t="str">
        <f>IFERROR(_xlfn.CONCAT("G",('Configurable Tab'!$C$29+7)),"")</f>
        <v>G298</v>
      </c>
      <c r="C2156" s="1307" t="str">
        <f>IFERROR(_xlfn.CONCAT("G",('Configurable Tab'!$C$29+8)),"")</f>
        <v>G299</v>
      </c>
      <c r="D2156" s="852" t="s">
        <v>1350</v>
      </c>
      <c r="E2156" s="852"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2" t="s">
        <v>1482</v>
      </c>
      <c r="B2157" s="1307" t="str">
        <f>IFERROR(_xlfn.CONCAT("K",('Configurable Tab'!$C$29+7)),"")</f>
        <v>K298</v>
      </c>
      <c r="C2157" s="1307" t="str">
        <f>IFERROR(_xlfn.CONCAT("K",('Configurable Tab'!$C$29+8)),"")</f>
        <v>K299</v>
      </c>
      <c r="D2157" s="852" t="s">
        <v>1350</v>
      </c>
      <c r="E2157" s="852"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5" t="s">
        <v>1705</v>
      </c>
      <c r="B2159" s="1307" t="str">
        <f>IFERROR(_xlfn.CONCAT("D",('Configurable Tab'!$C$30+1)),"")</f>
        <v>D303</v>
      </c>
      <c r="C2159" s="1307" t="str">
        <f>IFERROR(_xlfn.CONCAT("E",('Configurable Tab'!$C$30+1)),"")</f>
        <v>E303</v>
      </c>
      <c r="D2159" s="852" t="s">
        <v>1350</v>
      </c>
      <c r="E2159" s="852"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5" t="s">
        <v>2005</v>
      </c>
      <c r="B2166" s="1307" t="str">
        <f>IFERROR(_xlfn.CONCAT("G",('Configurable Tab'!$C$30+7)),"")</f>
        <v>G309</v>
      </c>
      <c r="C2166" s="1307" t="str">
        <f>IFERROR(_xlfn.CONCAT("G",('Configurable Tab'!$C$30+8)),"")</f>
        <v>G310</v>
      </c>
      <c r="D2166" s="852" t="s">
        <v>1350</v>
      </c>
      <c r="E2166" s="852"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5" t="s">
        <v>1482</v>
      </c>
      <c r="B2167" s="1307" t="str">
        <f>IFERROR(_xlfn.CONCAT("K",('Configurable Tab'!$C$30+7)),"")</f>
        <v>K309</v>
      </c>
      <c r="C2167" s="1307" t="str">
        <f>IFERROR(_xlfn.CONCAT("K",('Configurable Tab'!$C$30+8)),"")</f>
        <v>K310</v>
      </c>
      <c r="D2167" s="852" t="s">
        <v>1350</v>
      </c>
      <c r="E2167" s="852"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2" t="s">
        <v>1705</v>
      </c>
      <c r="B2169" s="1307" t="str">
        <f>IFERROR(_xlfn.CONCAT("D",('Configurable Tab'!$C$31+1)),"")</f>
        <v>D314</v>
      </c>
      <c r="C2169" s="1307" t="str">
        <f>IFERROR(_xlfn.CONCAT("E",('Configurable Tab'!$C$31+1)),"")</f>
        <v>E314</v>
      </c>
      <c r="D2169" s="852" t="s">
        <v>1350</v>
      </c>
      <c r="E2169" s="852"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2" t="s">
        <v>2005</v>
      </c>
      <c r="B2176" s="1307" t="str">
        <f>IFERROR(_xlfn.CONCAT("G",('Configurable Tab'!$C$31+7)),"")</f>
        <v>G320</v>
      </c>
      <c r="C2176" s="1307" t="str">
        <f>IFERROR(_xlfn.CONCAT("G",('Configurable Tab'!$C$31+8)),"")</f>
        <v>G321</v>
      </c>
      <c r="D2176" s="852" t="s">
        <v>1350</v>
      </c>
      <c r="E2176" s="852"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2" t="s">
        <v>1482</v>
      </c>
      <c r="B2177" s="1307" t="str">
        <f>IFERROR(_xlfn.CONCAT("K",('Configurable Tab'!$C$31+7)),"")</f>
        <v>K320</v>
      </c>
      <c r="C2177" s="1307" t="str">
        <f>IFERROR(_xlfn.CONCAT("K",('Configurable Tab'!$C$31+8)),"")</f>
        <v>K321</v>
      </c>
      <c r="D2177" s="852" t="s">
        <v>1350</v>
      </c>
      <c r="E2177" s="852"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1742</v>
      </c>
      <c r="F2178" s="1387"/>
      <c r="G2178" s="1387"/>
      <c r="H2178" s="1387"/>
      <c r="I2178" s="1307" t="str">
        <f t="shared" si="347"/>
        <v/>
      </c>
      <c r="J2178" s="1387" t="str">
        <f t="shared" si="350"/>
        <v/>
      </c>
      <c r="K2178" s="1387" t="str">
        <f t="shared" si="348"/>
        <v/>
      </c>
      <c r="M2178" s="1386"/>
      <c r="R2178" s="138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1" t="s">
        <v>1488</v>
      </c>
      <c r="G2180" s="1431" t="str">
        <f>IF(T2180&lt;&gt;"","AW","")</f>
        <v/>
      </c>
      <c r="H2180" s="1431" t="s">
        <v>1990</v>
      </c>
      <c r="I2180" s="1307"/>
      <c r="J2180" s="1431"/>
      <c r="K2180" s="1431"/>
      <c r="L2180" s="852"/>
      <c r="M2180" s="1432"/>
      <c r="N2180" s="1431"/>
      <c r="R2180" s="1431" t="s">
        <v>481</v>
      </c>
      <c r="T2180" s="1431" t="str">
        <f t="shared" ref="T2180" si="351">IF(Q$1005="Yes",23,"")</f>
        <v/>
      </c>
    </row>
    <row r="2181" spans="1:20" s="1430" customFormat="1" x14ac:dyDescent="0.25">
      <c r="A2181" s="1039"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1" t="s">
        <v>1488</v>
      </c>
      <c r="G2181" s="1431" t="str">
        <f t="shared" ref="G2181:G2184" si="352">IF(T2181&lt;&gt;"","AW","")</f>
        <v/>
      </c>
      <c r="H2181" s="1431" t="s">
        <v>1990</v>
      </c>
      <c r="I2181" s="1307"/>
      <c r="J2181" s="1431"/>
      <c r="K2181" s="1431"/>
      <c r="L2181" s="852"/>
      <c r="M2181" s="1432"/>
      <c r="N2181" s="1431"/>
      <c r="R2181" s="1431" t="s">
        <v>481</v>
      </c>
      <c r="T2181" s="1431" t="str">
        <f t="shared" ref="T2181" si="353">IF(Q$1016="Yes",24,"")</f>
        <v/>
      </c>
    </row>
    <row r="2182" spans="1:20" s="1430"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1" t="s">
        <v>1488</v>
      </c>
      <c r="G2182" s="1431" t="str">
        <f t="shared" si="352"/>
        <v/>
      </c>
      <c r="H2182" s="1431" t="s">
        <v>1990</v>
      </c>
      <c r="I2182" s="1307"/>
      <c r="J2182" s="1431"/>
      <c r="K2182" s="1431"/>
      <c r="L2182" s="852"/>
      <c r="M2182" s="1432"/>
      <c r="N2182" s="1431"/>
      <c r="R2182" s="1431" t="s">
        <v>481</v>
      </c>
      <c r="T2182" s="1431" t="str">
        <f>IF(Q$1027="Yes",25,"")</f>
        <v/>
      </c>
    </row>
    <row r="2183" spans="1:20" s="1430"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1" t="s">
        <v>1488</v>
      </c>
      <c r="G2183" s="1431" t="str">
        <f t="shared" si="352"/>
        <v/>
      </c>
      <c r="H2183" s="1431" t="s">
        <v>1990</v>
      </c>
      <c r="I2183" s="1307"/>
      <c r="J2183" s="1431"/>
      <c r="K2183" s="1431"/>
      <c r="L2183" s="852"/>
      <c r="M2183" s="1432"/>
      <c r="N2183" s="1431"/>
      <c r="R2183" s="1431" t="s">
        <v>1700</v>
      </c>
      <c r="T2183" s="1431" t="str">
        <f t="shared" ref="T2183" si="354">IF(Q$1052="Yes",27,"")</f>
        <v/>
      </c>
    </row>
    <row r="2184" spans="1:20" s="1430" customFormat="1" x14ac:dyDescent="0.25">
      <c r="A2184" s="1039"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1" t="s">
        <v>1488</v>
      </c>
      <c r="G2184" s="1431" t="str">
        <f t="shared" si="352"/>
        <v/>
      </c>
      <c r="H2184" s="1431" t="s">
        <v>1990</v>
      </c>
      <c r="I2184" s="1307"/>
      <c r="J2184" s="1431"/>
      <c r="K2184" s="1431"/>
      <c r="L2184" s="852"/>
      <c r="M2184" s="1432"/>
      <c r="N2184" s="1431"/>
      <c r="R2184" s="1431" t="s">
        <v>1700</v>
      </c>
      <c r="T2184" s="1431" t="str">
        <f t="shared" ref="T2184" si="355">IF(Q$1069="Yes",28,"")</f>
        <v/>
      </c>
    </row>
    <row r="2185" spans="1:20" x14ac:dyDescent="0.25">
      <c r="A2185" s="1441"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7"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3" t="s">
        <v>1991</v>
      </c>
      <c r="G2187" s="1573" t="str">
        <f>IF(T2187&lt;&gt;"","E","")</f>
        <v/>
      </c>
      <c r="H2187" s="1573" t="s">
        <v>1990</v>
      </c>
      <c r="I2187" s="1307"/>
      <c r="J2187" s="1573"/>
      <c r="K2187" s="1573"/>
      <c r="L2187" s="852"/>
      <c r="M2187" s="1574"/>
      <c r="N2187" s="1573"/>
      <c r="O2187" s="1572" t="s">
        <v>1656</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3" t="s">
        <v>1991</v>
      </c>
      <c r="G2188" s="1573" t="str">
        <f>IF(T2188&lt;&gt;"","E","")</f>
        <v/>
      </c>
      <c r="H2188" s="1573" t="s">
        <v>1990</v>
      </c>
      <c r="I2188" s="1307"/>
      <c r="J2188" s="1573"/>
      <c r="K2188" s="1573"/>
      <c r="L2188" s="852"/>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2"/>
      <c r="M2213" s="1601"/>
      <c r="N2213" s="1604"/>
      <c r="R2213" s="1604" t="s">
        <v>2043</v>
      </c>
      <c r="T2213" s="1602" t="str">
        <f t="shared" ref="T2213" si="390">IF(Q$1991="Yes",36,"")</f>
        <v/>
      </c>
    </row>
    <row r="2214" spans="1:20" s="1599"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0" t="s">
        <v>1496</v>
      </c>
      <c r="G2214" s="1600" t="str">
        <f t="shared" si="387"/>
        <v/>
      </c>
      <c r="H2214" s="1600" t="s">
        <v>1990</v>
      </c>
      <c r="I2214" s="1307" t="str">
        <f t="shared" si="388"/>
        <v/>
      </c>
      <c r="J2214" s="1600"/>
      <c r="K2214" s="1600" t="str">
        <f t="shared" si="389"/>
        <v/>
      </c>
      <c r="L2214" s="852"/>
      <c r="M2214" s="1601"/>
      <c r="N2214" s="1600"/>
      <c r="R2214" s="1600" t="s">
        <v>2044</v>
      </c>
      <c r="T2214" s="1604" t="str">
        <f>IF(Q$2002="Yes",37,"")</f>
        <v/>
      </c>
    </row>
    <row r="2215" spans="1:20" s="1599"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0" t="s">
        <v>1496</v>
      </c>
      <c r="G2215" s="1600" t="str">
        <f t="shared" si="387"/>
        <v/>
      </c>
      <c r="H2215" s="1600" t="s">
        <v>1990</v>
      </c>
      <c r="I2215" s="1307" t="str">
        <f t="shared" si="388"/>
        <v/>
      </c>
      <c r="J2215" s="1600"/>
      <c r="K2215" s="1600" t="str">
        <f t="shared" si="389"/>
        <v/>
      </c>
      <c r="L2215" s="852"/>
      <c r="M2215" s="1601"/>
      <c r="N2215" s="1600"/>
      <c r="R2215" s="1600" t="s">
        <v>2045</v>
      </c>
      <c r="T2215" s="1604" t="str">
        <f>IF(Q$2013="Yes",38,"")</f>
        <v/>
      </c>
    </row>
    <row r="2216" spans="1:20" s="1599"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0" t="s">
        <v>1496</v>
      </c>
      <c r="G2216" s="1600" t="str">
        <f t="shared" si="387"/>
        <v/>
      </c>
      <c r="H2216" s="1600" t="s">
        <v>1990</v>
      </c>
      <c r="I2216" s="1307" t="str">
        <f t="shared" si="388"/>
        <v/>
      </c>
      <c r="J2216" s="1600"/>
      <c r="K2216" s="1600" t="str">
        <f t="shared" si="389"/>
        <v/>
      </c>
      <c r="L2216" s="852"/>
      <c r="M2216" s="1601"/>
      <c r="N2216" s="1600"/>
      <c r="R2216" s="1600" t="s">
        <v>2046</v>
      </c>
      <c r="T2216" s="1604" t="str">
        <f>IF(Q$2024="Yes",39,"")</f>
        <v/>
      </c>
    </row>
    <row r="2217" spans="1:20" s="1599"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0" t="s">
        <v>1496</v>
      </c>
      <c r="G2217" s="1600" t="str">
        <f t="shared" si="387"/>
        <v/>
      </c>
      <c r="H2217" s="1600" t="s">
        <v>1990</v>
      </c>
      <c r="I2217" s="1307" t="str">
        <f t="shared" si="388"/>
        <v/>
      </c>
      <c r="J2217" s="1600"/>
      <c r="K2217" s="1600" t="str">
        <f t="shared" si="389"/>
        <v/>
      </c>
      <c r="L2217" s="852"/>
      <c r="M2217" s="1601"/>
      <c r="N2217" s="1600"/>
      <c r="R2217" s="1600" t="s">
        <v>2047</v>
      </c>
      <c r="T2217" s="1604" t="str">
        <f>IF(Q$2035="Yes",40,"")</f>
        <v/>
      </c>
    </row>
    <row r="2218" spans="1:20" s="1599"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0" t="s">
        <v>1496</v>
      </c>
      <c r="G2218" s="1600" t="str">
        <f t="shared" si="387"/>
        <v/>
      </c>
      <c r="H2218" s="1600" t="s">
        <v>1990</v>
      </c>
      <c r="I2218" s="1307" t="str">
        <f t="shared" si="388"/>
        <v/>
      </c>
      <c r="J2218" s="1600"/>
      <c r="K2218" s="1600" t="str">
        <f t="shared" si="389"/>
        <v/>
      </c>
      <c r="L2218" s="852"/>
      <c r="M2218" s="1601"/>
      <c r="N2218" s="1600"/>
      <c r="R2218" s="1600" t="s">
        <v>2048</v>
      </c>
      <c r="T2218" s="1604" t="str">
        <f>IF(Q$2046="Yes",41,"")</f>
        <v/>
      </c>
    </row>
    <row r="2219" spans="1:20" s="1599"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0" t="s">
        <v>1496</v>
      </c>
      <c r="G2219" s="1600" t="str">
        <f t="shared" si="387"/>
        <v/>
      </c>
      <c r="H2219" s="1600" t="s">
        <v>1990</v>
      </c>
      <c r="I2219" s="1307" t="str">
        <f t="shared" si="388"/>
        <v/>
      </c>
      <c r="J2219" s="1600"/>
      <c r="K2219" s="1600" t="str">
        <f t="shared" si="389"/>
        <v/>
      </c>
      <c r="L2219" s="852"/>
      <c r="M2219" s="1601"/>
      <c r="N2219" s="1600"/>
      <c r="R2219" s="1600" t="s">
        <v>2049</v>
      </c>
      <c r="T2219" s="1604" t="str">
        <f>IF(Q$2057="Yes",42,"")</f>
        <v/>
      </c>
    </row>
    <row r="2220" spans="1:20" s="1599"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0" t="s">
        <v>1496</v>
      </c>
      <c r="G2220" s="1600" t="str">
        <f t="shared" si="387"/>
        <v/>
      </c>
      <c r="H2220" s="1600" t="s">
        <v>1990</v>
      </c>
      <c r="I2220" s="1307" t="str">
        <f t="shared" si="388"/>
        <v/>
      </c>
      <c r="J2220" s="1600"/>
      <c r="K2220" s="1600" t="str">
        <f t="shared" si="389"/>
        <v/>
      </c>
      <c r="L2220" s="852"/>
      <c r="M2220" s="1601"/>
      <c r="N2220" s="1600"/>
      <c r="R2220" s="1600" t="s">
        <v>2050</v>
      </c>
      <c r="T2220" s="1604" t="str">
        <f>IF(Q$2068="Yes",43,"")</f>
        <v/>
      </c>
    </row>
    <row r="2221" spans="1:20" s="1599"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0" t="s">
        <v>1496</v>
      </c>
      <c r="G2221" s="1600" t="str">
        <f t="shared" si="387"/>
        <v/>
      </c>
      <c r="H2221" s="1600" t="s">
        <v>1990</v>
      </c>
      <c r="I2221" s="1307" t="str">
        <f t="shared" si="388"/>
        <v/>
      </c>
      <c r="J2221" s="1600"/>
      <c r="K2221" s="1600" t="str">
        <f t="shared" si="389"/>
        <v/>
      </c>
      <c r="L2221" s="852"/>
      <c r="M2221" s="1601"/>
      <c r="N2221" s="1600"/>
      <c r="R2221" s="1600" t="s">
        <v>2051</v>
      </c>
      <c r="T2221" s="1604" t="str">
        <f>IF(Q$2079="Yes",44,"")</f>
        <v/>
      </c>
    </row>
    <row r="2222" spans="1:20" s="1603"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4" t="s">
        <v>1495</v>
      </c>
      <c r="G2222" s="1604" t="str">
        <f>IF(T2222&lt;&gt;"","AN","")</f>
        <v/>
      </c>
      <c r="H2222" s="1604" t="s">
        <v>1990</v>
      </c>
      <c r="I2222" s="1307"/>
      <c r="J2222" s="1604"/>
      <c r="K2222" s="1604"/>
      <c r="L2222" s="852"/>
      <c r="M2222" s="1605"/>
      <c r="N2222" s="1604"/>
      <c r="O2222" s="1606"/>
      <c r="P2222" s="625"/>
      <c r="Q2222" s="625"/>
      <c r="R2222" s="1604" t="s">
        <v>2043</v>
      </c>
      <c r="T2222" s="1604" t="str">
        <f t="shared" ref="T2222:T2228" si="391">IF(Q$1991="Yes",36,"")</f>
        <v/>
      </c>
    </row>
    <row r="2223" spans="1:20" s="1603"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4" t="s">
        <v>1492</v>
      </c>
      <c r="G2223" s="1604" t="str">
        <f>IF(T2223&lt;&gt;"","AL","")</f>
        <v/>
      </c>
      <c r="H2223" s="1604" t="s">
        <v>1990</v>
      </c>
      <c r="I2223" s="1307"/>
      <c r="J2223" s="1604"/>
      <c r="K2223" s="1604"/>
      <c r="L2223" s="852"/>
      <c r="M2223" s="1605"/>
      <c r="N2223" s="1604"/>
      <c r="O2223" s="625"/>
      <c r="P2223" s="625"/>
      <c r="Q2223" s="625"/>
      <c r="R2223" s="1604" t="s">
        <v>2043</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4" t="s">
        <v>1991</v>
      </c>
      <c r="G2224" s="1604" t="str">
        <f>IF(T2224&lt;&gt;"","E","")</f>
        <v/>
      </c>
      <c r="H2224" s="1604" t="s">
        <v>1990</v>
      </c>
      <c r="I2224" s="1307"/>
      <c r="J2224" s="1604"/>
      <c r="K2224" s="1604"/>
      <c r="L2224" s="852"/>
      <c r="M2224" s="1605"/>
      <c r="N2224" s="1604"/>
      <c r="O2224" s="625"/>
      <c r="P2224" s="625"/>
      <c r="Q2224" s="625"/>
      <c r="R2224" s="1604" t="s">
        <v>2043</v>
      </c>
      <c r="T2224" s="1604" t="str">
        <f t="shared" si="391"/>
        <v/>
      </c>
    </row>
    <row r="2225" spans="1:20" s="1603"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4" t="s">
        <v>1995</v>
      </c>
      <c r="G2225" s="1604" t="str">
        <f>IF(T2225&lt;&gt;"","G","")</f>
        <v/>
      </c>
      <c r="H2225" s="1604" t="s">
        <v>1990</v>
      </c>
      <c r="I2225" s="1307"/>
      <c r="J2225" s="1604"/>
      <c r="K2225" s="1604"/>
      <c r="L2225" s="852"/>
      <c r="M2225" s="1605"/>
      <c r="N2225" s="1604"/>
      <c r="O2225" s="625"/>
      <c r="P2225" s="625"/>
      <c r="Q2225" s="625"/>
      <c r="R2225" s="1604" t="s">
        <v>2043</v>
      </c>
      <c r="T2225" s="1604" t="str">
        <f t="shared" si="391"/>
        <v/>
      </c>
    </row>
    <row r="2226" spans="1:20" s="1603"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4" t="str">
        <f>IF(T2226&lt;&gt;"","AW","")</f>
        <v/>
      </c>
      <c r="H2226" s="1604" t="s">
        <v>1990</v>
      </c>
      <c r="I2226" s="1307"/>
      <c r="J2226" s="1604"/>
      <c r="K2226" s="1604"/>
      <c r="L2226" s="852"/>
      <c r="M2226" s="1605"/>
      <c r="N2226" s="1604"/>
      <c r="O2226" s="625"/>
      <c r="P2226" s="625"/>
      <c r="Q2226" s="625"/>
      <c r="R2226" s="1604" t="s">
        <v>2043</v>
      </c>
      <c r="T2226" s="1604" t="str">
        <f t="shared" si="391"/>
        <v/>
      </c>
    </row>
    <row r="2227" spans="1:20" s="1603"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4" t="s">
        <v>1999</v>
      </c>
      <c r="G2227" s="1604" t="str">
        <f t="shared" ref="G2227" si="392">IF(T2227&lt;&gt;"","AB","")</f>
        <v/>
      </c>
      <c r="H2227" s="1604" t="s">
        <v>1990</v>
      </c>
      <c r="I2227" s="1307"/>
      <c r="J2227" s="1604"/>
      <c r="K2227" s="1604"/>
      <c r="L2227" s="852"/>
      <c r="M2227" s="1605"/>
      <c r="N2227" s="1604"/>
      <c r="O2227" s="625"/>
      <c r="P2227" s="625"/>
      <c r="Q2227" s="625"/>
      <c r="R2227" s="1604" t="s">
        <v>2043</v>
      </c>
      <c r="T2227" s="1604" t="str">
        <f t="shared" si="391"/>
        <v/>
      </c>
    </row>
    <row r="2228" spans="1:20" s="1603"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4" t="s">
        <v>1604</v>
      </c>
      <c r="G2228" s="1604" t="str">
        <f t="shared" ref="G2228" si="393">IF(T2228&lt;&gt;"","AP","")</f>
        <v/>
      </c>
      <c r="H2228" s="1604" t="s">
        <v>1990</v>
      </c>
      <c r="I2228" s="1307"/>
      <c r="J2228" s="1604"/>
      <c r="K2228" s="1604"/>
      <c r="L2228" s="852"/>
      <c r="M2228" s="1605"/>
      <c r="N2228" s="1604"/>
      <c r="O2228" s="625"/>
      <c r="P2228" s="625"/>
      <c r="Q2228" s="625"/>
      <c r="R2228" s="1604" t="s">
        <v>2043</v>
      </c>
      <c r="T2228" s="1604" t="str">
        <f t="shared" si="391"/>
        <v/>
      </c>
    </row>
    <row r="2229" spans="1:20" s="1603"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4" t="s">
        <v>1495</v>
      </c>
      <c r="G2229" s="1604" t="str">
        <f>IF(T2229&lt;&gt;"","AN","")</f>
        <v/>
      </c>
      <c r="H2229" s="1604" t="s">
        <v>1990</v>
      </c>
      <c r="I2229" s="1307"/>
      <c r="J2229" s="1604"/>
      <c r="K2229" s="1604"/>
      <c r="L2229" s="852"/>
      <c r="M2229" s="1605"/>
      <c r="N2229" s="1604"/>
      <c r="O2229" s="1606"/>
      <c r="P2229" s="625"/>
      <c r="Q2229" s="625"/>
      <c r="R2229" s="1604" t="s">
        <v>2044</v>
      </c>
      <c r="T2229" s="1604" t="str">
        <f t="shared" ref="T2229:T2235" si="394">IF(Q$2002="Yes",37,"")</f>
        <v/>
      </c>
    </row>
    <row r="2230" spans="1:20" s="1603"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4" t="s">
        <v>1492</v>
      </c>
      <c r="G2230" s="1604" t="str">
        <f>IF(T2230&lt;&gt;"","AL","")</f>
        <v/>
      </c>
      <c r="H2230" s="1604" t="s">
        <v>1990</v>
      </c>
      <c r="I2230" s="1307"/>
      <c r="J2230" s="1604"/>
      <c r="K2230" s="1604"/>
      <c r="L2230" s="852"/>
      <c r="M2230" s="1605"/>
      <c r="N2230" s="1604"/>
      <c r="O2230" s="625"/>
      <c r="P2230" s="625"/>
      <c r="Q2230" s="625"/>
      <c r="R2230" s="1604" t="s">
        <v>2044</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4" t="s">
        <v>1991</v>
      </c>
      <c r="G2231" s="1604" t="str">
        <f>IF(T2231&lt;&gt;"","E","")</f>
        <v/>
      </c>
      <c r="H2231" s="1604" t="s">
        <v>1990</v>
      </c>
      <c r="I2231" s="1307"/>
      <c r="J2231" s="1604"/>
      <c r="K2231" s="1604"/>
      <c r="L2231" s="852"/>
      <c r="M2231" s="1605"/>
      <c r="N2231" s="1604"/>
      <c r="O2231" s="625"/>
      <c r="P2231" s="625"/>
      <c r="Q2231" s="625"/>
      <c r="R2231" s="1604" t="s">
        <v>2044</v>
      </c>
      <c r="T2231" s="1604" t="str">
        <f t="shared" si="394"/>
        <v/>
      </c>
    </row>
    <row r="2232" spans="1:20" s="1603"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4" t="s">
        <v>1995</v>
      </c>
      <c r="G2232" s="1604" t="str">
        <f>IF(T2232&lt;&gt;"","G","")</f>
        <v/>
      </c>
      <c r="H2232" s="1604" t="s">
        <v>1990</v>
      </c>
      <c r="I2232" s="1307"/>
      <c r="J2232" s="1604"/>
      <c r="K2232" s="1604"/>
      <c r="L2232" s="852"/>
      <c r="M2232" s="1605"/>
      <c r="N2232" s="1604"/>
      <c r="O2232" s="625"/>
      <c r="P2232" s="625"/>
      <c r="Q2232" s="625"/>
      <c r="R2232" s="1604" t="s">
        <v>2044</v>
      </c>
      <c r="T2232" s="1604" t="str">
        <f t="shared" si="394"/>
        <v/>
      </c>
    </row>
    <row r="2233" spans="1:20" s="1603"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4" t="str">
        <f>IF(T2233&lt;&gt;"","AW","")</f>
        <v/>
      </c>
      <c r="H2233" s="1604" t="s">
        <v>1990</v>
      </c>
      <c r="I2233" s="1307"/>
      <c r="J2233" s="1604"/>
      <c r="K2233" s="1604"/>
      <c r="L2233" s="852"/>
      <c r="M2233" s="1605"/>
      <c r="N2233" s="1604"/>
      <c r="O2233" s="625"/>
      <c r="P2233" s="625"/>
      <c r="Q2233" s="625"/>
      <c r="R2233" s="1604" t="s">
        <v>2044</v>
      </c>
      <c r="T2233" s="1604" t="str">
        <f t="shared" si="394"/>
        <v/>
      </c>
    </row>
    <row r="2234" spans="1:20" s="1603"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4" t="s">
        <v>1999</v>
      </c>
      <c r="G2234" s="1604" t="str">
        <f t="shared" ref="G2234" si="395">IF(T2234&lt;&gt;"","AB","")</f>
        <v/>
      </c>
      <c r="H2234" s="1604" t="s">
        <v>1990</v>
      </c>
      <c r="I2234" s="1307"/>
      <c r="J2234" s="1604"/>
      <c r="K2234" s="1604"/>
      <c r="L2234" s="852"/>
      <c r="M2234" s="1605"/>
      <c r="N2234" s="1604"/>
      <c r="O2234" s="625"/>
      <c r="P2234" s="625"/>
      <c r="Q2234" s="625"/>
      <c r="R2234" s="1604" t="s">
        <v>2044</v>
      </c>
      <c r="T2234" s="1604" t="str">
        <f t="shared" si="394"/>
        <v/>
      </c>
    </row>
    <row r="2235" spans="1:20" s="1603"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4" t="s">
        <v>1604</v>
      </c>
      <c r="G2235" s="1604" t="str">
        <f t="shared" ref="G2235" si="396">IF(T2235&lt;&gt;"","AP","")</f>
        <v/>
      </c>
      <c r="H2235" s="1604" t="s">
        <v>1990</v>
      </c>
      <c r="I2235" s="1307"/>
      <c r="J2235" s="1604"/>
      <c r="K2235" s="1604"/>
      <c r="L2235" s="852"/>
      <c r="M2235" s="1605"/>
      <c r="N2235" s="1604"/>
      <c r="O2235" s="625"/>
      <c r="P2235" s="625"/>
      <c r="Q2235" s="625"/>
      <c r="R2235" s="1604" t="s">
        <v>2044</v>
      </c>
      <c r="T2235" s="1604" t="str">
        <f t="shared" si="394"/>
        <v/>
      </c>
    </row>
    <row r="2236" spans="1:20" s="1603"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4" t="s">
        <v>1495</v>
      </c>
      <c r="G2236" s="1604" t="str">
        <f>IF(T2236&lt;&gt;"","AN","")</f>
        <v/>
      </c>
      <c r="H2236" s="1604" t="s">
        <v>1990</v>
      </c>
      <c r="I2236" s="1307"/>
      <c r="J2236" s="1604"/>
      <c r="K2236" s="1604"/>
      <c r="L2236" s="852"/>
      <c r="M2236" s="1605"/>
      <c r="N2236" s="1604"/>
      <c r="O2236" s="1606"/>
      <c r="P2236" s="625"/>
      <c r="Q2236" s="625"/>
      <c r="R2236" s="1604" t="s">
        <v>2045</v>
      </c>
      <c r="T2236" s="1604" t="str">
        <f t="shared" ref="T2236:T2242" si="397">IF(Q$2013="Yes",38,"")</f>
        <v/>
      </c>
    </row>
    <row r="2237" spans="1:20" s="1603"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4" t="s">
        <v>1492</v>
      </c>
      <c r="G2237" s="1604" t="str">
        <f>IF(T2237&lt;&gt;"","AL","")</f>
        <v/>
      </c>
      <c r="H2237" s="1604" t="s">
        <v>1990</v>
      </c>
      <c r="I2237" s="1307"/>
      <c r="J2237" s="1604"/>
      <c r="K2237" s="1604"/>
      <c r="L2237" s="852"/>
      <c r="M2237" s="1605"/>
      <c r="N2237" s="1604"/>
      <c r="O2237" s="625"/>
      <c r="P2237" s="625"/>
      <c r="Q2237" s="625"/>
      <c r="R2237" s="1604" t="s">
        <v>2045</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4" t="s">
        <v>1991</v>
      </c>
      <c r="G2238" s="1604" t="str">
        <f>IF(T2238&lt;&gt;"","E","")</f>
        <v/>
      </c>
      <c r="H2238" s="1604" t="s">
        <v>1990</v>
      </c>
      <c r="I2238" s="1307"/>
      <c r="J2238" s="1604"/>
      <c r="K2238" s="1604"/>
      <c r="L2238" s="852"/>
      <c r="M2238" s="1605"/>
      <c r="N2238" s="1604"/>
      <c r="O2238" s="625"/>
      <c r="P2238" s="625"/>
      <c r="Q2238" s="625"/>
      <c r="R2238" s="1604" t="s">
        <v>2045</v>
      </c>
      <c r="T2238" s="1604" t="str">
        <f t="shared" si="397"/>
        <v/>
      </c>
    </row>
    <row r="2239" spans="1:20" s="1603"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4" t="s">
        <v>1995</v>
      </c>
      <c r="G2239" s="1604" t="str">
        <f>IF(T2239&lt;&gt;"","G","")</f>
        <v/>
      </c>
      <c r="H2239" s="1604" t="s">
        <v>1990</v>
      </c>
      <c r="I2239" s="1307"/>
      <c r="J2239" s="1604"/>
      <c r="K2239" s="1604"/>
      <c r="L2239" s="852"/>
      <c r="M2239" s="1605"/>
      <c r="N2239" s="1604"/>
      <c r="O2239" s="625"/>
      <c r="P2239" s="625"/>
      <c r="Q2239" s="625"/>
      <c r="R2239" s="1604" t="s">
        <v>2045</v>
      </c>
      <c r="T2239" s="1604" t="str">
        <f t="shared" si="397"/>
        <v/>
      </c>
    </row>
    <row r="2240" spans="1:20" s="1603"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4" t="str">
        <f>IF(T2240&lt;&gt;"","AW","")</f>
        <v/>
      </c>
      <c r="H2240" s="1604" t="s">
        <v>1990</v>
      </c>
      <c r="I2240" s="1307"/>
      <c r="J2240" s="1604"/>
      <c r="K2240" s="1604"/>
      <c r="L2240" s="852"/>
      <c r="M2240" s="1605"/>
      <c r="N2240" s="1604"/>
      <c r="O2240" s="625"/>
      <c r="P2240" s="625"/>
      <c r="Q2240" s="625"/>
      <c r="R2240" s="1604" t="s">
        <v>2045</v>
      </c>
      <c r="T2240" s="1604" t="str">
        <f t="shared" si="397"/>
        <v/>
      </c>
    </row>
    <row r="2241" spans="1:20" s="1603"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4" t="s">
        <v>1999</v>
      </c>
      <c r="G2241" s="1604" t="str">
        <f t="shared" ref="G2241" si="398">IF(T2241&lt;&gt;"","AB","")</f>
        <v/>
      </c>
      <c r="H2241" s="1604" t="s">
        <v>1990</v>
      </c>
      <c r="I2241" s="1307"/>
      <c r="J2241" s="1604"/>
      <c r="K2241" s="1604"/>
      <c r="L2241" s="852"/>
      <c r="M2241" s="1605"/>
      <c r="N2241" s="1604"/>
      <c r="O2241" s="625"/>
      <c r="P2241" s="625"/>
      <c r="Q2241" s="625"/>
      <c r="R2241" s="1604" t="s">
        <v>2045</v>
      </c>
      <c r="T2241" s="1604" t="str">
        <f t="shared" si="397"/>
        <v/>
      </c>
    </row>
    <row r="2242" spans="1:20" s="1603"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4" t="s">
        <v>1604</v>
      </c>
      <c r="G2242" s="1604" t="str">
        <f t="shared" ref="G2242" si="399">IF(T2242&lt;&gt;"","AP","")</f>
        <v/>
      </c>
      <c r="H2242" s="1604" t="s">
        <v>1990</v>
      </c>
      <c r="I2242" s="1307"/>
      <c r="J2242" s="1604"/>
      <c r="K2242" s="1604"/>
      <c r="L2242" s="852"/>
      <c r="M2242" s="1605"/>
      <c r="N2242" s="1604"/>
      <c r="O2242" s="625"/>
      <c r="P2242" s="625"/>
      <c r="Q2242" s="625"/>
      <c r="R2242" s="1604" t="s">
        <v>2045</v>
      </c>
      <c r="T2242" s="1604" t="str">
        <f t="shared" si="397"/>
        <v/>
      </c>
    </row>
    <row r="2243" spans="1:20" s="1603"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4" t="s">
        <v>1495</v>
      </c>
      <c r="G2243" s="1604" t="str">
        <f>IF(T2243&lt;&gt;"","AN","")</f>
        <v/>
      </c>
      <c r="H2243" s="1604" t="s">
        <v>1990</v>
      </c>
      <c r="I2243" s="1307"/>
      <c r="J2243" s="1604"/>
      <c r="K2243" s="1604"/>
      <c r="L2243" s="852"/>
      <c r="M2243" s="1605"/>
      <c r="N2243" s="1604"/>
      <c r="O2243" s="1606"/>
      <c r="P2243" s="625"/>
      <c r="Q2243" s="625"/>
      <c r="R2243" s="1604" t="s">
        <v>2046</v>
      </c>
      <c r="T2243" s="1604" t="str">
        <f t="shared" ref="T2243:T2249" si="400">IF(Q$2024="Yes",39,"")</f>
        <v/>
      </c>
    </row>
    <row r="2244" spans="1:20" s="1603"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4" t="s">
        <v>1492</v>
      </c>
      <c r="G2244" s="1604" t="str">
        <f>IF(T2244&lt;&gt;"","AL","")</f>
        <v/>
      </c>
      <c r="H2244" s="1604" t="s">
        <v>1990</v>
      </c>
      <c r="I2244" s="1307"/>
      <c r="J2244" s="1604"/>
      <c r="K2244" s="1604"/>
      <c r="L2244" s="852"/>
      <c r="M2244" s="1605"/>
      <c r="N2244" s="1604"/>
      <c r="O2244" s="625"/>
      <c r="P2244" s="625"/>
      <c r="Q2244" s="625"/>
      <c r="R2244" s="1604" t="s">
        <v>2046</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4" t="s">
        <v>1991</v>
      </c>
      <c r="G2245" s="1604" t="str">
        <f>IF(T2245&lt;&gt;"","E","")</f>
        <v/>
      </c>
      <c r="H2245" s="1604" t="s">
        <v>1990</v>
      </c>
      <c r="I2245" s="1307"/>
      <c r="J2245" s="1604"/>
      <c r="K2245" s="1604"/>
      <c r="L2245" s="852"/>
      <c r="M2245" s="1605"/>
      <c r="N2245" s="1604"/>
      <c r="O2245" s="625"/>
      <c r="P2245" s="625"/>
      <c r="Q2245" s="625"/>
      <c r="R2245" s="1604" t="s">
        <v>2046</v>
      </c>
      <c r="T2245" s="1604" t="str">
        <f t="shared" si="400"/>
        <v/>
      </c>
    </row>
    <row r="2246" spans="1:20" s="1603"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4" t="s">
        <v>1995</v>
      </c>
      <c r="G2246" s="1604" t="str">
        <f>IF(T2246&lt;&gt;"","G","")</f>
        <v/>
      </c>
      <c r="H2246" s="1604" t="s">
        <v>1990</v>
      </c>
      <c r="I2246" s="1307"/>
      <c r="J2246" s="1604"/>
      <c r="K2246" s="1604"/>
      <c r="L2246" s="852"/>
      <c r="M2246" s="1605"/>
      <c r="N2246" s="1604"/>
      <c r="O2246" s="625"/>
      <c r="P2246" s="625"/>
      <c r="Q2246" s="625"/>
      <c r="R2246" s="1604" t="s">
        <v>2046</v>
      </c>
      <c r="T2246" s="1604" t="str">
        <f t="shared" si="400"/>
        <v/>
      </c>
    </row>
    <row r="2247" spans="1:20" s="1603"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4" t="str">
        <f>IF(T2247&lt;&gt;"","AW","")</f>
        <v/>
      </c>
      <c r="H2247" s="1604" t="s">
        <v>1990</v>
      </c>
      <c r="I2247" s="1307"/>
      <c r="J2247" s="1604"/>
      <c r="K2247" s="1604"/>
      <c r="L2247" s="852"/>
      <c r="M2247" s="1605"/>
      <c r="N2247" s="1604"/>
      <c r="O2247" s="625"/>
      <c r="P2247" s="625"/>
      <c r="Q2247" s="625"/>
      <c r="R2247" s="1604" t="s">
        <v>2046</v>
      </c>
      <c r="T2247" s="1604" t="str">
        <f t="shared" si="400"/>
        <v/>
      </c>
    </row>
    <row r="2248" spans="1:20" s="1603"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4" t="s">
        <v>1999</v>
      </c>
      <c r="G2248" s="1604" t="str">
        <f t="shared" ref="G2248" si="401">IF(T2248&lt;&gt;"","AB","")</f>
        <v/>
      </c>
      <c r="H2248" s="1604" t="s">
        <v>1990</v>
      </c>
      <c r="I2248" s="1307"/>
      <c r="J2248" s="1604"/>
      <c r="K2248" s="1604"/>
      <c r="L2248" s="852"/>
      <c r="M2248" s="1605"/>
      <c r="N2248" s="1604"/>
      <c r="R2248" s="1604" t="s">
        <v>2046</v>
      </c>
      <c r="T2248" s="1604" t="str">
        <f t="shared" si="400"/>
        <v/>
      </c>
    </row>
    <row r="2249" spans="1:20" s="1603"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4" t="s">
        <v>1604</v>
      </c>
      <c r="G2249" s="1604" t="str">
        <f t="shared" ref="G2249" si="402">IF(T2249&lt;&gt;"","AP","")</f>
        <v/>
      </c>
      <c r="H2249" s="1604" t="s">
        <v>1990</v>
      </c>
      <c r="I2249" s="1307"/>
      <c r="J2249" s="1604"/>
      <c r="K2249" s="1604"/>
      <c r="L2249" s="852"/>
      <c r="M2249" s="1605"/>
      <c r="N2249" s="1604"/>
      <c r="R2249" s="1604" t="s">
        <v>2046</v>
      </c>
      <c r="T2249" s="1604" t="str">
        <f t="shared" si="400"/>
        <v/>
      </c>
    </row>
    <row r="2250" spans="1:20" s="1603"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4" t="s">
        <v>1495</v>
      </c>
      <c r="G2250" s="1604" t="str">
        <f>IF(T2250&lt;&gt;"","AN","")</f>
        <v/>
      </c>
      <c r="H2250" s="1604" t="s">
        <v>1990</v>
      </c>
      <c r="I2250" s="1307"/>
      <c r="J2250" s="1604"/>
      <c r="K2250" s="1604"/>
      <c r="L2250" s="852"/>
      <c r="M2250" s="1605"/>
      <c r="N2250" s="1604"/>
      <c r="O2250" s="1606"/>
      <c r="P2250" s="625"/>
      <c r="Q2250" s="625"/>
      <c r="R2250" s="1604" t="s">
        <v>2047</v>
      </c>
      <c r="T2250" s="1604" t="str">
        <f t="shared" ref="T2250:T2256" si="403">IF(Q$2035="Yes",40,"")</f>
        <v/>
      </c>
    </row>
    <row r="2251" spans="1:20" s="1603"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4" t="s">
        <v>1492</v>
      </c>
      <c r="G2251" s="1604" t="str">
        <f>IF(T2251&lt;&gt;"","AL","")</f>
        <v/>
      </c>
      <c r="H2251" s="1604" t="s">
        <v>1990</v>
      </c>
      <c r="I2251" s="1307"/>
      <c r="J2251" s="1604"/>
      <c r="K2251" s="1604"/>
      <c r="L2251" s="852"/>
      <c r="M2251" s="1605"/>
      <c r="N2251" s="1604"/>
      <c r="O2251" s="625"/>
      <c r="P2251" s="625"/>
      <c r="Q2251" s="625"/>
      <c r="R2251" s="1604" t="s">
        <v>2047</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4" t="s">
        <v>1991</v>
      </c>
      <c r="G2252" s="1604" t="str">
        <f>IF(T2252&lt;&gt;"","E","")</f>
        <v/>
      </c>
      <c r="H2252" s="1604" t="s">
        <v>1990</v>
      </c>
      <c r="I2252" s="1307"/>
      <c r="J2252" s="1604"/>
      <c r="K2252" s="1604"/>
      <c r="L2252" s="852"/>
      <c r="M2252" s="1605"/>
      <c r="N2252" s="1604"/>
      <c r="O2252" s="625"/>
      <c r="P2252" s="625"/>
      <c r="Q2252" s="625"/>
      <c r="R2252" s="1604" t="s">
        <v>2047</v>
      </c>
      <c r="T2252" s="1604" t="str">
        <f t="shared" si="403"/>
        <v/>
      </c>
    </row>
    <row r="2253" spans="1:20" s="1603"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4" t="s">
        <v>1995</v>
      </c>
      <c r="G2253" s="1604" t="str">
        <f>IF(T2253&lt;&gt;"","G","")</f>
        <v/>
      </c>
      <c r="H2253" s="1604" t="s">
        <v>1990</v>
      </c>
      <c r="I2253" s="1307"/>
      <c r="J2253" s="1604"/>
      <c r="K2253" s="1604"/>
      <c r="L2253" s="852"/>
      <c r="M2253" s="1605"/>
      <c r="N2253" s="1604"/>
      <c r="O2253" s="625"/>
      <c r="P2253" s="625"/>
      <c r="Q2253" s="625"/>
      <c r="R2253" s="1604" t="s">
        <v>2047</v>
      </c>
      <c r="T2253" s="1604" t="str">
        <f t="shared" si="403"/>
        <v/>
      </c>
    </row>
    <row r="2254" spans="1:20" s="1603"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4" t="str">
        <f>IF(T2254&lt;&gt;"","AW","")</f>
        <v/>
      </c>
      <c r="H2254" s="1604" t="s">
        <v>1990</v>
      </c>
      <c r="I2254" s="1307"/>
      <c r="J2254" s="1604"/>
      <c r="K2254" s="1604"/>
      <c r="L2254" s="852"/>
      <c r="M2254" s="1605"/>
      <c r="N2254" s="1604"/>
      <c r="O2254" s="625"/>
      <c r="P2254" s="625"/>
      <c r="Q2254" s="625"/>
      <c r="R2254" s="1604" t="s">
        <v>2047</v>
      </c>
      <c r="T2254" s="1604" t="str">
        <f t="shared" si="403"/>
        <v/>
      </c>
    </row>
    <row r="2255" spans="1:20" s="1603"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4" t="s">
        <v>1999</v>
      </c>
      <c r="G2255" s="1604" t="str">
        <f t="shared" ref="G2255" si="404">IF(T2255&lt;&gt;"","AB","")</f>
        <v/>
      </c>
      <c r="H2255" s="1604" t="s">
        <v>1990</v>
      </c>
      <c r="I2255" s="1307"/>
      <c r="J2255" s="1604"/>
      <c r="K2255" s="1604"/>
      <c r="L2255" s="852"/>
      <c r="M2255" s="1605"/>
      <c r="N2255" s="1604"/>
      <c r="O2255" s="625"/>
      <c r="P2255" s="625"/>
      <c r="Q2255" s="625"/>
      <c r="R2255" s="1604" t="s">
        <v>2047</v>
      </c>
      <c r="T2255" s="1604" t="str">
        <f t="shared" si="403"/>
        <v/>
      </c>
    </row>
    <row r="2256" spans="1:20" s="1603"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4" t="s">
        <v>1604</v>
      </c>
      <c r="G2256" s="1604" t="str">
        <f t="shared" ref="G2256" si="405">IF(T2256&lt;&gt;"","AP","")</f>
        <v/>
      </c>
      <c r="H2256" s="1604" t="s">
        <v>1990</v>
      </c>
      <c r="I2256" s="1307"/>
      <c r="J2256" s="1604"/>
      <c r="K2256" s="1604"/>
      <c r="L2256" s="852"/>
      <c r="M2256" s="1605"/>
      <c r="N2256" s="1604"/>
      <c r="O2256" s="625"/>
      <c r="P2256" s="625"/>
      <c r="Q2256" s="625"/>
      <c r="R2256" s="1604" t="s">
        <v>2047</v>
      </c>
      <c r="T2256" s="1604" t="str">
        <f t="shared" si="403"/>
        <v/>
      </c>
    </row>
    <row r="2257" spans="1:20" s="1603"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4" t="s">
        <v>1495</v>
      </c>
      <c r="G2257" s="1604" t="str">
        <f>IF(T2257&lt;&gt;"","AN","")</f>
        <v/>
      </c>
      <c r="H2257" s="1604" t="s">
        <v>1990</v>
      </c>
      <c r="I2257" s="1307"/>
      <c r="J2257" s="1604"/>
      <c r="K2257" s="1604"/>
      <c r="L2257" s="852"/>
      <c r="M2257" s="1605"/>
      <c r="N2257" s="1604"/>
      <c r="O2257" s="1606"/>
      <c r="P2257" s="625"/>
      <c r="Q2257" s="625"/>
      <c r="R2257" s="1604" t="s">
        <v>2048</v>
      </c>
      <c r="T2257" s="1604" t="str">
        <f t="shared" ref="T2257:T2263" si="406">IF(Q$2046="Yes",41,"")</f>
        <v/>
      </c>
    </row>
    <row r="2258" spans="1:20" s="1603"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4" t="s">
        <v>1492</v>
      </c>
      <c r="G2258" s="1604" t="str">
        <f>IF(T2258&lt;&gt;"","AL","")</f>
        <v/>
      </c>
      <c r="H2258" s="1604" t="s">
        <v>1990</v>
      </c>
      <c r="I2258" s="1307"/>
      <c r="J2258" s="1604"/>
      <c r="K2258" s="1604"/>
      <c r="L2258" s="852"/>
      <c r="M2258" s="1605"/>
      <c r="N2258" s="1604"/>
      <c r="O2258" s="625"/>
      <c r="P2258" s="625"/>
      <c r="Q2258" s="625"/>
      <c r="R2258" s="1604" t="s">
        <v>2048</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4" t="s">
        <v>1991</v>
      </c>
      <c r="G2259" s="1604" t="str">
        <f>IF(T2259&lt;&gt;"","E","")</f>
        <v/>
      </c>
      <c r="H2259" s="1604" t="s">
        <v>1990</v>
      </c>
      <c r="I2259" s="1307"/>
      <c r="J2259" s="1604"/>
      <c r="K2259" s="1604"/>
      <c r="L2259" s="852"/>
      <c r="M2259" s="1605"/>
      <c r="N2259" s="1604"/>
      <c r="O2259" s="625"/>
      <c r="P2259" s="625"/>
      <c r="Q2259" s="625"/>
      <c r="R2259" s="1604" t="s">
        <v>2048</v>
      </c>
      <c r="T2259" s="1604" t="str">
        <f t="shared" si="406"/>
        <v/>
      </c>
    </row>
    <row r="2260" spans="1:20" s="1603"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4" t="s">
        <v>1995</v>
      </c>
      <c r="G2260" s="1604" t="str">
        <f>IF(T2260&lt;&gt;"","G","")</f>
        <v/>
      </c>
      <c r="H2260" s="1604" t="s">
        <v>1990</v>
      </c>
      <c r="I2260" s="1307"/>
      <c r="J2260" s="1604"/>
      <c r="K2260" s="1604"/>
      <c r="L2260" s="852"/>
      <c r="M2260" s="1605"/>
      <c r="N2260" s="1604"/>
      <c r="O2260" s="625"/>
      <c r="P2260" s="625"/>
      <c r="Q2260" s="625"/>
      <c r="R2260" s="1604" t="s">
        <v>2048</v>
      </c>
      <c r="T2260" s="1604" t="str">
        <f t="shared" si="406"/>
        <v/>
      </c>
    </row>
    <row r="2261" spans="1:20" s="1603"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4" t="str">
        <f>IF(T2261&lt;&gt;"","AW","")</f>
        <v/>
      </c>
      <c r="H2261" s="1604" t="s">
        <v>1990</v>
      </c>
      <c r="I2261" s="1307"/>
      <c r="J2261" s="1604"/>
      <c r="K2261" s="1604"/>
      <c r="L2261" s="852"/>
      <c r="M2261" s="1605"/>
      <c r="N2261" s="1604"/>
      <c r="O2261" s="625"/>
      <c r="P2261" s="625"/>
      <c r="Q2261" s="625"/>
      <c r="R2261" s="1604" t="s">
        <v>2048</v>
      </c>
      <c r="T2261" s="1604" t="str">
        <f t="shared" si="406"/>
        <v/>
      </c>
    </row>
    <row r="2262" spans="1:20" s="1603"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4" t="s">
        <v>1999</v>
      </c>
      <c r="G2262" s="1604" t="str">
        <f t="shared" ref="G2262" si="407">IF(T2262&lt;&gt;"","AB","")</f>
        <v/>
      </c>
      <c r="H2262" s="1604" t="s">
        <v>1990</v>
      </c>
      <c r="I2262" s="1307"/>
      <c r="J2262" s="1604"/>
      <c r="K2262" s="1604"/>
      <c r="L2262" s="852"/>
      <c r="M2262" s="1605"/>
      <c r="N2262" s="1604"/>
      <c r="O2262" s="625"/>
      <c r="P2262" s="625"/>
      <c r="Q2262" s="625"/>
      <c r="R2262" s="1604" t="s">
        <v>2048</v>
      </c>
      <c r="T2262" s="1604" t="str">
        <f t="shared" si="406"/>
        <v/>
      </c>
    </row>
    <row r="2263" spans="1:20" s="1603"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4" t="s">
        <v>1604</v>
      </c>
      <c r="G2263" s="1604" t="str">
        <f t="shared" ref="G2263" si="408">IF(T2263&lt;&gt;"","AP","")</f>
        <v/>
      </c>
      <c r="H2263" s="1604" t="s">
        <v>1990</v>
      </c>
      <c r="I2263" s="1307"/>
      <c r="J2263" s="1604"/>
      <c r="K2263" s="1604"/>
      <c r="L2263" s="852"/>
      <c r="M2263" s="1605"/>
      <c r="N2263" s="1604"/>
      <c r="O2263" s="625"/>
      <c r="P2263" s="625"/>
      <c r="Q2263" s="625"/>
      <c r="R2263" s="1604" t="s">
        <v>2048</v>
      </c>
      <c r="T2263" s="1604" t="str">
        <f t="shared" si="406"/>
        <v/>
      </c>
    </row>
    <row r="2264" spans="1:20" s="1603"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4" t="s">
        <v>1495</v>
      </c>
      <c r="G2264" s="1604" t="str">
        <f>IF(T2264&lt;&gt;"","AN","")</f>
        <v/>
      </c>
      <c r="H2264" s="1604" t="s">
        <v>1990</v>
      </c>
      <c r="I2264" s="1307"/>
      <c r="J2264" s="1604"/>
      <c r="K2264" s="1604"/>
      <c r="L2264" s="852"/>
      <c r="M2264" s="1605"/>
      <c r="N2264" s="1604"/>
      <c r="O2264" s="1606"/>
      <c r="P2264" s="625"/>
      <c r="Q2264" s="625"/>
      <c r="R2264" s="1604" t="s">
        <v>2049</v>
      </c>
      <c r="T2264" s="1604" t="str">
        <f t="shared" ref="T2264:T2270" si="409">IF(Q$2057="Yes",42,"")</f>
        <v/>
      </c>
    </row>
    <row r="2265" spans="1:20" s="1603"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4" t="s">
        <v>1492</v>
      </c>
      <c r="G2265" s="1604" t="str">
        <f>IF(T2265&lt;&gt;"","AL","")</f>
        <v/>
      </c>
      <c r="H2265" s="1604" t="s">
        <v>1990</v>
      </c>
      <c r="I2265" s="1307"/>
      <c r="J2265" s="1604"/>
      <c r="K2265" s="1604"/>
      <c r="L2265" s="852"/>
      <c r="M2265" s="1605"/>
      <c r="N2265" s="1604"/>
      <c r="O2265" s="625"/>
      <c r="P2265" s="625"/>
      <c r="Q2265" s="625"/>
      <c r="R2265" s="1604" t="s">
        <v>2049</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4" t="s">
        <v>1991</v>
      </c>
      <c r="G2266" s="1604" t="str">
        <f>IF(T2266&lt;&gt;"","E","")</f>
        <v/>
      </c>
      <c r="H2266" s="1604" t="s">
        <v>1990</v>
      </c>
      <c r="I2266" s="1307"/>
      <c r="J2266" s="1604"/>
      <c r="K2266" s="1604"/>
      <c r="L2266" s="852"/>
      <c r="M2266" s="1605"/>
      <c r="N2266" s="1604"/>
      <c r="O2266" s="625"/>
      <c r="P2266" s="625"/>
      <c r="Q2266" s="625"/>
      <c r="R2266" s="1604" t="s">
        <v>2049</v>
      </c>
      <c r="T2266" s="1604" t="str">
        <f t="shared" si="409"/>
        <v/>
      </c>
    </row>
    <row r="2267" spans="1:20" s="1603"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4" t="s">
        <v>1995</v>
      </c>
      <c r="G2267" s="1604" t="str">
        <f>IF(T2267&lt;&gt;"","G","")</f>
        <v/>
      </c>
      <c r="H2267" s="1604" t="s">
        <v>1990</v>
      </c>
      <c r="I2267" s="1307"/>
      <c r="J2267" s="1604"/>
      <c r="K2267" s="1604"/>
      <c r="L2267" s="852"/>
      <c r="M2267" s="1605"/>
      <c r="N2267" s="1604"/>
      <c r="O2267" s="625"/>
      <c r="P2267" s="625"/>
      <c r="Q2267" s="625"/>
      <c r="R2267" s="1604" t="s">
        <v>2049</v>
      </c>
      <c r="T2267" s="1604" t="str">
        <f t="shared" si="409"/>
        <v/>
      </c>
    </row>
    <row r="2268" spans="1:20" s="1603"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4" t="str">
        <f>IF(T2268&lt;&gt;"","AW","")</f>
        <v/>
      </c>
      <c r="H2268" s="1604" t="s">
        <v>1990</v>
      </c>
      <c r="I2268" s="1307"/>
      <c r="J2268" s="1604"/>
      <c r="K2268" s="1604"/>
      <c r="L2268" s="852"/>
      <c r="M2268" s="1605"/>
      <c r="N2268" s="1604"/>
      <c r="O2268" s="625"/>
      <c r="P2268" s="625"/>
      <c r="Q2268" s="625"/>
      <c r="R2268" s="1604" t="s">
        <v>2049</v>
      </c>
      <c r="T2268" s="1604" t="str">
        <f t="shared" si="409"/>
        <v/>
      </c>
    </row>
    <row r="2269" spans="1:20" s="1603"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4" t="s">
        <v>1999</v>
      </c>
      <c r="G2269" s="1604" t="str">
        <f t="shared" ref="G2269" si="410">IF(T2269&lt;&gt;"","AB","")</f>
        <v/>
      </c>
      <c r="H2269" s="1604" t="s">
        <v>1990</v>
      </c>
      <c r="I2269" s="1307"/>
      <c r="J2269" s="1604"/>
      <c r="K2269" s="1604"/>
      <c r="L2269" s="852"/>
      <c r="M2269" s="1605"/>
      <c r="N2269" s="1604"/>
      <c r="O2269" s="625"/>
      <c r="P2269" s="625"/>
      <c r="Q2269" s="625"/>
      <c r="R2269" s="1604" t="s">
        <v>2049</v>
      </c>
      <c r="T2269" s="1604" t="str">
        <f t="shared" si="409"/>
        <v/>
      </c>
    </row>
    <row r="2270" spans="1:20" s="1603"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4" t="s">
        <v>1604</v>
      </c>
      <c r="G2270" s="1604" t="str">
        <f t="shared" ref="G2270" si="411">IF(T2270&lt;&gt;"","AP","")</f>
        <v/>
      </c>
      <c r="H2270" s="1604" t="s">
        <v>1990</v>
      </c>
      <c r="I2270" s="1307"/>
      <c r="J2270" s="1604"/>
      <c r="K2270" s="1604"/>
      <c r="L2270" s="852"/>
      <c r="M2270" s="1605"/>
      <c r="N2270" s="1604"/>
      <c r="O2270" s="625"/>
      <c r="P2270" s="625"/>
      <c r="Q2270" s="625"/>
      <c r="R2270" s="1604" t="s">
        <v>2049</v>
      </c>
      <c r="T2270" s="1604" t="str">
        <f t="shared" si="409"/>
        <v/>
      </c>
    </row>
    <row r="2271" spans="1:20" s="1603"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4" t="s">
        <v>1495</v>
      </c>
      <c r="G2271" s="1604" t="str">
        <f>IF(T2271&lt;&gt;"","AN","")</f>
        <v/>
      </c>
      <c r="H2271" s="1604" t="s">
        <v>1990</v>
      </c>
      <c r="I2271" s="1307"/>
      <c r="J2271" s="1604"/>
      <c r="K2271" s="1604"/>
      <c r="L2271" s="852"/>
      <c r="M2271" s="1605"/>
      <c r="N2271" s="1604"/>
      <c r="O2271" s="1606"/>
      <c r="P2271" s="625"/>
      <c r="Q2271" s="625"/>
      <c r="R2271" s="1604" t="s">
        <v>2050</v>
      </c>
      <c r="T2271" s="1604" t="str">
        <f t="shared" ref="T2271:T2277" si="412">IF(Q$2068="Yes",43,"")</f>
        <v/>
      </c>
    </row>
    <row r="2272" spans="1:20" s="1603"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4" t="s">
        <v>1492</v>
      </c>
      <c r="G2272" s="1604" t="str">
        <f>IF(T2272&lt;&gt;"","AL","")</f>
        <v/>
      </c>
      <c r="H2272" s="1604" t="s">
        <v>1990</v>
      </c>
      <c r="I2272" s="1307"/>
      <c r="J2272" s="1604"/>
      <c r="K2272" s="1604"/>
      <c r="L2272" s="852"/>
      <c r="M2272" s="1605"/>
      <c r="N2272" s="1604"/>
      <c r="O2272" s="625"/>
      <c r="P2272" s="625"/>
      <c r="Q2272" s="625"/>
      <c r="R2272" s="1604" t="s">
        <v>2050</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4" t="s">
        <v>1991</v>
      </c>
      <c r="G2273" s="1604" t="str">
        <f>IF(T2273&lt;&gt;"","E","")</f>
        <v/>
      </c>
      <c r="H2273" s="1604" t="s">
        <v>1990</v>
      </c>
      <c r="I2273" s="1307"/>
      <c r="J2273" s="1604"/>
      <c r="K2273" s="1604"/>
      <c r="L2273" s="852"/>
      <c r="M2273" s="1605"/>
      <c r="N2273" s="1604"/>
      <c r="O2273" s="625"/>
      <c r="P2273" s="625"/>
      <c r="Q2273" s="625"/>
      <c r="R2273" s="1604" t="s">
        <v>2050</v>
      </c>
      <c r="T2273" s="1604" t="str">
        <f t="shared" si="412"/>
        <v/>
      </c>
    </row>
    <row r="2274" spans="1:20" s="1603"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4" t="s">
        <v>1995</v>
      </c>
      <c r="G2274" s="1604" t="str">
        <f>IF(T2274&lt;&gt;"","G","")</f>
        <v/>
      </c>
      <c r="H2274" s="1604" t="s">
        <v>1990</v>
      </c>
      <c r="I2274" s="1307"/>
      <c r="J2274" s="1604"/>
      <c r="K2274" s="1604"/>
      <c r="L2274" s="852"/>
      <c r="M2274" s="1605"/>
      <c r="N2274" s="1604"/>
      <c r="O2274" s="625"/>
      <c r="P2274" s="625"/>
      <c r="Q2274" s="625"/>
      <c r="R2274" s="1604" t="s">
        <v>2050</v>
      </c>
      <c r="T2274" s="1604" t="str">
        <f t="shared" si="412"/>
        <v/>
      </c>
    </row>
    <row r="2275" spans="1:20" s="1603"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4" t="str">
        <f>IF(T2275&lt;&gt;"","AW","")</f>
        <v/>
      </c>
      <c r="H2275" s="1604" t="s">
        <v>1990</v>
      </c>
      <c r="I2275" s="1307"/>
      <c r="J2275" s="1604"/>
      <c r="K2275" s="1604"/>
      <c r="L2275" s="852"/>
      <c r="M2275" s="1605"/>
      <c r="N2275" s="1604"/>
      <c r="O2275" s="625"/>
      <c r="P2275" s="625"/>
      <c r="Q2275" s="625"/>
      <c r="R2275" s="1604" t="s">
        <v>2050</v>
      </c>
      <c r="T2275" s="1604" t="str">
        <f t="shared" si="412"/>
        <v/>
      </c>
    </row>
    <row r="2276" spans="1:20" s="1603"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4" t="s">
        <v>1999</v>
      </c>
      <c r="G2276" s="1604" t="str">
        <f t="shared" ref="G2276" si="413">IF(T2276&lt;&gt;"","AB","")</f>
        <v/>
      </c>
      <c r="H2276" s="1604" t="s">
        <v>1990</v>
      </c>
      <c r="I2276" s="1307"/>
      <c r="J2276" s="1604"/>
      <c r="K2276" s="1604"/>
      <c r="L2276" s="852"/>
      <c r="M2276" s="1605"/>
      <c r="N2276" s="1604"/>
      <c r="R2276" s="1604" t="s">
        <v>2050</v>
      </c>
      <c r="T2276" s="1604" t="str">
        <f t="shared" si="412"/>
        <v/>
      </c>
    </row>
    <row r="2277" spans="1:20" s="1603"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4" t="s">
        <v>1604</v>
      </c>
      <c r="G2277" s="1604" t="str">
        <f t="shared" ref="G2277" si="414">IF(T2277&lt;&gt;"","AP","")</f>
        <v/>
      </c>
      <c r="H2277" s="1604" t="s">
        <v>1990</v>
      </c>
      <c r="I2277" s="1307"/>
      <c r="J2277" s="1604"/>
      <c r="K2277" s="1604"/>
      <c r="L2277" s="852"/>
      <c r="M2277" s="1605"/>
      <c r="N2277" s="1604"/>
      <c r="R2277" s="1604" t="s">
        <v>2050</v>
      </c>
      <c r="T2277" s="1604" t="str">
        <f t="shared" si="412"/>
        <v/>
      </c>
    </row>
    <row r="2278" spans="1:20" s="1603"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4" t="s">
        <v>1495</v>
      </c>
      <c r="G2278" s="1604" t="str">
        <f>IF(T2278&lt;&gt;"","AN","")</f>
        <v/>
      </c>
      <c r="H2278" s="1604" t="s">
        <v>1990</v>
      </c>
      <c r="I2278" s="1307"/>
      <c r="J2278" s="1604"/>
      <c r="K2278" s="1604"/>
      <c r="L2278" s="852"/>
      <c r="M2278" s="1605"/>
      <c r="N2278" s="1604"/>
      <c r="O2278" s="1606"/>
      <c r="P2278" s="625"/>
      <c r="Q2278" s="625"/>
      <c r="R2278" s="1604" t="s">
        <v>2051</v>
      </c>
      <c r="T2278" s="1604" t="str">
        <f t="shared" ref="T2278:T2284" si="415">IF(Q$2079="Yes",44,"")</f>
        <v/>
      </c>
    </row>
    <row r="2279" spans="1:20" s="1603"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4" t="s">
        <v>1492</v>
      </c>
      <c r="G2279" s="1604" t="str">
        <f>IF(T2279&lt;&gt;"","AL","")</f>
        <v/>
      </c>
      <c r="H2279" s="1604" t="s">
        <v>1990</v>
      </c>
      <c r="I2279" s="1307"/>
      <c r="J2279" s="1604"/>
      <c r="K2279" s="1604"/>
      <c r="L2279" s="852"/>
      <c r="M2279" s="1605"/>
      <c r="N2279" s="1604"/>
      <c r="O2279" s="625"/>
      <c r="P2279" s="625"/>
      <c r="Q2279" s="625"/>
      <c r="R2279" s="1604" t="s">
        <v>2051</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4" t="s">
        <v>1991</v>
      </c>
      <c r="G2280" s="1604" t="str">
        <f>IF(T2280&lt;&gt;"","E","")</f>
        <v/>
      </c>
      <c r="H2280" s="1604" t="s">
        <v>1990</v>
      </c>
      <c r="I2280" s="1307"/>
      <c r="J2280" s="1604"/>
      <c r="K2280" s="1604"/>
      <c r="L2280" s="852"/>
      <c r="M2280" s="1605"/>
      <c r="N2280" s="1604"/>
      <c r="O2280" s="625"/>
      <c r="P2280" s="625"/>
      <c r="Q2280" s="625"/>
      <c r="R2280" s="1604" t="s">
        <v>2051</v>
      </c>
      <c r="T2280" s="1604" t="str">
        <f t="shared" si="415"/>
        <v/>
      </c>
    </row>
    <row r="2281" spans="1:20" s="1603"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4" t="s">
        <v>1995</v>
      </c>
      <c r="G2281" s="1604" t="str">
        <f>IF(T2281&lt;&gt;"","G","")</f>
        <v/>
      </c>
      <c r="H2281" s="1604" t="s">
        <v>1990</v>
      </c>
      <c r="I2281" s="1307"/>
      <c r="J2281" s="1604"/>
      <c r="K2281" s="1604"/>
      <c r="L2281" s="852"/>
      <c r="M2281" s="1605"/>
      <c r="N2281" s="1604"/>
      <c r="O2281" s="625"/>
      <c r="P2281" s="625"/>
      <c r="Q2281" s="625"/>
      <c r="R2281" s="1604" t="s">
        <v>2051</v>
      </c>
      <c r="T2281" s="1604" t="str">
        <f t="shared" si="415"/>
        <v/>
      </c>
    </row>
    <row r="2282" spans="1:20" s="1603"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4" t="str">
        <f>IF(T2282&lt;&gt;"","AW","")</f>
        <v/>
      </c>
      <c r="H2282" s="1604" t="s">
        <v>1990</v>
      </c>
      <c r="I2282" s="1307"/>
      <c r="J2282" s="1604"/>
      <c r="K2282" s="1604"/>
      <c r="L2282" s="852"/>
      <c r="M2282" s="1605"/>
      <c r="N2282" s="1604"/>
      <c r="O2282" s="625"/>
      <c r="P2282" s="625"/>
      <c r="Q2282" s="625"/>
      <c r="R2282" s="1604" t="s">
        <v>2051</v>
      </c>
      <c r="T2282" s="1604" t="str">
        <f t="shared" si="415"/>
        <v/>
      </c>
    </row>
    <row r="2283" spans="1:20" s="1603"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4" t="s">
        <v>1999</v>
      </c>
      <c r="G2283" s="1604" t="str">
        <f t="shared" ref="G2283" si="416">IF(T2283&lt;&gt;"","AB","")</f>
        <v/>
      </c>
      <c r="H2283" s="1604" t="s">
        <v>1990</v>
      </c>
      <c r="I2283" s="1307"/>
      <c r="J2283" s="1604"/>
      <c r="K2283" s="1604"/>
      <c r="L2283" s="852"/>
      <c r="M2283" s="1605"/>
      <c r="N2283" s="1604"/>
      <c r="O2283" s="625"/>
      <c r="P2283" s="625"/>
      <c r="Q2283" s="625"/>
      <c r="R2283" s="1604" t="s">
        <v>2051</v>
      </c>
      <c r="T2283" s="1604" t="str">
        <f t="shared" si="415"/>
        <v/>
      </c>
    </row>
    <row r="2284" spans="1:20" s="1603"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4" t="s">
        <v>1604</v>
      </c>
      <c r="G2284" s="1604" t="str">
        <f t="shared" ref="G2284" si="417">IF(T2284&lt;&gt;"","AP","")</f>
        <v/>
      </c>
      <c r="H2284" s="1604" t="s">
        <v>1990</v>
      </c>
      <c r="I2284" s="1307"/>
      <c r="J2284" s="1604"/>
      <c r="K2284" s="1604"/>
      <c r="L2284" s="852"/>
      <c r="M2284" s="1605"/>
      <c r="N2284" s="1604"/>
      <c r="O2284" s="625"/>
      <c r="P2284" s="625"/>
      <c r="Q2284" s="625"/>
      <c r="R2284" s="1604" t="s">
        <v>2051</v>
      </c>
      <c r="T2284" s="1604" t="str">
        <f t="shared" si="415"/>
        <v/>
      </c>
    </row>
    <row r="2285" spans="1:20" s="1607"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8" t="s">
        <v>2135</v>
      </c>
      <c r="G2285" s="1608" t="str">
        <f>IF(T2285&lt;&gt;"","AZ","")</f>
        <v/>
      </c>
      <c r="H2285" s="1608" t="s">
        <v>1990</v>
      </c>
      <c r="I2285" s="1307"/>
      <c r="J2285" s="1608"/>
      <c r="K2285" s="1608"/>
      <c r="L2285" s="852" t="s">
        <v>2135</v>
      </c>
      <c r="M2285" s="1609">
        <v>1333</v>
      </c>
      <c r="N2285" s="1608"/>
      <c r="O2285" s="625"/>
      <c r="P2285" s="625"/>
      <c r="Q2285" s="625"/>
      <c r="R2285" s="1608" t="s">
        <v>2043</v>
      </c>
      <c r="T2285" s="1608" t="str">
        <f t="shared" ref="T2285" si="418">IF(Q$1991="Yes",36,"")</f>
        <v/>
      </c>
    </row>
    <row r="2286" spans="1:20" s="1607"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8" t="s">
        <v>2135</v>
      </c>
      <c r="G2286" s="1608" t="str">
        <f t="shared" ref="G2286:G2293" si="419">IF(T2286&lt;&gt;"","AZ","")</f>
        <v/>
      </c>
      <c r="H2286" s="1608" t="s">
        <v>1990</v>
      </c>
      <c r="I2286" s="1307"/>
      <c r="J2286" s="1608"/>
      <c r="K2286" s="1608"/>
      <c r="L2286" s="852" t="s">
        <v>2135</v>
      </c>
      <c r="M2286" s="1609">
        <v>1334</v>
      </c>
      <c r="N2286" s="1608"/>
      <c r="O2286" s="625"/>
      <c r="P2286" s="625"/>
      <c r="Q2286" s="625"/>
      <c r="R2286" s="1608" t="s">
        <v>2044</v>
      </c>
      <c r="T2286" s="1608" t="str">
        <f t="shared" ref="T2286" si="420">IF(Q$2002="Yes",37,"")</f>
        <v/>
      </c>
    </row>
    <row r="2287" spans="1:20" s="1607"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8" t="s">
        <v>2135</v>
      </c>
      <c r="G2287" s="1608" t="str">
        <f t="shared" si="419"/>
        <v/>
      </c>
      <c r="H2287" s="1608" t="s">
        <v>1990</v>
      </c>
      <c r="I2287" s="1307"/>
      <c r="J2287" s="1608"/>
      <c r="K2287" s="1608"/>
      <c r="L2287" s="852" t="s">
        <v>2135</v>
      </c>
      <c r="M2287" s="1609">
        <v>1335</v>
      </c>
      <c r="N2287" s="1608"/>
      <c r="O2287" s="625"/>
      <c r="P2287" s="625"/>
      <c r="Q2287" s="625"/>
      <c r="R2287" s="1608" t="s">
        <v>2045</v>
      </c>
      <c r="T2287" s="1608" t="str">
        <f t="shared" ref="T2287" si="421">IF(Q$2013="Yes",38,"")</f>
        <v/>
      </c>
    </row>
    <row r="2288" spans="1:20" s="1607"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8" t="s">
        <v>2135</v>
      </c>
      <c r="G2288" s="1608" t="str">
        <f t="shared" si="419"/>
        <v/>
      </c>
      <c r="H2288" s="1608" t="s">
        <v>1990</v>
      </c>
      <c r="I2288" s="1307"/>
      <c r="J2288" s="1608"/>
      <c r="K2288" s="1608"/>
      <c r="L2288" s="852" t="s">
        <v>2135</v>
      </c>
      <c r="M2288" s="1609">
        <v>1336</v>
      </c>
      <c r="N2288" s="1608"/>
      <c r="O2288" s="625"/>
      <c r="P2288" s="625"/>
      <c r="Q2288" s="625"/>
      <c r="R2288" s="1608" t="s">
        <v>2046</v>
      </c>
      <c r="T2288" s="1608" t="str">
        <f t="shared" ref="T2288" si="422">IF(Q$2024="Yes",39,"")</f>
        <v/>
      </c>
    </row>
    <row r="2289" spans="1:20" s="1607"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8" t="s">
        <v>2135</v>
      </c>
      <c r="G2289" s="1608" t="str">
        <f t="shared" si="419"/>
        <v/>
      </c>
      <c r="H2289" s="1608" t="s">
        <v>1990</v>
      </c>
      <c r="I2289" s="1307"/>
      <c r="J2289" s="1608"/>
      <c r="K2289" s="1608"/>
      <c r="L2289" s="852" t="s">
        <v>2135</v>
      </c>
      <c r="M2289" s="1609">
        <v>1337</v>
      </c>
      <c r="N2289" s="1608"/>
      <c r="O2289" s="625"/>
      <c r="P2289" s="625"/>
      <c r="Q2289" s="625"/>
      <c r="R2289" s="1608" t="s">
        <v>2047</v>
      </c>
      <c r="T2289" s="1608" t="str">
        <f t="shared" ref="T2289" si="423">IF(Q$2035="Yes",40,"")</f>
        <v/>
      </c>
    </row>
    <row r="2290" spans="1:20" s="1607"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8" t="s">
        <v>2135</v>
      </c>
      <c r="G2290" s="1608" t="str">
        <f t="shared" si="419"/>
        <v/>
      </c>
      <c r="H2290" s="1608" t="s">
        <v>1990</v>
      </c>
      <c r="I2290" s="1307"/>
      <c r="J2290" s="1608"/>
      <c r="K2290" s="1608"/>
      <c r="L2290" s="852" t="s">
        <v>2135</v>
      </c>
      <c r="M2290" s="1609">
        <v>1338</v>
      </c>
      <c r="N2290" s="1608"/>
      <c r="O2290" s="625"/>
      <c r="P2290" s="625"/>
      <c r="Q2290" s="625"/>
      <c r="R2290" s="1608" t="s">
        <v>2048</v>
      </c>
      <c r="T2290" s="1608" t="str">
        <f t="shared" ref="T2290" si="424">IF(Q$2046="Yes",41,"")</f>
        <v/>
      </c>
    </row>
    <row r="2291" spans="1:20" s="1607"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8" t="s">
        <v>2135</v>
      </c>
      <c r="G2291" s="1608" t="str">
        <f t="shared" si="419"/>
        <v/>
      </c>
      <c r="H2291" s="1608" t="s">
        <v>1990</v>
      </c>
      <c r="I2291" s="1307"/>
      <c r="J2291" s="1608"/>
      <c r="K2291" s="1608"/>
      <c r="L2291" s="852" t="s">
        <v>2135</v>
      </c>
      <c r="M2291" s="1609">
        <v>1339</v>
      </c>
      <c r="N2291" s="1608"/>
      <c r="O2291" s="625"/>
      <c r="P2291" s="625"/>
      <c r="Q2291" s="625"/>
      <c r="R2291" s="1608" t="s">
        <v>2049</v>
      </c>
      <c r="T2291" s="1608" t="str">
        <f t="shared" ref="T2291" si="425">IF(Q$2057="Yes",42,"")</f>
        <v/>
      </c>
    </row>
    <row r="2292" spans="1:20" s="1607"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8" t="s">
        <v>2135</v>
      </c>
      <c r="G2292" s="1608" t="str">
        <f t="shared" si="419"/>
        <v/>
      </c>
      <c r="H2292" s="1608" t="s">
        <v>1990</v>
      </c>
      <c r="I2292" s="1307"/>
      <c r="J2292" s="1608"/>
      <c r="K2292" s="1608"/>
      <c r="L2292" s="852" t="s">
        <v>2135</v>
      </c>
      <c r="M2292" s="1609">
        <v>1340</v>
      </c>
      <c r="N2292" s="1608"/>
      <c r="O2292" s="625"/>
      <c r="P2292" s="625"/>
      <c r="Q2292" s="625"/>
      <c r="R2292" s="1608" t="s">
        <v>2050</v>
      </c>
      <c r="T2292" s="1608" t="str">
        <f t="shared" ref="T2292" si="426">IF(Q$2068="Yes",43,"")</f>
        <v/>
      </c>
    </row>
    <row r="2293" spans="1:20" s="1607"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8" t="s">
        <v>2135</v>
      </c>
      <c r="G2293" s="1608" t="str">
        <f t="shared" si="419"/>
        <v/>
      </c>
      <c r="H2293" s="1608" t="s">
        <v>1990</v>
      </c>
      <c r="I2293" s="1307"/>
      <c r="J2293" s="1608"/>
      <c r="K2293" s="1608"/>
      <c r="L2293" s="852" t="s">
        <v>2135</v>
      </c>
      <c r="M2293" s="1609">
        <v>1341</v>
      </c>
      <c r="N2293" s="1608"/>
      <c r="O2293" s="625"/>
      <c r="P2293" s="625"/>
      <c r="Q2293" s="625"/>
      <c r="R2293" s="1608" t="s">
        <v>2051</v>
      </c>
      <c r="T2293" s="1608" t="str">
        <f t="shared" ref="T2293" si="427">IF(Q$2079="Yes",44,"")</f>
        <v/>
      </c>
    </row>
    <row r="2294" spans="1:20" s="1628" customFormat="1" x14ac:dyDescent="0.25">
      <c r="A2294" s="872" t="s">
        <v>1491</v>
      </c>
      <c r="B2294" s="852" t="str">
        <f ca="1">IFERROR(_xlfn.CONCAT("C",MATCH(A2294,INDIRECT("'"&amp;E2294&amp;"'!C"&amp;$O$2294&amp;":C"&amp;$O$2296),0)+$O$2294-1),"")</f>
        <v>C773</v>
      </c>
      <c r="C2294" s="852" t="str">
        <f ca="1">IFERROR(_xlfn.CONCAT("D",MATCH(A2294,INDIRECT("'"&amp;E2294&amp;"'!C"&amp;$O$2294&amp;":C"&amp;$O$2296),0)+$O$2294-1),"")</f>
        <v>D773</v>
      </c>
      <c r="D2294" s="852" t="s">
        <v>1350</v>
      </c>
      <c r="E2294" s="852" t="s">
        <v>1516</v>
      </c>
      <c r="F2294" s="1629" t="s">
        <v>1491</v>
      </c>
      <c r="G2294" s="1629" t="str">
        <f>IF(T2294&lt;&gt;"","A","")</f>
        <v/>
      </c>
      <c r="H2294" s="1629" t="s">
        <v>1990</v>
      </c>
      <c r="I2294" s="1307" t="str">
        <f t="shared" ref="I2294:I2315" si="428">IF(J2294&lt;&gt;"",A2294,"")</f>
        <v/>
      </c>
      <c r="J2294" s="1629"/>
      <c r="K2294" s="1629" t="str">
        <f t="shared" ref="K2294:K2315" si="429">IF(J2294&lt;&gt;"",E2294,"")</f>
        <v/>
      </c>
      <c r="L2294" s="852" t="s">
        <v>1491</v>
      </c>
      <c r="M2294" s="1630">
        <v>1342</v>
      </c>
      <c r="N2294" s="1629"/>
      <c r="O2294" s="1628">
        <f>'Configurable Tab'!H57</f>
        <v>769</v>
      </c>
      <c r="R2294" s="1629" t="s">
        <v>2144</v>
      </c>
      <c r="T2294" s="1629" t="str">
        <f>IF(Q$2295="Yes",45,"")</f>
        <v/>
      </c>
    </row>
    <row r="2295" spans="1:20" s="1628" customFormat="1" x14ac:dyDescent="0.25">
      <c r="A2295" s="872" t="s">
        <v>1705</v>
      </c>
      <c r="B2295" s="852" t="str">
        <f ca="1">_xlfn.CONCAT(IFERROR(SUBSTITUTE(ADDRESS(1,MATCH(A2295,INDIRECT("'"&amp;E2295&amp;"'"&amp;"!A" &amp; $O$2294+11 &amp; ":Z" &amp; $O$2294+11 ),0),4),1,""),""),$O$2294+11)</f>
        <v>T780</v>
      </c>
      <c r="C2295" s="852" t="str">
        <f ca="1">_xlfn.CONCAT(IFERROR(SUBSTITUTE(ADDRESS(1,MATCH(A2295,INDIRECT("'"&amp;E2295&amp;"'"&amp;"!A" &amp; $O$2294+11 &amp; ":Z" &amp; $O$2294+11 ),0),4),1,""),""),$O$2294+12)</f>
        <v>T781</v>
      </c>
      <c r="D2295" s="852" t="s">
        <v>1350</v>
      </c>
      <c r="E2295" s="852" t="s">
        <v>1516</v>
      </c>
      <c r="F2295" s="1629"/>
      <c r="G2295" s="1629"/>
      <c r="H2295" s="1629"/>
      <c r="I2295" s="1307" t="str">
        <f t="shared" si="428"/>
        <v/>
      </c>
      <c r="J2295" s="1629" t="str">
        <f t="shared" ref="J2295" si="430">IF(M2295&lt;&gt;"",IF($Q$540="Yes",Q$1&amp;M2295,""))</f>
        <v/>
      </c>
      <c r="K2295" s="1629" t="str">
        <f t="shared" si="429"/>
        <v/>
      </c>
      <c r="L2295" s="852" t="s">
        <v>1705</v>
      </c>
      <c r="M2295" s="1630">
        <v>1343</v>
      </c>
      <c r="N2295" s="1629"/>
      <c r="O2295" s="1628" t="s">
        <v>726</v>
      </c>
      <c r="P2295" s="18" t="str">
        <f>'Configurable Tab'!J57</f>
        <v>Yes</v>
      </c>
      <c r="Q2295" s="1628" t="s">
        <v>648</v>
      </c>
      <c r="R2295" s="1688" t="s">
        <v>2144</v>
      </c>
      <c r="T2295" s="1689" t="str">
        <f t="shared" ref="T2295:T2306" si="431">IF(Q$2295="Yes",45,"")</f>
        <v/>
      </c>
    </row>
    <row r="2296" spans="1:20" s="1628" customFormat="1" x14ac:dyDescent="0.25">
      <c r="A2296" s="872" t="s">
        <v>1383</v>
      </c>
      <c r="B2296" s="852" t="str">
        <f ca="1">IFERROR(_xlfn.CONCAT("C",MATCH(A2296,INDIRECT("'"&amp;E2296&amp;"'!C"&amp;$O$2294&amp;":C"&amp;$O$2296),0)+$O$2294-1),"")</f>
        <v>C771</v>
      </c>
      <c r="C2296" s="852" t="str">
        <f ca="1">IFERROR(_xlfn.CONCAT("D",MATCH(A2296,INDIRECT("'"&amp;E2296&amp;"'!C"&amp;$O$2294&amp;":C"&amp;$O$2296),0)+$O$2294-1),"")</f>
        <v>D771</v>
      </c>
      <c r="D2296" s="852" t="s">
        <v>1350</v>
      </c>
      <c r="E2296" s="852" t="s">
        <v>1516</v>
      </c>
      <c r="F2296" s="1629" t="s">
        <v>1383</v>
      </c>
      <c r="G2296" s="1629" t="str">
        <f>IF(T2296&lt;&gt;"","B","")</f>
        <v/>
      </c>
      <c r="H2296" s="1629" t="s">
        <v>1990</v>
      </c>
      <c r="I2296" s="1307" t="str">
        <f t="shared" si="428"/>
        <v/>
      </c>
      <c r="J2296" s="1629"/>
      <c r="K2296" s="1629" t="str">
        <f t="shared" si="429"/>
        <v/>
      </c>
      <c r="L2296" s="852" t="s">
        <v>1383</v>
      </c>
      <c r="M2296" s="1630">
        <v>1344</v>
      </c>
      <c r="N2296" s="1629"/>
      <c r="O2296" s="1628">
        <f>'Configurable Tab'!I57</f>
        <v>782</v>
      </c>
      <c r="R2296" s="1688" t="s">
        <v>2144</v>
      </c>
      <c r="T2296" s="1689" t="str">
        <f t="shared" si="431"/>
        <v/>
      </c>
    </row>
    <row r="2297" spans="1:20" s="1628" customFormat="1" x14ac:dyDescent="0.25">
      <c r="A2297" s="872" t="s">
        <v>1380</v>
      </c>
      <c r="B2297" s="852" t="str">
        <f t="shared" ref="B2297:B2302" ca="1" si="432">_xlfn.CONCAT(IFERROR(SUBSTITUTE(ADDRESS(1,MATCH(A2297,INDIRECT("'"&amp;E2297&amp;"'"&amp;"!A" &amp; $O$2294+2 &amp; ":Z"&amp;$O$2294+2 ),0),4),1,""),""),$O$2294+2)</f>
        <v>H771</v>
      </c>
      <c r="C2297" s="852" t="str">
        <f t="shared" ref="C2297:C2302" ca="1" si="433">_xlfn.CONCAT(IFERROR(SUBSTITUTE(ADDRESS(1,MATCH(A2297,INDIRECT("'"&amp;E2297&amp;"'"&amp;"!A" &amp; $O$2294+2 &amp; ":Z"&amp;$O$2294+2 ),0),4),1,""),""),$O$2294+3)</f>
        <v>H772</v>
      </c>
      <c r="D2297" s="852" t="s">
        <v>1350</v>
      </c>
      <c r="E2297" s="852" t="s">
        <v>1516</v>
      </c>
      <c r="F2297" s="1629" t="s">
        <v>1991</v>
      </c>
      <c r="G2297" s="1629" t="str">
        <f>IF(T2297&lt;&gt;"","E","")</f>
        <v/>
      </c>
      <c r="H2297" s="1629" t="s">
        <v>1990</v>
      </c>
      <c r="I2297" s="1307" t="str">
        <f t="shared" si="428"/>
        <v/>
      </c>
      <c r="J2297" s="1629" t="str">
        <f t="shared" ref="J2297:J2302" si="434">IF(M2297&lt;&gt;"",IF($Q$540="Yes",Q$1&amp;M2297,""))</f>
        <v/>
      </c>
      <c r="K2297" s="1629" t="str">
        <f t="shared" si="429"/>
        <v/>
      </c>
      <c r="L2297" s="852" t="s">
        <v>1380</v>
      </c>
      <c r="M2297" s="1630">
        <v>1345</v>
      </c>
      <c r="N2297" s="1629"/>
      <c r="O2297" s="1628" t="s">
        <v>2143</v>
      </c>
      <c r="R2297" s="1688" t="s">
        <v>2144</v>
      </c>
      <c r="T2297" s="1689" t="str">
        <f t="shared" si="431"/>
        <v/>
      </c>
    </row>
    <row r="2298" spans="1:20" s="1628" customFormat="1" x14ac:dyDescent="0.25">
      <c r="A2298" s="872" t="s">
        <v>1381</v>
      </c>
      <c r="B2298" s="852" t="str">
        <f t="shared" ca="1" si="432"/>
        <v>J771</v>
      </c>
      <c r="C2298" s="852" t="str">
        <f t="shared" ca="1" si="433"/>
        <v>J772</v>
      </c>
      <c r="D2298" s="852" t="s">
        <v>1350</v>
      </c>
      <c r="E2298" s="852" t="s">
        <v>1516</v>
      </c>
      <c r="F2298" s="1629" t="s">
        <v>1992</v>
      </c>
      <c r="G2298" s="1629" t="str">
        <f>IF(T2298&lt;&gt;"","I","")</f>
        <v/>
      </c>
      <c r="H2298" s="1629" t="s">
        <v>1990</v>
      </c>
      <c r="I2298" s="1307" t="str">
        <f t="shared" si="428"/>
        <v/>
      </c>
      <c r="J2298" s="1629" t="str">
        <f t="shared" si="434"/>
        <v/>
      </c>
      <c r="K2298" s="1629" t="str">
        <f t="shared" si="429"/>
        <v/>
      </c>
      <c r="L2298" s="852" t="s">
        <v>1381</v>
      </c>
      <c r="M2298" s="1630">
        <v>1346</v>
      </c>
      <c r="N2298" s="1629"/>
      <c r="R2298" s="1688" t="s">
        <v>2144</v>
      </c>
      <c r="T2298" s="1689" t="str">
        <f t="shared" si="431"/>
        <v/>
      </c>
    </row>
    <row r="2299" spans="1:20" s="1628" customFormat="1" x14ac:dyDescent="0.25">
      <c r="A2299" s="872" t="s">
        <v>1397</v>
      </c>
      <c r="B2299" s="852" t="str">
        <f t="shared" ca="1" si="432"/>
        <v>L771</v>
      </c>
      <c r="C2299" s="852" t="str">
        <f t="shared" ca="1" si="433"/>
        <v>L772</v>
      </c>
      <c r="D2299" s="852" t="s">
        <v>1350</v>
      </c>
      <c r="E2299" s="852" t="s">
        <v>1516</v>
      </c>
      <c r="F2299" s="1629" t="s">
        <v>1993</v>
      </c>
      <c r="G2299" s="1629" t="str">
        <f>IF(T2299&lt;&gt;"","H","")</f>
        <v/>
      </c>
      <c r="H2299" s="1629" t="s">
        <v>1990</v>
      </c>
      <c r="I2299" s="1307" t="str">
        <f t="shared" si="428"/>
        <v/>
      </c>
      <c r="J2299" s="1629" t="str">
        <f t="shared" si="434"/>
        <v/>
      </c>
      <c r="K2299" s="1629" t="str">
        <f t="shared" si="429"/>
        <v/>
      </c>
      <c r="L2299" s="852" t="s">
        <v>1397</v>
      </c>
      <c r="M2299" s="1630">
        <v>1347</v>
      </c>
      <c r="N2299" s="1629"/>
      <c r="R2299" s="1688" t="s">
        <v>2144</v>
      </c>
      <c r="T2299" s="1689" t="str">
        <f t="shared" si="431"/>
        <v/>
      </c>
    </row>
    <row r="2300" spans="1:20" s="1628" customFormat="1" x14ac:dyDescent="0.25">
      <c r="A2300" s="872" t="s">
        <v>1382</v>
      </c>
      <c r="B2300" s="852" t="str">
        <f t="shared" ca="1" si="432"/>
        <v>N771</v>
      </c>
      <c r="C2300" s="852" t="str">
        <f t="shared" ca="1" si="433"/>
        <v>N772</v>
      </c>
      <c r="D2300" s="852" t="s">
        <v>1350</v>
      </c>
      <c r="E2300" s="852" t="s">
        <v>1516</v>
      </c>
      <c r="F2300" s="1629" t="s">
        <v>1382</v>
      </c>
      <c r="G2300" s="1629" t="str">
        <f>IF(T2300&lt;&gt;"",IF(Q2298="Credit Memo","J",IF(Q2298="Check","K","")),"")</f>
        <v/>
      </c>
      <c r="H2300" s="1629" t="s">
        <v>1990</v>
      </c>
      <c r="I2300" s="1307" t="str">
        <f t="shared" si="428"/>
        <v/>
      </c>
      <c r="J2300" s="1629" t="str">
        <f t="shared" si="434"/>
        <v/>
      </c>
      <c r="K2300" s="1629" t="str">
        <f t="shared" si="429"/>
        <v/>
      </c>
      <c r="L2300" s="852" t="s">
        <v>1382</v>
      </c>
      <c r="M2300" s="1630">
        <v>1348</v>
      </c>
      <c r="N2300" s="1629"/>
      <c r="R2300" s="1688" t="s">
        <v>2144</v>
      </c>
      <c r="T2300" s="1689" t="str">
        <f t="shared" si="431"/>
        <v/>
      </c>
    </row>
    <row r="2301" spans="1:20" s="1628" customFormat="1" x14ac:dyDescent="0.25">
      <c r="A2301" s="872" t="s">
        <v>1487</v>
      </c>
      <c r="B2301" s="852" t="str">
        <f t="shared" ca="1" si="432"/>
        <v>R771</v>
      </c>
      <c r="C2301" s="852" t="str">
        <f t="shared" ca="1" si="433"/>
        <v>R772</v>
      </c>
      <c r="D2301" s="852" t="s">
        <v>1350</v>
      </c>
      <c r="E2301" s="852" t="s">
        <v>1516</v>
      </c>
      <c r="F2301" s="1629" t="s">
        <v>1995</v>
      </c>
      <c r="G2301" s="1629" t="str">
        <f>IF(T2301&lt;&gt;"","G","")</f>
        <v/>
      </c>
      <c r="H2301" s="1629" t="s">
        <v>1990</v>
      </c>
      <c r="I2301" s="1307" t="str">
        <f t="shared" si="428"/>
        <v/>
      </c>
      <c r="J2301" s="1629" t="str">
        <f t="shared" si="434"/>
        <v/>
      </c>
      <c r="K2301" s="1629" t="str">
        <f t="shared" si="429"/>
        <v/>
      </c>
      <c r="L2301" s="852" t="s">
        <v>1487</v>
      </c>
      <c r="M2301" s="1630">
        <v>1349</v>
      </c>
      <c r="N2301" s="1629"/>
      <c r="R2301" s="1688" t="s">
        <v>2144</v>
      </c>
      <c r="T2301" s="1689" t="str">
        <f t="shared" si="431"/>
        <v/>
      </c>
    </row>
    <row r="2302" spans="1:20" s="1628" customFormat="1" x14ac:dyDescent="0.25">
      <c r="A2302" s="872" t="s">
        <v>1488</v>
      </c>
      <c r="B2302" s="852" t="str">
        <f t="shared" ca="1" si="432"/>
        <v>T771</v>
      </c>
      <c r="C2302" s="852" t="str">
        <f t="shared" ca="1" si="433"/>
        <v>T772</v>
      </c>
      <c r="D2302" s="852" t="s">
        <v>1350</v>
      </c>
      <c r="E2302" s="852" t="s">
        <v>1516</v>
      </c>
      <c r="F2302" s="867" t="s">
        <v>1488</v>
      </c>
      <c r="G2302" s="1629" t="str">
        <f>IF(T2302&lt;&gt;"","AW","")</f>
        <v/>
      </c>
      <c r="H2302" s="1629" t="s">
        <v>1990</v>
      </c>
      <c r="I2302" s="1307" t="str">
        <f t="shared" si="428"/>
        <v/>
      </c>
      <c r="J2302" s="1629" t="str">
        <f t="shared" si="434"/>
        <v/>
      </c>
      <c r="K2302" s="1629" t="str">
        <f t="shared" si="429"/>
        <v/>
      </c>
      <c r="L2302" s="852" t="s">
        <v>1488</v>
      </c>
      <c r="M2302" s="1630">
        <v>1350</v>
      </c>
      <c r="N2302" s="1629"/>
      <c r="R2302" s="1688" t="s">
        <v>2144</v>
      </c>
      <c r="T2302" s="1689" t="str">
        <f t="shared" si="431"/>
        <v/>
      </c>
    </row>
    <row r="2303" spans="1:20" s="1628" customFormat="1" x14ac:dyDescent="0.25">
      <c r="A2303" s="872" t="s">
        <v>1385</v>
      </c>
      <c r="B2303" s="852" t="str">
        <f ca="1">IFERROR(_xlfn.CONCAT("C",MATCH(A2303,INDIRECT("'"&amp;E2303&amp;"'!C"&amp;$O$2294&amp;":C"&amp;$O$2296),0)+$O$2294-1),"")</f>
        <v>C775</v>
      </c>
      <c r="C2303" s="852" t="str">
        <f ca="1">IFERROR(_xlfn.CONCAT("D",MATCH(A2303,INDIRECT("'"&amp;E2303&amp;"'!C"&amp;$O$2294&amp;":C"&amp;$O$2296),0)+$O$2294-1),"")</f>
        <v>D775</v>
      </c>
      <c r="D2303" s="852" t="s">
        <v>1350</v>
      </c>
      <c r="E2303" s="852" t="s">
        <v>1516</v>
      </c>
      <c r="F2303" s="1629" t="s">
        <v>1385</v>
      </c>
      <c r="G2303" s="1629" t="str">
        <f>IF(T2303&lt;&gt;"","C","")</f>
        <v/>
      </c>
      <c r="H2303" s="1629" t="s">
        <v>1990</v>
      </c>
      <c r="I2303" s="1307" t="str">
        <f t="shared" si="428"/>
        <v/>
      </c>
      <c r="J2303" s="1629"/>
      <c r="K2303" s="1629" t="str">
        <f t="shared" si="429"/>
        <v/>
      </c>
      <c r="L2303" s="852" t="s">
        <v>1385</v>
      </c>
      <c r="M2303" s="1630">
        <v>1351</v>
      </c>
      <c r="N2303" s="1629"/>
      <c r="R2303" s="1688" t="s">
        <v>2144</v>
      </c>
      <c r="T2303" s="1689" t="str">
        <f t="shared" si="431"/>
        <v/>
      </c>
    </row>
    <row r="2304" spans="1:20" s="1628" customFormat="1" x14ac:dyDescent="0.25">
      <c r="A2304" s="872" t="s">
        <v>1386</v>
      </c>
      <c r="B2304" s="852" t="str">
        <f ca="1">IFERROR(_xlfn.CONCAT("C",MATCH(A2304,INDIRECT("'"&amp;E2304&amp;"'!C"&amp;$O$2294&amp;":C"&amp;$O$2296),0)+$O$2294-1),"")</f>
        <v>C777</v>
      </c>
      <c r="C2304" s="852" t="str">
        <f ca="1">IFERROR(_xlfn.CONCAT("D",MATCH(A2304,INDIRECT("'"&amp;E2304&amp;"'!C"&amp;$O$2294&amp;":C"&amp;$O$2296),0)+$O$2294-1),"")</f>
        <v>D777</v>
      </c>
      <c r="D2304" s="852" t="s">
        <v>1350</v>
      </c>
      <c r="E2304" s="852" t="s">
        <v>1516</v>
      </c>
      <c r="F2304" s="1629" t="s">
        <v>1386</v>
      </c>
      <c r="G2304" s="1629" t="str">
        <f>IF(T2304&lt;&gt;"","D","")</f>
        <v/>
      </c>
      <c r="H2304" s="1629" t="s">
        <v>1990</v>
      </c>
      <c r="I2304" s="1307" t="str">
        <f t="shared" si="428"/>
        <v/>
      </c>
      <c r="J2304" s="1629"/>
      <c r="K2304" s="1629" t="str">
        <f t="shared" si="429"/>
        <v/>
      </c>
      <c r="L2304" s="852" t="s">
        <v>1386</v>
      </c>
      <c r="M2304" s="1630">
        <v>1352</v>
      </c>
      <c r="N2304" s="1629"/>
      <c r="R2304" s="1688" t="s">
        <v>2144</v>
      </c>
      <c r="T2304" s="1689" t="str">
        <f t="shared" si="431"/>
        <v/>
      </c>
    </row>
    <row r="2305" spans="1:20" s="1628" customFormat="1" x14ac:dyDescent="0.25">
      <c r="A2305" s="872" t="s">
        <v>1495</v>
      </c>
      <c r="B2305" s="852" t="str">
        <f ca="1">IFERROR(_xlfn.CONCAT("C",MATCH(A2305,INDIRECT("'"&amp;E2305&amp;"'!C"&amp;$O$2294&amp;":C"&amp;$O$2296),0)+$O$2294-1),"")</f>
        <v>C779</v>
      </c>
      <c r="C2305" s="852" t="str">
        <f ca="1">IFERROR(_xlfn.CONCAT("D",MATCH(A2305,INDIRECT("'"&amp;E2305&amp;"'!C"&amp;$O$2294&amp;":C"&amp;$O$2296),0)+$O$2294-1),"")</f>
        <v>D779</v>
      </c>
      <c r="D2305" s="852" t="s">
        <v>1350</v>
      </c>
      <c r="E2305" s="852" t="s">
        <v>1516</v>
      </c>
      <c r="F2305" s="1629" t="s">
        <v>1495</v>
      </c>
      <c r="G2305" s="1629" t="str">
        <f>IF(T2305&lt;&gt;"","AN","")</f>
        <v/>
      </c>
      <c r="H2305" s="1629" t="s">
        <v>1990</v>
      </c>
      <c r="I2305" s="1307" t="str">
        <f t="shared" si="428"/>
        <v/>
      </c>
      <c r="J2305" s="1629" t="str">
        <f t="shared" ref="J2305" si="435">IF(M2305&lt;&gt;"",IF($Q$540="Yes",Q$1&amp;M2305,""))</f>
        <v/>
      </c>
      <c r="K2305" s="1629" t="str">
        <f t="shared" si="429"/>
        <v/>
      </c>
      <c r="L2305" s="852" t="s">
        <v>1495</v>
      </c>
      <c r="M2305" s="1630">
        <v>1353</v>
      </c>
      <c r="N2305" s="1629"/>
      <c r="P2305" s="1629" t="str" cm="1">
        <f t="array" aca="1" ref="P2305" ca="1">_xlfn.CONCAT("F",RIGHT(B2305, LEN(B2305) - MAX(IF(ISNUMBER(MID(B2305, ROW(INDIRECT("1:"&amp;LEN(B2305))), 1) *1)=FALSE, ROW(INDIRECT("1:"&amp;LEN(B2305))), 0))))</f>
        <v>F779</v>
      </c>
      <c r="Q2305" s="1629" t="str" cm="1">
        <f t="array" aca="1" ref="Q2305" ca="1">_xlfn.CONCAT("E",RIGHT(C2305, LEN(C2305) - MAX(IF(ISNUMBER(MID(C2305, ROW(INDIRECT("1:"&amp;LEN(C2305))), 1) *1)=FALSE, ROW(INDIRECT("1:"&amp;LEN(C2305))), 0))))</f>
        <v>E779</v>
      </c>
      <c r="R2305" s="1688" t="s">
        <v>2144</v>
      </c>
      <c r="T2305" s="1689" t="str">
        <f t="shared" si="431"/>
        <v/>
      </c>
    </row>
    <row r="2306" spans="1:20" s="1628" customFormat="1" x14ac:dyDescent="0.25">
      <c r="A2306" s="872" t="s">
        <v>1389</v>
      </c>
      <c r="B2306" s="852" t="str">
        <f ca="1">_xlfn.CONCAT(IFERROR(SUBSTITUTE(ADDRESS(1,MATCH(A2306,INDIRECT("'"&amp;E2306&amp;"'"&amp;"!A" &amp; $O$2294+5 &amp; ":Z"&amp;$O$2294+5),0),4),1,""),""),$O$2294+5)</f>
        <v>H774</v>
      </c>
      <c r="C2306" s="852" t="str">
        <f ca="1">_xlfn.CONCAT(IFERROR(SUBSTITUTE(ADDRESS(1,MATCH(A2306,INDIRECT("'"&amp;E2306&amp;"'"&amp;"!A" &amp; $O$2294+5 &amp; ":Z"&amp;$O$2294+5),0),4),1,""),""),$O$2294+6)</f>
        <v>H775</v>
      </c>
      <c r="D2306" s="852" t="s">
        <v>1350</v>
      </c>
      <c r="E2306" s="852" t="s">
        <v>1516</v>
      </c>
      <c r="F2306" s="1629" t="s">
        <v>1912</v>
      </c>
      <c r="G2306" s="1629" t="str">
        <f>IF(T2306&lt;&gt;"","O","")</f>
        <v/>
      </c>
      <c r="H2306" s="1629" t="s">
        <v>1990</v>
      </c>
      <c r="I2306" s="1307" t="str">
        <f t="shared" si="428"/>
        <v/>
      </c>
      <c r="J2306" s="1629"/>
      <c r="K2306" s="1629" t="str">
        <f t="shared" si="429"/>
        <v/>
      </c>
      <c r="L2306" s="852" t="s">
        <v>1389</v>
      </c>
      <c r="M2306" s="1630">
        <v>1354</v>
      </c>
      <c r="N2306" s="1629"/>
      <c r="R2306" s="1688" t="s">
        <v>2144</v>
      </c>
      <c r="T2306" s="1689" t="str">
        <f t="shared" si="431"/>
        <v/>
      </c>
    </row>
    <row r="2307" spans="1:20" s="1687" customFormat="1" x14ac:dyDescent="0.25">
      <c r="A2307" s="1039" t="s">
        <v>523</v>
      </c>
      <c r="B2307" s="1307" t="str">
        <f>IFERROR(_xlfn.CONCAT("D",('Configurable Tab'!$C$42+1)),"")</f>
        <v>D435</v>
      </c>
      <c r="C2307" s="1307" t="str">
        <f>IFERROR(_xlfn.CONCAT("E",('Configurable Tab'!$C$42+1)),"")</f>
        <v>E435</v>
      </c>
      <c r="D2307" s="1688" t="s">
        <v>1350</v>
      </c>
      <c r="E2307" s="817" t="s">
        <v>1742</v>
      </c>
      <c r="F2307" s="1688"/>
      <c r="G2307" s="1688"/>
      <c r="H2307" s="1688"/>
      <c r="I2307" s="1307" t="str">
        <f t="shared" si="428"/>
        <v>Offer this Incentive?</v>
      </c>
      <c r="J2307" s="1688" t="str">
        <f>$Q$1&amp;T2307</f>
        <v>F</v>
      </c>
      <c r="K2307" s="1688" t="str">
        <f t="shared" si="429"/>
        <v>Incentives</v>
      </c>
      <c r="L2307" s="1688"/>
      <c r="M2307" s="1688"/>
      <c r="N2307" s="1688"/>
      <c r="O2307" s="1687" t="s">
        <v>2144</v>
      </c>
      <c r="P2307" s="18" t="str">
        <f>'Configurable Tab'!E42</f>
        <v>Yes</v>
      </c>
      <c r="Q2307" s="1307" t="str">
        <f>IFERROR(_xlfn.CONCAT("C",('Configurable Tab'!$C42+1)),"")</f>
        <v>C435</v>
      </c>
      <c r="R2307" s="1688" t="s">
        <v>2144</v>
      </c>
      <c r="T2307" s="1688" t="str">
        <f>IF(Q$2295="Yes",M2295,"")</f>
        <v/>
      </c>
    </row>
    <row r="2308" spans="1:20" s="1687" customFormat="1" x14ac:dyDescent="0.25">
      <c r="A2308" s="1040" t="s">
        <v>1383</v>
      </c>
      <c r="B2308" s="1307" t="str">
        <f>IFERROR(_xlfn.CONCAT("D",('Configurable Tab'!$C$42+2)),"")</f>
        <v>D436</v>
      </c>
      <c r="C2308" s="1307" t="str">
        <f>IFERROR(_xlfn.CONCAT("E",('Configurable Tab'!$C$42+2)),"")</f>
        <v>E436</v>
      </c>
      <c r="D2308" s="1688" t="s">
        <v>1350</v>
      </c>
      <c r="E2308" s="817" t="s">
        <v>1742</v>
      </c>
      <c r="F2308" s="1688"/>
      <c r="G2308" s="1688"/>
      <c r="H2308" s="1688"/>
      <c r="I2308" s="1307" t="str">
        <f t="shared" si="428"/>
        <v>Incentive Type</v>
      </c>
      <c r="J2308" s="1688" t="str">
        <f t="shared" ref="J2308:J2315" si="436">$Q$1&amp;T2308</f>
        <v>F</v>
      </c>
      <c r="K2308" s="1688" t="str">
        <f t="shared" si="429"/>
        <v>Incentives</v>
      </c>
      <c r="L2308" s="1688"/>
      <c r="M2308" s="1688"/>
      <c r="N2308" s="1688"/>
      <c r="R2308" s="1688" t="s">
        <v>2144</v>
      </c>
      <c r="T2308" s="1688" t="str">
        <f>IF(Q$2295="Yes",M2296,"")</f>
        <v/>
      </c>
    </row>
    <row r="2309" spans="1:20" s="1687" customFormat="1" x14ac:dyDescent="0.25">
      <c r="A2309" s="1040" t="s">
        <v>1385</v>
      </c>
      <c r="B2309" s="1307" t="str">
        <f>IFERROR(_xlfn.CONCAT("D",('Configurable Tab'!$C$42+4)),"")</f>
        <v>D438</v>
      </c>
      <c r="C2309" s="1307" t="str">
        <f>IFERROR(_xlfn.CONCAT("E",('Configurable Tab'!$C$42+4)),"")</f>
        <v>E438</v>
      </c>
      <c r="D2309" s="1688" t="s">
        <v>1350</v>
      </c>
      <c r="E2309" s="817" t="s">
        <v>1742</v>
      </c>
      <c r="F2309" s="1688"/>
      <c r="G2309" s="1688"/>
      <c r="H2309" s="1688"/>
      <c r="I2309" s="1307" t="str">
        <f t="shared" si="428"/>
        <v>Incentive Effective Date</v>
      </c>
      <c r="J2309" s="1688" t="str">
        <f t="shared" si="436"/>
        <v>F</v>
      </c>
      <c r="K2309" s="1688" t="str">
        <f t="shared" si="429"/>
        <v>Incentives</v>
      </c>
      <c r="L2309" s="1688"/>
      <c r="M2309" s="1688"/>
      <c r="N2309" s="1688"/>
      <c r="R2309" s="1688" t="s">
        <v>2144</v>
      </c>
      <c r="T2309" s="1688" t="str">
        <f>IF(Q$2295="Yes",M2303,"")</f>
        <v/>
      </c>
    </row>
    <row r="2310" spans="1:20" s="1687" customFormat="1" x14ac:dyDescent="0.25">
      <c r="A2310" s="1040" t="s">
        <v>1386</v>
      </c>
      <c r="B2310" s="1307" t="str">
        <f>IFERROR(_xlfn.CONCAT("D",('Configurable Tab'!$C$42+5)),"")</f>
        <v>D439</v>
      </c>
      <c r="C2310" s="1307" t="str">
        <f>IFERROR(_xlfn.CONCAT("E",('Configurable Tab'!$C$42+5)),"")</f>
        <v>E439</v>
      </c>
      <c r="D2310" s="1688" t="s">
        <v>1350</v>
      </c>
      <c r="E2310" s="817" t="s">
        <v>1742</v>
      </c>
      <c r="F2310" s="1688"/>
      <c r="G2310" s="1688"/>
      <c r="H2310" s="1688"/>
      <c r="I2310" s="1307" t="str">
        <f t="shared" si="428"/>
        <v>Incentive Expiration Date</v>
      </c>
      <c r="J2310" s="1688" t="str">
        <f t="shared" si="436"/>
        <v>F</v>
      </c>
      <c r="K2310" s="1688" t="str">
        <f t="shared" si="429"/>
        <v>Incentives</v>
      </c>
      <c r="L2310" s="1688"/>
      <c r="M2310" s="1688"/>
      <c r="N2310" s="1688"/>
      <c r="R2310" s="1688" t="s">
        <v>2144</v>
      </c>
      <c r="T2310" s="1688" t="str">
        <f>IF(Q$2295="Yes",M2304,"")</f>
        <v/>
      </c>
    </row>
    <row r="2311" spans="1:20" s="1687" customFormat="1" x14ac:dyDescent="0.25">
      <c r="A2311" s="1040" t="s">
        <v>1380</v>
      </c>
      <c r="B2311" s="1307" t="str">
        <f>IFERROR(_xlfn.CONCAT("G",('Configurable Tab'!$C$42+1)),"")</f>
        <v>G435</v>
      </c>
      <c r="C2311" s="1307" t="str">
        <f>IFERROR(_xlfn.CONCAT("G",('Configurable Tab'!$C$42+2)),"")</f>
        <v>G436</v>
      </c>
      <c r="D2311" s="1688" t="s">
        <v>1350</v>
      </c>
      <c r="E2311" s="817" t="s">
        <v>1742</v>
      </c>
      <c r="F2311" s="1686"/>
      <c r="G2311" s="1098"/>
      <c r="H2311" s="1688"/>
      <c r="I2311" s="1307" t="str">
        <f t="shared" si="428"/>
        <v>Incentive Period</v>
      </c>
      <c r="J2311" s="1688" t="str">
        <f t="shared" si="436"/>
        <v>F</v>
      </c>
      <c r="K2311" s="1688" t="str">
        <f t="shared" si="429"/>
        <v>Incentives</v>
      </c>
      <c r="L2311" s="1688"/>
      <c r="M2311" s="1688"/>
      <c r="N2311" s="1688"/>
      <c r="R2311" s="1688" t="s">
        <v>2144</v>
      </c>
      <c r="T2311" s="1688" t="str">
        <f>IF(Q$2295="Yes",M2297,"")</f>
        <v/>
      </c>
    </row>
    <row r="2312" spans="1:20" s="1687" customFormat="1" x14ac:dyDescent="0.25">
      <c r="A2312" s="1040" t="s">
        <v>1381</v>
      </c>
      <c r="B2312" s="1307" t="str">
        <f>IFERROR(_xlfn.CONCAT("I",('Configurable Tab'!$C$42+1)),"")</f>
        <v>I435</v>
      </c>
      <c r="C2312" s="1307" t="str">
        <f>IFERROR(_xlfn.CONCAT("I",('Configurable Tab'!$C$42+2)),"")</f>
        <v>I436</v>
      </c>
      <c r="D2312" s="1688" t="s">
        <v>1350</v>
      </c>
      <c r="E2312" s="817" t="s">
        <v>1742</v>
      </c>
      <c r="F2312" s="1688"/>
      <c r="G2312" s="1688"/>
      <c r="H2312" s="1688"/>
      <c r="I2312" s="1307" t="str">
        <f t="shared" si="428"/>
        <v>Payment Method</v>
      </c>
      <c r="J2312" s="1688" t="str">
        <f t="shared" si="436"/>
        <v>F</v>
      </c>
      <c r="K2312" s="1688" t="str">
        <f t="shared" si="429"/>
        <v>Incentives</v>
      </c>
      <c r="L2312" s="1688"/>
      <c r="M2312" s="1688"/>
      <c r="N2312" s="1688"/>
      <c r="R2312" s="1688" t="s">
        <v>2144</v>
      </c>
      <c r="T2312" s="1688" t="str">
        <f t="shared" ref="T2312:T2314" si="437">IF(Q$2295="Yes",M2298,"")</f>
        <v/>
      </c>
    </row>
    <row r="2313" spans="1:20" s="1687" customFormat="1" x14ac:dyDescent="0.25">
      <c r="A2313" s="1040" t="s">
        <v>833</v>
      </c>
      <c r="B2313" s="1307" t="str">
        <f>IFERROR(_xlfn.CONCAT("K",('Configurable Tab'!$C$42+1)),"")</f>
        <v>K435</v>
      </c>
      <c r="C2313" s="1307" t="str">
        <f>IFERROR(_xlfn.CONCAT("K",('Configurable Tab'!$C$42+2)),"")</f>
        <v>K436</v>
      </c>
      <c r="D2313" s="1688" t="s">
        <v>1350</v>
      </c>
      <c r="E2313" s="817" t="s">
        <v>1742</v>
      </c>
      <c r="F2313" s="1688"/>
      <c r="G2313" s="1688"/>
      <c r="H2313" s="1688"/>
      <c r="I2313" s="1307" t="str">
        <f t="shared" si="428"/>
        <v>Paid to:</v>
      </c>
      <c r="J2313" s="1688" t="str">
        <f t="shared" si="436"/>
        <v>F</v>
      </c>
      <c r="K2313" s="1688" t="str">
        <f t="shared" si="429"/>
        <v>Incentives</v>
      </c>
      <c r="L2313" s="1688"/>
      <c r="M2313" s="1688"/>
      <c r="N2313" s="1688"/>
      <c r="R2313" s="1688" t="s">
        <v>2144</v>
      </c>
      <c r="T2313" s="1688" t="str">
        <f t="shared" si="437"/>
        <v/>
      </c>
    </row>
    <row r="2314" spans="1:20" s="1687" customFormat="1" x14ac:dyDescent="0.25">
      <c r="A2314" s="1040" t="s">
        <v>1382</v>
      </c>
      <c r="B2314" s="1307" t="str">
        <f>IFERROR(_xlfn.CONCAT("M",('Configurable Tab'!$C$42+1)),"")</f>
        <v>M435</v>
      </c>
      <c r="C2314" s="1307" t="str">
        <f>IFERROR(_xlfn.CONCAT("M",('Configurable Tab'!$C$42+2)),"")</f>
        <v>M436</v>
      </c>
      <c r="D2314" s="1688" t="s">
        <v>1350</v>
      </c>
      <c r="E2314" s="817" t="s">
        <v>1742</v>
      </c>
      <c r="F2314" s="1688"/>
      <c r="G2314" s="1688"/>
      <c r="H2314" s="1688"/>
      <c r="I2314" s="1307" t="str">
        <f t="shared" si="428"/>
        <v>AP/AR Vendor Number</v>
      </c>
      <c r="J2314" s="1688" t="str">
        <f t="shared" si="436"/>
        <v>F</v>
      </c>
      <c r="K2314" s="1688" t="str">
        <f t="shared" si="429"/>
        <v>Incentives</v>
      </c>
      <c r="L2314" s="1688"/>
      <c r="M2314" s="1688"/>
      <c r="N2314" s="1688"/>
      <c r="R2314" s="1688" t="s">
        <v>2144</v>
      </c>
      <c r="T2314" s="1688" t="str">
        <f t="shared" si="437"/>
        <v/>
      </c>
    </row>
    <row r="2315" spans="1:20" s="1687" customFormat="1" x14ac:dyDescent="0.25">
      <c r="A2315" s="1040" t="s">
        <v>1389</v>
      </c>
      <c r="B2315" s="1307" t="str">
        <f>IFERROR(_xlfn.CONCAT("K",('Configurable Tab'!$C$42+4)),"")</f>
        <v>K438</v>
      </c>
      <c r="C2315" s="1307" t="str">
        <f>IFERROR(_xlfn.CONCAT("K",('Configurable Tab'!$C$42+5)),"")</f>
        <v>K439</v>
      </c>
      <c r="D2315" s="1688" t="s">
        <v>1350</v>
      </c>
      <c r="E2315" s="817" t="s">
        <v>1742</v>
      </c>
      <c r="F2315" s="1688"/>
      <c r="G2315" s="1688"/>
      <c r="H2315" s="1688"/>
      <c r="I2315" s="1307" t="str">
        <f t="shared" si="428"/>
        <v>Rate % of Sales</v>
      </c>
      <c r="J2315" s="1688" t="str">
        <f t="shared" si="436"/>
        <v>F</v>
      </c>
      <c r="K2315" s="1688" t="str">
        <f t="shared" si="429"/>
        <v>Incentives</v>
      </c>
      <c r="L2315" s="1688"/>
      <c r="M2315" s="1688"/>
      <c r="N2315" s="1688"/>
      <c r="R2315" s="1688" t="s">
        <v>2144</v>
      </c>
      <c r="T2315" s="1688" t="str">
        <f>IF(Q$2295="Yes",M2306,"")</f>
        <v/>
      </c>
    </row>
    <row r="2316" spans="1:20" s="1697" customFormat="1" x14ac:dyDescent="0.25">
      <c r="A2316" s="872" t="s">
        <v>1491</v>
      </c>
      <c r="B2316" s="852" t="str">
        <f ca="1">IFERROR(_xlfn.CONCAT("C",MATCH(A2316,INDIRECT("'"&amp;E2316&amp;"'!C"&amp;$O$2316&amp;":C"&amp;$O$2318),0)+$O$2316-1),"")</f>
        <v>C787</v>
      </c>
      <c r="C2316" s="852" t="str">
        <f ca="1">IFERROR(_xlfn.CONCAT("D",MATCH(A2316,INDIRECT("'"&amp;E2316&amp;"'!C"&amp;$O$2316&amp;":C"&amp;$O$2318),0)+$O$2316-1),"")</f>
        <v>D787</v>
      </c>
      <c r="D2316" s="852" t="s">
        <v>1350</v>
      </c>
      <c r="E2316" s="852" t="s">
        <v>1516</v>
      </c>
      <c r="F2316" s="1699" t="s">
        <v>1491</v>
      </c>
      <c r="G2316" s="1699" t="str">
        <f>IF(T2316&lt;&gt;"","A","")</f>
        <v/>
      </c>
      <c r="H2316" s="1699" t="s">
        <v>1990</v>
      </c>
      <c r="I2316" s="1307" t="str">
        <f t="shared" ref="I2316:I2379" si="438">IF(J2316&lt;&gt;"",A2316,"")</f>
        <v/>
      </c>
      <c r="J2316" s="1699"/>
      <c r="K2316" s="1699" t="str">
        <f t="shared" ref="K2316:K2379" si="439">IF(J2316&lt;&gt;"",E2316,"")</f>
        <v/>
      </c>
      <c r="L2316" s="852" t="s">
        <v>1491</v>
      </c>
      <c r="M2316" s="1703">
        <v>1355</v>
      </c>
      <c r="N2316" s="1699"/>
      <c r="O2316" s="1697">
        <f>'Configurable Tab'!H58</f>
        <v>783</v>
      </c>
      <c r="R2316" s="1699" t="s">
        <v>2144</v>
      </c>
      <c r="T2316" s="1699" t="str">
        <f>IF(Q$2295="Yes",46,"")</f>
        <v/>
      </c>
    </row>
    <row r="2317" spans="1:20" s="1697" customFormat="1" x14ac:dyDescent="0.25">
      <c r="A2317" s="872" t="s">
        <v>1705</v>
      </c>
      <c r="B2317" s="852" t="str">
        <f ca="1">_xlfn.CONCAT(IFERROR(SUBSTITUTE(ADDRESS(1,MATCH(A2317,INDIRECT("'"&amp;E2317&amp;"'"&amp;"!A" &amp; $O$2316+11 &amp; ":Z" &amp; $O$2316+11 ),0),4),1,""),""),$O$2316+11)</f>
        <v>T794</v>
      </c>
      <c r="C2317" s="852" t="str">
        <f ca="1">_xlfn.CONCAT(IFERROR(SUBSTITUTE(ADDRESS(1,MATCH(A2317,INDIRECT("'"&amp;E2317&amp;"'"&amp;"!A" &amp; $O$2316+11 &amp; ":Z" &amp; $O$2316+11 ),0),4),1,""),""),$O$2316+12)</f>
        <v>T795</v>
      </c>
      <c r="D2317" s="852" t="s">
        <v>1350</v>
      </c>
      <c r="E2317" s="852" t="s">
        <v>1516</v>
      </c>
      <c r="F2317" s="1699"/>
      <c r="G2317" s="1699"/>
      <c r="H2317" s="1699"/>
      <c r="I2317" s="1307" t="str">
        <f t="shared" si="438"/>
        <v/>
      </c>
      <c r="J2317" s="1699" t="str">
        <f t="shared" ref="J2317" si="440">IF(M2317&lt;&gt;"",IF($Q$540="Yes",Q$1&amp;M2317,""))</f>
        <v/>
      </c>
      <c r="K2317" s="1699" t="str">
        <f t="shared" si="439"/>
        <v/>
      </c>
      <c r="L2317" s="852" t="s">
        <v>1705</v>
      </c>
      <c r="M2317" s="1703">
        <v>1356</v>
      </c>
      <c r="N2317" s="1699"/>
      <c r="O2317" s="1697" t="s">
        <v>726</v>
      </c>
      <c r="P2317" s="18" t="str">
        <f>'Configurable Tab'!J58</f>
        <v>Yes</v>
      </c>
      <c r="Q2317" s="1697" t="s">
        <v>648</v>
      </c>
      <c r="R2317" s="1699" t="s">
        <v>2144</v>
      </c>
      <c r="T2317" s="1699" t="str">
        <f t="shared" ref="T2317:T2328" si="441">IF(Q$2295="Yes",46,"")</f>
        <v/>
      </c>
    </row>
    <row r="2318" spans="1:20" s="1697" customFormat="1" x14ac:dyDescent="0.25">
      <c r="A2318" s="872" t="s">
        <v>1383</v>
      </c>
      <c r="B2318" s="852" t="str">
        <f ca="1">IFERROR(_xlfn.CONCAT("C",MATCH(A2318,INDIRECT("'"&amp;E2318&amp;"'!C"&amp;$O$2316&amp;":C"&amp;$O$2318),0)+$O$2316-1),"")</f>
        <v>C785</v>
      </c>
      <c r="C2318" s="852" t="str">
        <f ca="1">IFERROR(_xlfn.CONCAT("D",MATCH(A2318,INDIRECT("'"&amp;E2318&amp;"'!C"&amp;$O$2316&amp;":C"&amp;$O$2318),0)+$O$2316-1),"")</f>
        <v>D785</v>
      </c>
      <c r="D2318" s="852" t="s">
        <v>1350</v>
      </c>
      <c r="E2318" s="852" t="s">
        <v>1516</v>
      </c>
      <c r="F2318" s="1699" t="s">
        <v>1383</v>
      </c>
      <c r="G2318" s="1699" t="str">
        <f>IF(T2318&lt;&gt;"","B","")</f>
        <v/>
      </c>
      <c r="H2318" s="1699" t="s">
        <v>1990</v>
      </c>
      <c r="I2318" s="1307" t="str">
        <f t="shared" si="438"/>
        <v/>
      </c>
      <c r="J2318" s="1699"/>
      <c r="K2318" s="1699" t="str">
        <f t="shared" si="439"/>
        <v/>
      </c>
      <c r="L2318" s="852" t="s">
        <v>1383</v>
      </c>
      <c r="M2318" s="1703">
        <v>1357</v>
      </c>
      <c r="N2318" s="1699"/>
      <c r="O2318" s="1697">
        <f>'Configurable Tab'!I58</f>
        <v>796</v>
      </c>
      <c r="R2318" s="1699" t="s">
        <v>2144</v>
      </c>
      <c r="T2318" s="1699" t="str">
        <f t="shared" si="441"/>
        <v/>
      </c>
    </row>
    <row r="2319" spans="1:20" s="1697" customFormat="1" x14ac:dyDescent="0.25">
      <c r="A2319" s="872" t="s">
        <v>1380</v>
      </c>
      <c r="B2319" s="852" t="str">
        <f t="shared" ref="B2319:B2324" ca="1" si="442">_xlfn.CONCAT(IFERROR(SUBSTITUTE(ADDRESS(1,MATCH(A2319,INDIRECT("'"&amp;E2319&amp;"'"&amp;"!A" &amp; $O$2316+2 &amp; ":Z"&amp;$O$2316+2 ),0),4),1,""),""),$O$2316+2)</f>
        <v>H785</v>
      </c>
      <c r="C2319" s="852" t="str">
        <f t="shared" ref="C2319:C2324" ca="1" si="443">_xlfn.CONCAT(IFERROR(SUBSTITUTE(ADDRESS(1,MATCH(A2319,INDIRECT("'"&amp;E2319&amp;"'"&amp;"!A" &amp; $O$2316+2 &amp; ":Z"&amp;$O$2316+2 ),0),4),1,""),""),$O$2316+3)</f>
        <v>H786</v>
      </c>
      <c r="D2319" s="852" t="s">
        <v>1350</v>
      </c>
      <c r="E2319" s="852" t="s">
        <v>1516</v>
      </c>
      <c r="F2319" s="1699" t="s">
        <v>1991</v>
      </c>
      <c r="G2319" s="1699" t="str">
        <f>IF(T2319&lt;&gt;"","E","")</f>
        <v/>
      </c>
      <c r="H2319" s="1699" t="s">
        <v>1990</v>
      </c>
      <c r="I2319" s="1307" t="str">
        <f t="shared" si="438"/>
        <v/>
      </c>
      <c r="J2319" s="1699" t="str">
        <f t="shared" ref="J2319:J2324" si="444">IF(M2319&lt;&gt;"",IF($Q$540="Yes",Q$1&amp;M2319,""))</f>
        <v/>
      </c>
      <c r="K2319" s="1699" t="str">
        <f t="shared" si="439"/>
        <v/>
      </c>
      <c r="L2319" s="852" t="s">
        <v>1380</v>
      </c>
      <c r="M2319" s="1703">
        <v>1358</v>
      </c>
      <c r="N2319" s="1699"/>
      <c r="O2319" s="1697" t="s">
        <v>2153</v>
      </c>
      <c r="R2319" s="1699" t="s">
        <v>2144</v>
      </c>
      <c r="T2319" s="1699" t="str">
        <f t="shared" si="441"/>
        <v/>
      </c>
    </row>
    <row r="2320" spans="1:20" s="1697" customFormat="1" x14ac:dyDescent="0.25">
      <c r="A2320" s="872" t="s">
        <v>1381</v>
      </c>
      <c r="B2320" s="852" t="str">
        <f t="shared" ca="1" si="442"/>
        <v>J785</v>
      </c>
      <c r="C2320" s="852" t="str">
        <f t="shared" ca="1" si="443"/>
        <v>J786</v>
      </c>
      <c r="D2320" s="852" t="s">
        <v>1350</v>
      </c>
      <c r="E2320" s="852" t="s">
        <v>1516</v>
      </c>
      <c r="F2320" s="1699" t="s">
        <v>1992</v>
      </c>
      <c r="G2320" s="1699" t="str">
        <f>IF(T2320&lt;&gt;"","I","")</f>
        <v/>
      </c>
      <c r="H2320" s="1699" t="s">
        <v>1990</v>
      </c>
      <c r="I2320" s="1307" t="str">
        <f t="shared" si="438"/>
        <v/>
      </c>
      <c r="J2320" s="1699" t="str">
        <f t="shared" si="444"/>
        <v/>
      </c>
      <c r="K2320" s="1699" t="str">
        <f t="shared" si="439"/>
        <v/>
      </c>
      <c r="L2320" s="852" t="s">
        <v>1381</v>
      </c>
      <c r="M2320" s="1703">
        <v>1359</v>
      </c>
      <c r="N2320" s="1699"/>
      <c r="R2320" s="1699" t="s">
        <v>2144</v>
      </c>
      <c r="T2320" s="1699" t="str">
        <f t="shared" si="441"/>
        <v/>
      </c>
    </row>
    <row r="2321" spans="1:20" s="1697" customFormat="1" x14ac:dyDescent="0.25">
      <c r="A2321" s="872" t="s">
        <v>1397</v>
      </c>
      <c r="B2321" s="852" t="str">
        <f t="shared" ca="1" si="442"/>
        <v>L785</v>
      </c>
      <c r="C2321" s="852" t="str">
        <f t="shared" ca="1" si="443"/>
        <v>L786</v>
      </c>
      <c r="D2321" s="852" t="s">
        <v>1350</v>
      </c>
      <c r="E2321" s="852" t="s">
        <v>1516</v>
      </c>
      <c r="F2321" s="1699" t="s">
        <v>1993</v>
      </c>
      <c r="G2321" s="1699" t="str">
        <f>IF(T2321&lt;&gt;"","H","")</f>
        <v/>
      </c>
      <c r="H2321" s="1699" t="s">
        <v>1990</v>
      </c>
      <c r="I2321" s="1307" t="str">
        <f t="shared" si="438"/>
        <v/>
      </c>
      <c r="J2321" s="1699" t="str">
        <f t="shared" si="444"/>
        <v/>
      </c>
      <c r="K2321" s="1699" t="str">
        <f t="shared" si="439"/>
        <v/>
      </c>
      <c r="L2321" s="852" t="s">
        <v>1397</v>
      </c>
      <c r="M2321" s="1703">
        <v>1360</v>
      </c>
      <c r="N2321" s="1699"/>
      <c r="R2321" s="1699" t="s">
        <v>2144</v>
      </c>
      <c r="T2321" s="1699" t="str">
        <f t="shared" si="441"/>
        <v/>
      </c>
    </row>
    <row r="2322" spans="1:20" s="1697" customFormat="1" x14ac:dyDescent="0.25">
      <c r="A2322" s="872" t="s">
        <v>1382</v>
      </c>
      <c r="B2322" s="852" t="str">
        <f t="shared" ca="1" si="442"/>
        <v>N785</v>
      </c>
      <c r="C2322" s="852" t="str">
        <f t="shared" ca="1" si="443"/>
        <v>N786</v>
      </c>
      <c r="D2322" s="852" t="s">
        <v>1350</v>
      </c>
      <c r="E2322" s="852" t="s">
        <v>1516</v>
      </c>
      <c r="F2322" s="1699" t="s">
        <v>1382</v>
      </c>
      <c r="G2322" s="1699" t="str">
        <f>IF(T2322&lt;&gt;"",IF(Q2320="Credit Memo","J",IF(Q2320="Check","K","")),"")</f>
        <v/>
      </c>
      <c r="H2322" s="1699" t="s">
        <v>1990</v>
      </c>
      <c r="I2322" s="1307" t="str">
        <f t="shared" si="438"/>
        <v/>
      </c>
      <c r="J2322" s="1699" t="str">
        <f t="shared" si="444"/>
        <v/>
      </c>
      <c r="K2322" s="1699" t="str">
        <f t="shared" si="439"/>
        <v/>
      </c>
      <c r="L2322" s="852" t="s">
        <v>1382</v>
      </c>
      <c r="M2322" s="1703">
        <v>1361</v>
      </c>
      <c r="N2322" s="1699"/>
      <c r="R2322" s="1699" t="s">
        <v>2144</v>
      </c>
      <c r="T2322" s="1699" t="str">
        <f t="shared" si="441"/>
        <v/>
      </c>
    </row>
    <row r="2323" spans="1:20" s="1697" customFormat="1" x14ac:dyDescent="0.25">
      <c r="A2323" s="872" t="s">
        <v>1487</v>
      </c>
      <c r="B2323" s="852" t="str">
        <f t="shared" ca="1" si="442"/>
        <v>R785</v>
      </c>
      <c r="C2323" s="852" t="str">
        <f t="shared" ca="1" si="443"/>
        <v>R786</v>
      </c>
      <c r="D2323" s="852" t="s">
        <v>1350</v>
      </c>
      <c r="E2323" s="852" t="s">
        <v>1516</v>
      </c>
      <c r="F2323" s="1699" t="s">
        <v>1995</v>
      </c>
      <c r="G2323" s="1699" t="str">
        <f>IF(T2323&lt;&gt;"","G","")</f>
        <v/>
      </c>
      <c r="H2323" s="1699" t="s">
        <v>1990</v>
      </c>
      <c r="I2323" s="1307" t="str">
        <f t="shared" si="438"/>
        <v/>
      </c>
      <c r="J2323" s="1699" t="str">
        <f t="shared" si="444"/>
        <v/>
      </c>
      <c r="K2323" s="1699" t="str">
        <f t="shared" si="439"/>
        <v/>
      </c>
      <c r="L2323" s="852" t="s">
        <v>1487</v>
      </c>
      <c r="M2323" s="1703">
        <v>1362</v>
      </c>
      <c r="N2323" s="1699"/>
      <c r="R2323" s="1699" t="s">
        <v>2144</v>
      </c>
      <c r="T2323" s="1699" t="str">
        <f t="shared" si="441"/>
        <v/>
      </c>
    </row>
    <row r="2324" spans="1:20" s="1697" customFormat="1" x14ac:dyDescent="0.25">
      <c r="A2324" s="872" t="s">
        <v>1488</v>
      </c>
      <c r="B2324" s="852" t="str">
        <f t="shared" ca="1" si="442"/>
        <v>T785</v>
      </c>
      <c r="C2324" s="852" t="str">
        <f t="shared" ca="1" si="443"/>
        <v>T786</v>
      </c>
      <c r="D2324" s="852" t="s">
        <v>1350</v>
      </c>
      <c r="E2324" s="852" t="s">
        <v>1516</v>
      </c>
      <c r="F2324" s="867" t="s">
        <v>1488</v>
      </c>
      <c r="G2324" s="1699" t="str">
        <f>IF(T2324&lt;&gt;"","AW","")</f>
        <v/>
      </c>
      <c r="H2324" s="1699" t="s">
        <v>1990</v>
      </c>
      <c r="I2324" s="1307" t="str">
        <f t="shared" si="438"/>
        <v/>
      </c>
      <c r="J2324" s="1699" t="str">
        <f t="shared" si="444"/>
        <v/>
      </c>
      <c r="K2324" s="1699" t="str">
        <f t="shared" si="439"/>
        <v/>
      </c>
      <c r="L2324" s="852" t="s">
        <v>1488</v>
      </c>
      <c r="M2324" s="1703">
        <v>1363</v>
      </c>
      <c r="N2324" s="1699"/>
      <c r="R2324" s="1699" t="s">
        <v>2144</v>
      </c>
      <c r="T2324" s="1699" t="str">
        <f t="shared" si="441"/>
        <v/>
      </c>
    </row>
    <row r="2325" spans="1:20" s="1697" customFormat="1" x14ac:dyDescent="0.25">
      <c r="A2325" s="872" t="s">
        <v>1385</v>
      </c>
      <c r="B2325" s="852" t="str">
        <f ca="1">IFERROR(_xlfn.CONCAT("C",MATCH(A2325,INDIRECT("'"&amp;E2325&amp;"'!C"&amp;$O$2316&amp;":C"&amp;$O$2318),0)+$O$2316-1),"")</f>
        <v>C789</v>
      </c>
      <c r="C2325" s="852" t="str">
        <f ca="1">IFERROR(_xlfn.CONCAT("D",MATCH(A2325,INDIRECT("'"&amp;E2325&amp;"'!C"&amp;$O$2316&amp;":C"&amp;$O$2318),0)+$O$2316-1),"")</f>
        <v>D789</v>
      </c>
      <c r="D2325" s="852" t="s">
        <v>1350</v>
      </c>
      <c r="E2325" s="852" t="s">
        <v>1516</v>
      </c>
      <c r="F2325" s="1699" t="s">
        <v>1385</v>
      </c>
      <c r="G2325" s="1699" t="str">
        <f>IF(T2325&lt;&gt;"","C","")</f>
        <v/>
      </c>
      <c r="H2325" s="1699" t="s">
        <v>1990</v>
      </c>
      <c r="I2325" s="1307" t="str">
        <f t="shared" si="438"/>
        <v/>
      </c>
      <c r="J2325" s="1699"/>
      <c r="K2325" s="1699" t="str">
        <f t="shared" si="439"/>
        <v/>
      </c>
      <c r="L2325" s="852" t="s">
        <v>1385</v>
      </c>
      <c r="M2325" s="1703">
        <v>1364</v>
      </c>
      <c r="N2325" s="1699"/>
      <c r="R2325" s="1699" t="s">
        <v>2144</v>
      </c>
      <c r="T2325" s="1699" t="str">
        <f t="shared" si="441"/>
        <v/>
      </c>
    </row>
    <row r="2326" spans="1:20" s="1697" customFormat="1" x14ac:dyDescent="0.25">
      <c r="A2326" s="872" t="s">
        <v>1386</v>
      </c>
      <c r="B2326" s="852" t="str">
        <f ca="1">IFERROR(_xlfn.CONCAT("C",MATCH(A2326,INDIRECT("'"&amp;E2326&amp;"'!C"&amp;$O$2316&amp;":C"&amp;$O$2318),0)+$O$2316-1),"")</f>
        <v>C791</v>
      </c>
      <c r="C2326" s="852" t="str">
        <f ca="1">IFERROR(_xlfn.CONCAT("D",MATCH(A2326,INDIRECT("'"&amp;E2326&amp;"'!C"&amp;$O$2316&amp;":C"&amp;$O$2318),0)+$O$2316-1),"")</f>
        <v>D791</v>
      </c>
      <c r="D2326" s="852" t="s">
        <v>1350</v>
      </c>
      <c r="E2326" s="852" t="s">
        <v>1516</v>
      </c>
      <c r="F2326" s="1699" t="s">
        <v>1386</v>
      </c>
      <c r="G2326" s="1699" t="str">
        <f>IF(T2326&lt;&gt;"","D","")</f>
        <v/>
      </c>
      <c r="H2326" s="1699" t="s">
        <v>1990</v>
      </c>
      <c r="I2326" s="1307" t="str">
        <f t="shared" si="438"/>
        <v/>
      </c>
      <c r="J2326" s="1699"/>
      <c r="K2326" s="1699" t="str">
        <f t="shared" si="439"/>
        <v/>
      </c>
      <c r="L2326" s="852" t="s">
        <v>1386</v>
      </c>
      <c r="M2326" s="1703">
        <v>1365</v>
      </c>
      <c r="N2326" s="1699"/>
      <c r="R2326" s="1699" t="s">
        <v>2144</v>
      </c>
      <c r="T2326" s="1699" t="str">
        <f t="shared" si="441"/>
        <v/>
      </c>
    </row>
    <row r="2327" spans="1:20" s="1697" customFormat="1" x14ac:dyDescent="0.25">
      <c r="A2327" s="872" t="s">
        <v>1495</v>
      </c>
      <c r="B2327" s="852" t="str">
        <f ca="1">IFERROR(_xlfn.CONCAT("C",MATCH(A2327,INDIRECT("'"&amp;E2327&amp;"'!C"&amp;$O$2316&amp;":C"&amp;$O$2318),0)+$O$2316-1),"")</f>
        <v>C793</v>
      </c>
      <c r="C2327" s="852" t="str">
        <f ca="1">IFERROR(_xlfn.CONCAT("D",MATCH(A2327,INDIRECT("'"&amp;E2327&amp;"'!C"&amp;$O$2316&amp;":C"&amp;$O$2318),0)+$O$2316-1),"")</f>
        <v>D793</v>
      </c>
      <c r="D2327" s="852" t="s">
        <v>1350</v>
      </c>
      <c r="E2327" s="852" t="s">
        <v>1516</v>
      </c>
      <c r="F2327" s="1699" t="s">
        <v>1495</v>
      </c>
      <c r="G2327" s="1699" t="str">
        <f>IF(T2327&lt;&gt;"","AN","")</f>
        <v/>
      </c>
      <c r="H2327" s="1699" t="s">
        <v>1990</v>
      </c>
      <c r="I2327" s="1307" t="str">
        <f t="shared" si="438"/>
        <v/>
      </c>
      <c r="J2327" s="1699" t="str">
        <f t="shared" ref="J2327" si="445">IF(M2327&lt;&gt;"",IF($Q$540="Yes",Q$1&amp;M2327,""))</f>
        <v/>
      </c>
      <c r="K2327" s="1699" t="str">
        <f t="shared" si="439"/>
        <v/>
      </c>
      <c r="L2327" s="852" t="s">
        <v>1495</v>
      </c>
      <c r="M2327" s="1703">
        <v>1366</v>
      </c>
      <c r="N2327" s="1699"/>
      <c r="P2327" s="1699" t="str" cm="1">
        <f t="array" aca="1" ref="P2327" ca="1">_xlfn.CONCAT("F",RIGHT(B2327, LEN(B2327) - MAX(IF(ISNUMBER(MID(B2327, ROW(INDIRECT("1:"&amp;LEN(B2327))), 1) *1)=FALSE, ROW(INDIRECT("1:"&amp;LEN(B2327))), 0))))</f>
        <v>F793</v>
      </c>
      <c r="Q2327" s="1699" t="str" cm="1">
        <f t="array" aca="1" ref="Q2327" ca="1">_xlfn.CONCAT("E",RIGHT(C2327, LEN(C2327) - MAX(IF(ISNUMBER(MID(C2327, ROW(INDIRECT("1:"&amp;LEN(C2327))), 1) *1)=FALSE, ROW(INDIRECT("1:"&amp;LEN(C2327))), 0))))</f>
        <v>E793</v>
      </c>
      <c r="R2327" s="1699" t="s">
        <v>2144</v>
      </c>
      <c r="T2327" s="1699" t="str">
        <f t="shared" si="441"/>
        <v/>
      </c>
    </row>
    <row r="2328" spans="1:20" s="1697" customFormat="1" x14ac:dyDescent="0.25">
      <c r="A2328" s="872" t="s">
        <v>1389</v>
      </c>
      <c r="B2328" s="852" t="str">
        <f ca="1">_xlfn.CONCAT(IFERROR(SUBSTITUTE(ADDRESS(1,MATCH(A2328,INDIRECT("'"&amp;E2328&amp;"'"&amp;"!A" &amp; $O$2316+5 &amp; ":Z"&amp;$O$2316+5),0),4),1,""),""),$O$2316+5)</f>
        <v>H788</v>
      </c>
      <c r="C2328" s="852" t="str">
        <f ca="1">_xlfn.CONCAT(IFERROR(SUBSTITUTE(ADDRESS(1,MATCH(A2328,INDIRECT("'"&amp;E2328&amp;"'"&amp;"!A" &amp; $O$2316+5 &amp; ":Z"&amp;$O$2316+5),0),4),1,""),""),$O$2316+6)</f>
        <v>H789</v>
      </c>
      <c r="D2328" s="852" t="s">
        <v>1350</v>
      </c>
      <c r="E2328" s="852" t="s">
        <v>1516</v>
      </c>
      <c r="F2328" s="1699" t="s">
        <v>1912</v>
      </c>
      <c r="G2328" s="1699" t="str">
        <f>IF(T2328&lt;&gt;"","O","")</f>
        <v/>
      </c>
      <c r="H2328" s="1699" t="s">
        <v>1990</v>
      </c>
      <c r="I2328" s="1307" t="str">
        <f t="shared" si="438"/>
        <v/>
      </c>
      <c r="J2328" s="1699"/>
      <c r="K2328" s="1699" t="str">
        <f t="shared" si="439"/>
        <v/>
      </c>
      <c r="L2328" s="852" t="s">
        <v>1389</v>
      </c>
      <c r="M2328" s="1700">
        <v>1367</v>
      </c>
      <c r="N2328" s="1699"/>
      <c r="R2328" s="1699" t="s">
        <v>2144</v>
      </c>
      <c r="T2328" s="1699" t="str">
        <f t="shared" si="441"/>
        <v/>
      </c>
    </row>
    <row r="2329" spans="1:20" s="1697" customFormat="1" x14ac:dyDescent="0.25">
      <c r="A2329" s="1039" t="s">
        <v>523</v>
      </c>
      <c r="B2329" s="1307" t="str">
        <f>IFERROR(_xlfn.CONCAT("D",('Configurable Tab'!$C$43+1)),"")</f>
        <v>D443</v>
      </c>
      <c r="C2329" s="1307" t="str">
        <f>IFERROR(_xlfn.CONCAT("E",('Configurable Tab'!$C$43+1)),"")</f>
        <v>E443</v>
      </c>
      <c r="D2329" s="1699" t="s">
        <v>1350</v>
      </c>
      <c r="E2329" s="817" t="s">
        <v>1742</v>
      </c>
      <c r="F2329" s="1699"/>
      <c r="G2329" s="1699"/>
      <c r="H2329" s="1699"/>
      <c r="I2329" s="1307" t="str">
        <f t="shared" si="438"/>
        <v>Offer this Incentive?</v>
      </c>
      <c r="J2329" s="1699" t="str">
        <f>$Q$1&amp;T2329</f>
        <v>F</v>
      </c>
      <c r="K2329" s="1699" t="str">
        <f t="shared" si="439"/>
        <v>Incentives</v>
      </c>
      <c r="L2329" s="1699"/>
      <c r="M2329" s="1699"/>
      <c r="N2329" s="1699"/>
      <c r="O2329" s="1697" t="s">
        <v>2144</v>
      </c>
      <c r="P2329" s="18" t="str">
        <f>'Configurable Tab'!E43</f>
        <v>Yes</v>
      </c>
      <c r="Q2329" s="1307" t="str">
        <f>IFERROR(_xlfn.CONCAT("C",('Configurable Tab'!$C43+1)),"")</f>
        <v>C443</v>
      </c>
      <c r="R2329" s="1699" t="s">
        <v>2144</v>
      </c>
      <c r="T2329" s="1699" t="str">
        <f>IF(Q$2317="Yes",M2317,"")</f>
        <v/>
      </c>
    </row>
    <row r="2330" spans="1:20" s="1697" customFormat="1" x14ac:dyDescent="0.25">
      <c r="A2330" s="1040" t="s">
        <v>1383</v>
      </c>
      <c r="B2330" s="1307" t="str">
        <f>IFERROR(_xlfn.CONCAT("D",('Configurable Tab'!$C$43+2)),"")</f>
        <v>D444</v>
      </c>
      <c r="C2330" s="1307" t="str">
        <f>IFERROR(_xlfn.CONCAT("E",('Configurable Tab'!$C$43+2)),"")</f>
        <v>E444</v>
      </c>
      <c r="D2330" s="1699" t="s">
        <v>1350</v>
      </c>
      <c r="E2330" s="817" t="s">
        <v>1742</v>
      </c>
      <c r="F2330" s="1699"/>
      <c r="G2330" s="1699"/>
      <c r="H2330" s="1699"/>
      <c r="I2330" s="1307" t="str">
        <f t="shared" si="438"/>
        <v>Incentive Type</v>
      </c>
      <c r="J2330" s="1699" t="str">
        <f t="shared" ref="J2330:J2337" si="446">$Q$1&amp;T2330</f>
        <v>F</v>
      </c>
      <c r="K2330" s="1699" t="str">
        <f t="shared" si="439"/>
        <v>Incentives</v>
      </c>
      <c r="L2330" s="1699"/>
      <c r="M2330" s="1699"/>
      <c r="N2330" s="1699"/>
      <c r="R2330" s="1699" t="s">
        <v>2144</v>
      </c>
      <c r="T2330" s="1699" t="str">
        <f>IF(Q$2317="Yes",M2318,"")</f>
        <v/>
      </c>
    </row>
    <row r="2331" spans="1:20" s="1697" customFormat="1" x14ac:dyDescent="0.25">
      <c r="A2331" s="1040" t="s">
        <v>1385</v>
      </c>
      <c r="B2331" s="1307" t="str">
        <f>IFERROR(_xlfn.CONCAT("D",('Configurable Tab'!$C$43+4)),"")</f>
        <v>D446</v>
      </c>
      <c r="C2331" s="1307" t="str">
        <f>IFERROR(_xlfn.CONCAT("E",('Configurable Tab'!$C$43+4)),"")</f>
        <v>E446</v>
      </c>
      <c r="D2331" s="1699" t="s">
        <v>1350</v>
      </c>
      <c r="E2331" s="817" t="s">
        <v>1742</v>
      </c>
      <c r="F2331" s="1699"/>
      <c r="G2331" s="1699"/>
      <c r="H2331" s="1699"/>
      <c r="I2331" s="1307" t="str">
        <f t="shared" si="438"/>
        <v>Incentive Effective Date</v>
      </c>
      <c r="J2331" s="1699" t="str">
        <f t="shared" si="446"/>
        <v>F</v>
      </c>
      <c r="K2331" s="1699" t="str">
        <f t="shared" si="439"/>
        <v>Incentives</v>
      </c>
      <c r="L2331" s="1699"/>
      <c r="M2331" s="1699"/>
      <c r="N2331" s="1699"/>
      <c r="R2331" s="1699" t="s">
        <v>2144</v>
      </c>
      <c r="T2331" s="1699" t="str">
        <f>IF(Q$2317="Yes",M2325,"")</f>
        <v/>
      </c>
    </row>
    <row r="2332" spans="1:20" s="1697" customFormat="1" x14ac:dyDescent="0.25">
      <c r="A2332" s="1040" t="s">
        <v>1386</v>
      </c>
      <c r="B2332" s="1307" t="str">
        <f>IFERROR(_xlfn.CONCAT("D",('Configurable Tab'!$C$43+5)),"")</f>
        <v>D447</v>
      </c>
      <c r="C2332" s="1307" t="str">
        <f>IFERROR(_xlfn.CONCAT("E",('Configurable Tab'!$C$43+5)),"")</f>
        <v>E447</v>
      </c>
      <c r="D2332" s="1699" t="s">
        <v>1350</v>
      </c>
      <c r="E2332" s="817" t="s">
        <v>1742</v>
      </c>
      <c r="F2332" s="1699"/>
      <c r="G2332" s="1699"/>
      <c r="H2332" s="1699"/>
      <c r="I2332" s="1307" t="str">
        <f t="shared" si="438"/>
        <v>Incentive Expiration Date</v>
      </c>
      <c r="J2332" s="1699" t="str">
        <f t="shared" si="446"/>
        <v>F</v>
      </c>
      <c r="K2332" s="1699" t="str">
        <f t="shared" si="439"/>
        <v>Incentives</v>
      </c>
      <c r="L2332" s="1699"/>
      <c r="M2332" s="1699"/>
      <c r="N2332" s="1699"/>
      <c r="R2332" s="1699" t="s">
        <v>2144</v>
      </c>
      <c r="T2332" s="1699" t="str">
        <f>IF(Q$2317="Yes",M2326,"")</f>
        <v/>
      </c>
    </row>
    <row r="2333" spans="1:20" s="1697" customFormat="1" x14ac:dyDescent="0.25">
      <c r="A2333" s="1040" t="s">
        <v>1380</v>
      </c>
      <c r="B2333" s="1307" t="str">
        <f>IFERROR(_xlfn.CONCAT("G",('Configurable Tab'!$C$43+1)),"")</f>
        <v>G443</v>
      </c>
      <c r="C2333" s="1307" t="str">
        <f>IFERROR(_xlfn.CONCAT("G",('Configurable Tab'!$C$43+2)),"")</f>
        <v>G444</v>
      </c>
      <c r="D2333" s="1699" t="s">
        <v>1350</v>
      </c>
      <c r="E2333" s="817" t="s">
        <v>1742</v>
      </c>
      <c r="F2333" s="1698"/>
      <c r="G2333" s="1098"/>
      <c r="H2333" s="1699"/>
      <c r="I2333" s="1307" t="str">
        <f t="shared" si="438"/>
        <v>Incentive Period</v>
      </c>
      <c r="J2333" s="1699" t="str">
        <f t="shared" si="446"/>
        <v>F</v>
      </c>
      <c r="K2333" s="1699" t="str">
        <f t="shared" si="439"/>
        <v>Incentives</v>
      </c>
      <c r="L2333" s="1699"/>
      <c r="M2333" s="1699"/>
      <c r="N2333" s="1699"/>
      <c r="R2333" s="1699" t="s">
        <v>2144</v>
      </c>
      <c r="T2333" s="1699" t="str">
        <f>IF(Q$2317="Yes",M2319,"")</f>
        <v/>
      </c>
    </row>
    <row r="2334" spans="1:20" s="1697" customFormat="1" x14ac:dyDescent="0.25">
      <c r="A2334" s="1040" t="s">
        <v>1381</v>
      </c>
      <c r="B2334" s="1307" t="str">
        <f>IFERROR(_xlfn.CONCAT("I",('Configurable Tab'!$C$43+1)),"")</f>
        <v>I443</v>
      </c>
      <c r="C2334" s="1307" t="str">
        <f>IFERROR(_xlfn.CONCAT("I",('Configurable Tab'!$C$43+2)),"")</f>
        <v>I444</v>
      </c>
      <c r="D2334" s="1699" t="s">
        <v>1350</v>
      </c>
      <c r="E2334" s="817" t="s">
        <v>1742</v>
      </c>
      <c r="F2334" s="1699"/>
      <c r="G2334" s="1699"/>
      <c r="H2334" s="1699"/>
      <c r="I2334" s="1307" t="str">
        <f t="shared" si="438"/>
        <v>Payment Method</v>
      </c>
      <c r="J2334" s="1699" t="str">
        <f t="shared" si="446"/>
        <v>F</v>
      </c>
      <c r="K2334" s="1699" t="str">
        <f t="shared" si="439"/>
        <v>Incentives</v>
      </c>
      <c r="L2334" s="1699"/>
      <c r="M2334" s="1699"/>
      <c r="N2334" s="1699"/>
      <c r="R2334" s="1699" t="s">
        <v>2144</v>
      </c>
      <c r="T2334" s="1699" t="str">
        <f>IF(Q$2317="Yes",M2320,"")</f>
        <v/>
      </c>
    </row>
    <row r="2335" spans="1:20" s="1697" customFormat="1" x14ac:dyDescent="0.25">
      <c r="A2335" s="1040" t="s">
        <v>833</v>
      </c>
      <c r="B2335" s="1307" t="str">
        <f>IFERROR(_xlfn.CONCAT("K",('Configurable Tab'!$C$43+1)),"")</f>
        <v>K443</v>
      </c>
      <c r="C2335" s="1307" t="str">
        <f>IFERROR(_xlfn.CONCAT("K",('Configurable Tab'!$C$43+2)),"")</f>
        <v>K444</v>
      </c>
      <c r="D2335" s="1699" t="s">
        <v>1350</v>
      </c>
      <c r="E2335" s="817" t="s">
        <v>1742</v>
      </c>
      <c r="F2335" s="1699"/>
      <c r="G2335" s="1699"/>
      <c r="H2335" s="1699"/>
      <c r="I2335" s="1307" t="str">
        <f t="shared" si="438"/>
        <v>Paid to:</v>
      </c>
      <c r="J2335" s="1699" t="str">
        <f t="shared" si="446"/>
        <v>F</v>
      </c>
      <c r="K2335" s="1699" t="str">
        <f t="shared" si="439"/>
        <v>Incentives</v>
      </c>
      <c r="L2335" s="1699"/>
      <c r="M2335" s="1699"/>
      <c r="N2335" s="1699"/>
      <c r="R2335" s="1699" t="s">
        <v>2144</v>
      </c>
      <c r="T2335" s="1699" t="str">
        <f>IF(Q$2317="Yes",M2321,"")</f>
        <v/>
      </c>
    </row>
    <row r="2336" spans="1:20" s="1697" customFormat="1" x14ac:dyDescent="0.25">
      <c r="A2336" s="1040" t="s">
        <v>1382</v>
      </c>
      <c r="B2336" s="1307" t="str">
        <f>IFERROR(_xlfn.CONCAT("M",('Configurable Tab'!$C$43+1)),"")</f>
        <v>M443</v>
      </c>
      <c r="C2336" s="1307" t="str">
        <f>IFERROR(_xlfn.CONCAT("M",('Configurable Tab'!$C$43+2)),"")</f>
        <v>M444</v>
      </c>
      <c r="D2336" s="1699" t="s">
        <v>1350</v>
      </c>
      <c r="E2336" s="817" t="s">
        <v>1742</v>
      </c>
      <c r="F2336" s="1699"/>
      <c r="G2336" s="1699"/>
      <c r="H2336" s="1699"/>
      <c r="I2336" s="1307" t="str">
        <f t="shared" si="438"/>
        <v>AP/AR Vendor Number</v>
      </c>
      <c r="J2336" s="1699" t="str">
        <f t="shared" si="446"/>
        <v>F</v>
      </c>
      <c r="K2336" s="1699" t="str">
        <f t="shared" si="439"/>
        <v>Incentives</v>
      </c>
      <c r="L2336" s="1699"/>
      <c r="M2336" s="1699"/>
      <c r="N2336" s="1699"/>
      <c r="R2336" s="1699" t="s">
        <v>2144</v>
      </c>
      <c r="T2336" s="1699" t="str">
        <f>IF(Q$2317="Yes",M2322,"")</f>
        <v/>
      </c>
    </row>
    <row r="2337" spans="1:20" s="1697" customFormat="1" x14ac:dyDescent="0.25">
      <c r="A2337" s="1040" t="s">
        <v>1389</v>
      </c>
      <c r="B2337" s="1307" t="str">
        <f>IFERROR(_xlfn.CONCAT("K",('Configurable Tab'!$C$43+4)),"")</f>
        <v>K446</v>
      </c>
      <c r="C2337" s="1307" t="str">
        <f>IFERROR(_xlfn.CONCAT("K",('Configurable Tab'!$C$43+5)),"")</f>
        <v>K447</v>
      </c>
      <c r="D2337" s="1699" t="s">
        <v>1350</v>
      </c>
      <c r="E2337" s="817" t="s">
        <v>1742</v>
      </c>
      <c r="F2337" s="1699"/>
      <c r="G2337" s="1699"/>
      <c r="H2337" s="1699"/>
      <c r="I2337" s="1307" t="str">
        <f t="shared" si="438"/>
        <v>Rate % of Sales</v>
      </c>
      <c r="J2337" s="1699" t="str">
        <f t="shared" si="446"/>
        <v>F</v>
      </c>
      <c r="K2337" s="1699" t="str">
        <f t="shared" si="439"/>
        <v>Incentives</v>
      </c>
      <c r="L2337" s="1699"/>
      <c r="M2337" s="1699"/>
      <c r="N2337" s="1699"/>
      <c r="R2337" s="1699" t="s">
        <v>2144</v>
      </c>
      <c r="T2337" s="1699" t="str">
        <f>IF(Q$2317="Yes",M2328,"")</f>
        <v/>
      </c>
    </row>
    <row r="2338" spans="1:20" s="1697" customFormat="1" x14ac:dyDescent="0.25">
      <c r="A2338" s="872" t="s">
        <v>1491</v>
      </c>
      <c r="B2338" s="852" t="str">
        <f ca="1">IFERROR(_xlfn.CONCAT("C",MATCH(A2338,INDIRECT("'"&amp;E2338&amp;"'!C"&amp;$O$2338&amp;":C"&amp;$O$2340),0)+$O$2338-1),"")</f>
        <v>C801</v>
      </c>
      <c r="C2338" s="852" t="str">
        <f ca="1">IFERROR(_xlfn.CONCAT("D",MATCH(A2338,INDIRECT("'"&amp;E2338&amp;"'!C"&amp;$O$2338&amp;":C"&amp;$O$2340),0)+$O$2338-1),"")</f>
        <v>D801</v>
      </c>
      <c r="D2338" s="852" t="s">
        <v>1350</v>
      </c>
      <c r="E2338" s="852" t="s">
        <v>1516</v>
      </c>
      <c r="F2338" s="1699" t="s">
        <v>1491</v>
      </c>
      <c r="G2338" s="1699" t="str">
        <f>IF(T2338&lt;&gt;"","A","")</f>
        <v/>
      </c>
      <c r="H2338" s="1699" t="s">
        <v>1990</v>
      </c>
      <c r="I2338" s="1307" t="str">
        <f t="shared" si="438"/>
        <v/>
      </c>
      <c r="J2338" s="1699"/>
      <c r="K2338" s="1699" t="str">
        <f t="shared" si="439"/>
        <v/>
      </c>
      <c r="L2338" s="852" t="s">
        <v>1491</v>
      </c>
      <c r="M2338" s="1703">
        <v>1368</v>
      </c>
      <c r="N2338" s="1699"/>
      <c r="O2338" s="1697">
        <f>'Configurable Tab'!H59</f>
        <v>797</v>
      </c>
      <c r="R2338" s="1699" t="s">
        <v>2144</v>
      </c>
      <c r="T2338" s="1699" t="str">
        <f>IF(Q$2339="Yes",47,"")</f>
        <v/>
      </c>
    </row>
    <row r="2339" spans="1:20" s="1697" customFormat="1" x14ac:dyDescent="0.25">
      <c r="A2339" s="872" t="s">
        <v>1705</v>
      </c>
      <c r="B2339" s="852" t="str">
        <f ca="1">_xlfn.CONCAT(IFERROR(SUBSTITUTE(ADDRESS(1,MATCH(A2339,INDIRECT("'"&amp;E2339&amp;"'"&amp;"!A" &amp; $O$2338+11 &amp; ":Z" &amp; $O$2338+11 ),0),4),1,""),""),$O$2338+11)</f>
        <v>T808</v>
      </c>
      <c r="C2339" s="852" t="str">
        <f ca="1">_xlfn.CONCAT(IFERROR(SUBSTITUTE(ADDRESS(1,MATCH(A2339,INDIRECT("'"&amp;E2339&amp;"'"&amp;"!A" &amp; $O$2338+11 &amp; ":Z" &amp; $O$2338+11 ),0),4),1,""),""),$O$2338+12)</f>
        <v>T809</v>
      </c>
      <c r="D2339" s="852" t="s">
        <v>1350</v>
      </c>
      <c r="E2339" s="852" t="s">
        <v>1516</v>
      </c>
      <c r="F2339" s="1699"/>
      <c r="G2339" s="1699"/>
      <c r="H2339" s="1699"/>
      <c r="I2339" s="1307" t="str">
        <f t="shared" si="438"/>
        <v/>
      </c>
      <c r="J2339" s="1699" t="str">
        <f t="shared" ref="J2339" si="447">IF(M2339&lt;&gt;"",IF($Q$540="Yes",Q$1&amp;M2339,""))</f>
        <v/>
      </c>
      <c r="K2339" s="1699" t="str">
        <f t="shared" si="439"/>
        <v/>
      </c>
      <c r="L2339" s="852" t="s">
        <v>1705</v>
      </c>
      <c r="M2339" s="1703">
        <v>1369</v>
      </c>
      <c r="N2339" s="1699"/>
      <c r="O2339" s="1697" t="s">
        <v>726</v>
      </c>
      <c r="P2339" s="18" t="str">
        <f>'Configurable Tab'!J59</f>
        <v>Yes</v>
      </c>
      <c r="Q2339" s="1697" t="s">
        <v>648</v>
      </c>
      <c r="R2339" s="1699" t="s">
        <v>2144</v>
      </c>
      <c r="T2339" s="1699" t="str">
        <f t="shared" ref="T2339:T2350" si="448">IF(Q$2339="Yes",47,"")</f>
        <v/>
      </c>
    </row>
    <row r="2340" spans="1:20" s="1697" customFormat="1" x14ac:dyDescent="0.25">
      <c r="A2340" s="872" t="s">
        <v>1383</v>
      </c>
      <c r="B2340" s="852" t="str">
        <f ca="1">IFERROR(_xlfn.CONCAT("C",MATCH(A2340,INDIRECT("'"&amp;E2340&amp;"'!C"&amp;$O$2338&amp;":C"&amp;$O$2340),0)+$O$2338-1),"")</f>
        <v>C799</v>
      </c>
      <c r="C2340" s="852" t="str">
        <f ca="1">IFERROR(_xlfn.CONCAT("D",MATCH(A2340,INDIRECT("'"&amp;E2340&amp;"'!C"&amp;$O$2338&amp;":C"&amp;$O$2340),0)+$O$2338-1),"")</f>
        <v>D799</v>
      </c>
      <c r="D2340" s="852" t="s">
        <v>1350</v>
      </c>
      <c r="E2340" s="852" t="s">
        <v>1516</v>
      </c>
      <c r="F2340" s="1699" t="s">
        <v>1383</v>
      </c>
      <c r="G2340" s="1699" t="str">
        <f>IF(T2340&lt;&gt;"","B","")</f>
        <v/>
      </c>
      <c r="H2340" s="1699" t="s">
        <v>1990</v>
      </c>
      <c r="I2340" s="1307" t="str">
        <f t="shared" si="438"/>
        <v/>
      </c>
      <c r="J2340" s="1699"/>
      <c r="K2340" s="1699" t="str">
        <f t="shared" si="439"/>
        <v/>
      </c>
      <c r="L2340" s="852" t="s">
        <v>1383</v>
      </c>
      <c r="M2340" s="1703">
        <v>1370</v>
      </c>
      <c r="N2340" s="1699"/>
      <c r="O2340" s="1697">
        <f>'Configurable Tab'!I59</f>
        <v>810</v>
      </c>
      <c r="R2340" s="1699" t="s">
        <v>2144</v>
      </c>
      <c r="T2340" s="1699" t="str">
        <f t="shared" si="448"/>
        <v/>
      </c>
    </row>
    <row r="2341" spans="1:20" s="1697" customFormat="1" x14ac:dyDescent="0.25">
      <c r="A2341" s="872" t="s">
        <v>1380</v>
      </c>
      <c r="B2341" s="852" t="str">
        <f t="shared" ref="B2341:B2346" ca="1" si="449">_xlfn.CONCAT(IFERROR(SUBSTITUTE(ADDRESS(1,MATCH(A2341,INDIRECT("'"&amp;E2341&amp;"'"&amp;"!A" &amp; $O$2338+2 &amp; ":Z"&amp;$O$2338+2 ),0),4),1,""),""),$O$2338+2)</f>
        <v>H799</v>
      </c>
      <c r="C2341" s="852" t="str">
        <f t="shared" ref="C2341:C2346" ca="1" si="450">_xlfn.CONCAT(IFERROR(SUBSTITUTE(ADDRESS(1,MATCH(A2341,INDIRECT("'"&amp;E2341&amp;"'"&amp;"!A" &amp; $O$2338+2 &amp; ":Z"&amp;$O$2338+2 ),0),4),1,""),""),$O$2338+3)</f>
        <v>H800</v>
      </c>
      <c r="D2341" s="852" t="s">
        <v>1350</v>
      </c>
      <c r="E2341" s="852" t="s">
        <v>1516</v>
      </c>
      <c r="F2341" s="1699" t="s">
        <v>1991</v>
      </c>
      <c r="G2341" s="1699" t="str">
        <f>IF(T2341&lt;&gt;"","E","")</f>
        <v/>
      </c>
      <c r="H2341" s="1699" t="s">
        <v>1990</v>
      </c>
      <c r="I2341" s="1307" t="str">
        <f t="shared" si="438"/>
        <v/>
      </c>
      <c r="J2341" s="1699" t="str">
        <f t="shared" ref="J2341:J2346" si="451">IF(M2341&lt;&gt;"",IF($Q$540="Yes",Q$1&amp;M2341,""))</f>
        <v/>
      </c>
      <c r="K2341" s="1699" t="str">
        <f t="shared" si="439"/>
        <v/>
      </c>
      <c r="L2341" s="852" t="s">
        <v>1380</v>
      </c>
      <c r="M2341" s="1703">
        <v>1371</v>
      </c>
      <c r="N2341" s="1699"/>
      <c r="O2341" s="1697" t="s">
        <v>2152</v>
      </c>
      <c r="R2341" s="1699" t="s">
        <v>2144</v>
      </c>
      <c r="T2341" s="1699" t="str">
        <f t="shared" si="448"/>
        <v/>
      </c>
    </row>
    <row r="2342" spans="1:20" s="1697" customFormat="1" x14ac:dyDescent="0.25">
      <c r="A2342" s="872" t="s">
        <v>1381</v>
      </c>
      <c r="B2342" s="852" t="str">
        <f t="shared" ca="1" si="449"/>
        <v>J799</v>
      </c>
      <c r="C2342" s="852" t="str">
        <f t="shared" ca="1" si="450"/>
        <v>J800</v>
      </c>
      <c r="D2342" s="852" t="s">
        <v>1350</v>
      </c>
      <c r="E2342" s="852" t="s">
        <v>1516</v>
      </c>
      <c r="F2342" s="1699" t="s">
        <v>1992</v>
      </c>
      <c r="G2342" s="1699" t="str">
        <f>IF(T2342&lt;&gt;"","I","")</f>
        <v/>
      </c>
      <c r="H2342" s="1699" t="s">
        <v>1990</v>
      </c>
      <c r="I2342" s="1307" t="str">
        <f t="shared" si="438"/>
        <v/>
      </c>
      <c r="J2342" s="1699" t="str">
        <f t="shared" si="451"/>
        <v/>
      </c>
      <c r="K2342" s="1699" t="str">
        <f t="shared" si="439"/>
        <v/>
      </c>
      <c r="L2342" s="852" t="s">
        <v>1381</v>
      </c>
      <c r="M2342" s="1703">
        <v>1372</v>
      </c>
      <c r="N2342" s="1699"/>
      <c r="R2342" s="1699" t="s">
        <v>2144</v>
      </c>
      <c r="T2342" s="1699" t="str">
        <f t="shared" si="448"/>
        <v/>
      </c>
    </row>
    <row r="2343" spans="1:20" s="1697" customFormat="1" x14ac:dyDescent="0.25">
      <c r="A2343" s="872" t="s">
        <v>1397</v>
      </c>
      <c r="B2343" s="852" t="str">
        <f t="shared" ca="1" si="449"/>
        <v>L799</v>
      </c>
      <c r="C2343" s="852" t="str">
        <f t="shared" ca="1" si="450"/>
        <v>L800</v>
      </c>
      <c r="D2343" s="852" t="s">
        <v>1350</v>
      </c>
      <c r="E2343" s="852" t="s">
        <v>1516</v>
      </c>
      <c r="F2343" s="1699" t="s">
        <v>1993</v>
      </c>
      <c r="G2343" s="1699" t="str">
        <f>IF(T2343&lt;&gt;"","H","")</f>
        <v/>
      </c>
      <c r="H2343" s="1699" t="s">
        <v>1990</v>
      </c>
      <c r="I2343" s="1307" t="str">
        <f t="shared" si="438"/>
        <v/>
      </c>
      <c r="J2343" s="1699" t="str">
        <f t="shared" si="451"/>
        <v/>
      </c>
      <c r="K2343" s="1699" t="str">
        <f t="shared" si="439"/>
        <v/>
      </c>
      <c r="L2343" s="852" t="s">
        <v>1397</v>
      </c>
      <c r="M2343" s="1703">
        <v>1373</v>
      </c>
      <c r="N2343" s="1699"/>
      <c r="R2343" s="1699" t="s">
        <v>2144</v>
      </c>
      <c r="T2343" s="1699" t="str">
        <f t="shared" si="448"/>
        <v/>
      </c>
    </row>
    <row r="2344" spans="1:20" s="1697" customFormat="1" x14ac:dyDescent="0.25">
      <c r="A2344" s="872" t="s">
        <v>1382</v>
      </c>
      <c r="B2344" s="852" t="str">
        <f t="shared" ca="1" si="449"/>
        <v>N799</v>
      </c>
      <c r="C2344" s="852" t="str">
        <f t="shared" ca="1" si="450"/>
        <v>N800</v>
      </c>
      <c r="D2344" s="852" t="s">
        <v>1350</v>
      </c>
      <c r="E2344" s="852" t="s">
        <v>1516</v>
      </c>
      <c r="F2344" s="1699" t="s">
        <v>1382</v>
      </c>
      <c r="G2344" s="1699" t="str">
        <f>IF(T2344&lt;&gt;"",IF(Q2342="Credit Memo","J",IF(Q2342="Check","K","")),"")</f>
        <v/>
      </c>
      <c r="H2344" s="1699" t="s">
        <v>1990</v>
      </c>
      <c r="I2344" s="1307" t="str">
        <f t="shared" si="438"/>
        <v/>
      </c>
      <c r="J2344" s="1699" t="str">
        <f t="shared" si="451"/>
        <v/>
      </c>
      <c r="K2344" s="1699" t="str">
        <f t="shared" si="439"/>
        <v/>
      </c>
      <c r="L2344" s="852" t="s">
        <v>1382</v>
      </c>
      <c r="M2344" s="1703">
        <v>1374</v>
      </c>
      <c r="N2344" s="1699"/>
      <c r="R2344" s="1699" t="s">
        <v>2144</v>
      </c>
      <c r="T2344" s="1699" t="str">
        <f t="shared" si="448"/>
        <v/>
      </c>
    </row>
    <row r="2345" spans="1:20" s="1697" customFormat="1" x14ac:dyDescent="0.25">
      <c r="A2345" s="872" t="s">
        <v>1487</v>
      </c>
      <c r="B2345" s="852" t="str">
        <f t="shared" ca="1" si="449"/>
        <v>R799</v>
      </c>
      <c r="C2345" s="852" t="str">
        <f t="shared" ca="1" si="450"/>
        <v>R800</v>
      </c>
      <c r="D2345" s="852" t="s">
        <v>1350</v>
      </c>
      <c r="E2345" s="852" t="s">
        <v>1516</v>
      </c>
      <c r="F2345" s="1699" t="s">
        <v>1995</v>
      </c>
      <c r="G2345" s="1699" t="str">
        <f>IF(T2345&lt;&gt;"","G","")</f>
        <v/>
      </c>
      <c r="H2345" s="1699" t="s">
        <v>1990</v>
      </c>
      <c r="I2345" s="1307" t="str">
        <f t="shared" si="438"/>
        <v/>
      </c>
      <c r="J2345" s="1699" t="str">
        <f t="shared" si="451"/>
        <v/>
      </c>
      <c r="K2345" s="1699" t="str">
        <f t="shared" si="439"/>
        <v/>
      </c>
      <c r="L2345" s="852" t="s">
        <v>1487</v>
      </c>
      <c r="M2345" s="1703">
        <v>1375</v>
      </c>
      <c r="N2345" s="1699"/>
      <c r="R2345" s="1699" t="s">
        <v>2144</v>
      </c>
      <c r="T2345" s="1699" t="str">
        <f t="shared" si="448"/>
        <v/>
      </c>
    </row>
    <row r="2346" spans="1:20" s="1697" customFormat="1" x14ac:dyDescent="0.25">
      <c r="A2346" s="872" t="s">
        <v>1488</v>
      </c>
      <c r="B2346" s="852" t="str">
        <f t="shared" ca="1" si="449"/>
        <v>T799</v>
      </c>
      <c r="C2346" s="852" t="str">
        <f t="shared" ca="1" si="450"/>
        <v>T800</v>
      </c>
      <c r="D2346" s="852" t="s">
        <v>1350</v>
      </c>
      <c r="E2346" s="852" t="s">
        <v>1516</v>
      </c>
      <c r="F2346" s="867" t="s">
        <v>1488</v>
      </c>
      <c r="G2346" s="1699" t="str">
        <f>IF(T2346&lt;&gt;"","AW","")</f>
        <v/>
      </c>
      <c r="H2346" s="1699" t="s">
        <v>1990</v>
      </c>
      <c r="I2346" s="1307" t="str">
        <f t="shared" si="438"/>
        <v/>
      </c>
      <c r="J2346" s="1699" t="str">
        <f t="shared" si="451"/>
        <v/>
      </c>
      <c r="K2346" s="1699" t="str">
        <f t="shared" si="439"/>
        <v/>
      </c>
      <c r="L2346" s="852" t="s">
        <v>1488</v>
      </c>
      <c r="M2346" s="1703">
        <v>1376</v>
      </c>
      <c r="N2346" s="1699"/>
      <c r="R2346" s="1699" t="s">
        <v>2144</v>
      </c>
      <c r="T2346" s="1699" t="str">
        <f t="shared" si="448"/>
        <v/>
      </c>
    </row>
    <row r="2347" spans="1:20" s="1697" customFormat="1" x14ac:dyDescent="0.25">
      <c r="A2347" s="872" t="s">
        <v>1385</v>
      </c>
      <c r="B2347" s="852" t="str">
        <f ca="1">IFERROR(_xlfn.CONCAT("C",MATCH(A2347,INDIRECT("'"&amp;E2347&amp;"'!C"&amp;$O$2338&amp;":C"&amp;$O$2340),0)+$O$2338-1),"")</f>
        <v>C803</v>
      </c>
      <c r="C2347" s="852" t="str">
        <f ca="1">IFERROR(_xlfn.CONCAT("D",MATCH(A2347,INDIRECT("'"&amp;E2347&amp;"'!C"&amp;$O$2338&amp;":C"&amp;$O$2340),0)+$O$2338-1),"")</f>
        <v>D803</v>
      </c>
      <c r="D2347" s="852" t="s">
        <v>1350</v>
      </c>
      <c r="E2347" s="852" t="s">
        <v>1516</v>
      </c>
      <c r="F2347" s="1699" t="s">
        <v>1385</v>
      </c>
      <c r="G2347" s="1699" t="str">
        <f>IF(T2347&lt;&gt;"","C","")</f>
        <v/>
      </c>
      <c r="H2347" s="1699" t="s">
        <v>1990</v>
      </c>
      <c r="I2347" s="1307" t="str">
        <f t="shared" si="438"/>
        <v/>
      </c>
      <c r="J2347" s="1699"/>
      <c r="K2347" s="1699" t="str">
        <f t="shared" si="439"/>
        <v/>
      </c>
      <c r="L2347" s="852" t="s">
        <v>1385</v>
      </c>
      <c r="M2347" s="1703">
        <v>1377</v>
      </c>
      <c r="N2347" s="1699"/>
      <c r="R2347" s="1699" t="s">
        <v>2144</v>
      </c>
      <c r="T2347" s="1699" t="str">
        <f t="shared" si="448"/>
        <v/>
      </c>
    </row>
    <row r="2348" spans="1:20" s="1697" customFormat="1" x14ac:dyDescent="0.25">
      <c r="A2348" s="872" t="s">
        <v>1386</v>
      </c>
      <c r="B2348" s="852" t="str">
        <f ca="1">IFERROR(_xlfn.CONCAT("C",MATCH(A2348,INDIRECT("'"&amp;E2348&amp;"'!C"&amp;$O$2338&amp;":C"&amp;$O$2340),0)+$O$2338-1),"")</f>
        <v>C805</v>
      </c>
      <c r="C2348" s="852" t="str">
        <f ca="1">IFERROR(_xlfn.CONCAT("D",MATCH(A2348,INDIRECT("'"&amp;E2348&amp;"'!C"&amp;$O$2338&amp;":C"&amp;$O$2340),0)+$O$2338-1),"")</f>
        <v>D805</v>
      </c>
      <c r="D2348" s="852" t="s">
        <v>1350</v>
      </c>
      <c r="E2348" s="852" t="s">
        <v>1516</v>
      </c>
      <c r="F2348" s="1699" t="s">
        <v>1386</v>
      </c>
      <c r="G2348" s="1699" t="str">
        <f>IF(T2348&lt;&gt;"","D","")</f>
        <v/>
      </c>
      <c r="H2348" s="1699" t="s">
        <v>1990</v>
      </c>
      <c r="I2348" s="1307" t="str">
        <f t="shared" si="438"/>
        <v/>
      </c>
      <c r="J2348" s="1699"/>
      <c r="K2348" s="1699" t="str">
        <f t="shared" si="439"/>
        <v/>
      </c>
      <c r="L2348" s="852" t="s">
        <v>1386</v>
      </c>
      <c r="M2348" s="1703">
        <v>1378</v>
      </c>
      <c r="N2348" s="1699"/>
      <c r="R2348" s="1699" t="s">
        <v>2144</v>
      </c>
      <c r="T2348" s="1699" t="str">
        <f t="shared" si="448"/>
        <v/>
      </c>
    </row>
    <row r="2349" spans="1:20" s="1697" customFormat="1" x14ac:dyDescent="0.25">
      <c r="A2349" s="872" t="s">
        <v>1495</v>
      </c>
      <c r="B2349" s="852" t="str">
        <f ca="1">IFERROR(_xlfn.CONCAT("C",MATCH(A2349,INDIRECT("'"&amp;E2349&amp;"'!C"&amp;$O$2338&amp;":C"&amp;$O$2340),0)+$O$2338-1),"")</f>
        <v>C807</v>
      </c>
      <c r="C2349" s="852" t="str">
        <f ca="1">IFERROR(_xlfn.CONCAT("D",MATCH(A2349,INDIRECT("'"&amp;E2349&amp;"'!C"&amp;$O$2338&amp;":C"&amp;$O$2340),0)+$O$2338-1),"")</f>
        <v>D807</v>
      </c>
      <c r="D2349" s="852" t="s">
        <v>1350</v>
      </c>
      <c r="E2349" s="852" t="s">
        <v>1516</v>
      </c>
      <c r="F2349" s="1699" t="s">
        <v>1495</v>
      </c>
      <c r="G2349" s="1699" t="str">
        <f>IF(T2349&lt;&gt;"","AN","")</f>
        <v/>
      </c>
      <c r="H2349" s="1699" t="s">
        <v>1990</v>
      </c>
      <c r="I2349" s="1307" t="str">
        <f t="shared" si="438"/>
        <v/>
      </c>
      <c r="J2349" s="1699" t="str">
        <f t="shared" ref="J2349" si="452">IF(M2349&lt;&gt;"",IF($Q$540="Yes",Q$1&amp;M2349,""))</f>
        <v/>
      </c>
      <c r="K2349" s="1699" t="str">
        <f t="shared" si="439"/>
        <v/>
      </c>
      <c r="L2349" s="852" t="s">
        <v>1495</v>
      </c>
      <c r="M2349" s="1703">
        <v>1379</v>
      </c>
      <c r="N2349" s="1699"/>
      <c r="P2349" s="1699" t="str" cm="1">
        <f t="array" aca="1" ref="P2349" ca="1">_xlfn.CONCAT("F",RIGHT(B2349, LEN(B2349) - MAX(IF(ISNUMBER(MID(B2349, ROW(INDIRECT("1:"&amp;LEN(B2349))), 1) *1)=FALSE, ROW(INDIRECT("1:"&amp;LEN(B2349))), 0))))</f>
        <v>F807</v>
      </c>
      <c r="Q2349" s="1699" t="str" cm="1">
        <f t="array" aca="1" ref="Q2349" ca="1">_xlfn.CONCAT("E",RIGHT(C2349, LEN(C2349) - MAX(IF(ISNUMBER(MID(C2349, ROW(INDIRECT("1:"&amp;LEN(C2349))), 1) *1)=FALSE, ROW(INDIRECT("1:"&amp;LEN(C2349))), 0))))</f>
        <v>E807</v>
      </c>
      <c r="R2349" s="1699" t="s">
        <v>2144</v>
      </c>
      <c r="T2349" s="1699" t="str">
        <f t="shared" si="448"/>
        <v/>
      </c>
    </row>
    <row r="2350" spans="1:20" s="1697" customFormat="1" x14ac:dyDescent="0.25">
      <c r="A2350" s="872" t="s">
        <v>1389</v>
      </c>
      <c r="B2350" s="852" t="str">
        <f ca="1">_xlfn.CONCAT(IFERROR(SUBSTITUTE(ADDRESS(1,MATCH(A2350,INDIRECT("'"&amp;E2350&amp;"'"&amp;"!A" &amp; $O$2338+5 &amp; ":Z"&amp;$O$2338+5),0),4),1,""),""),$O$2338+5)</f>
        <v>H802</v>
      </c>
      <c r="C2350" s="852" t="str">
        <f ca="1">_xlfn.CONCAT(IFERROR(SUBSTITUTE(ADDRESS(1,MATCH(A2350,INDIRECT("'"&amp;E2350&amp;"'"&amp;"!A" &amp; $O$2338+5 &amp; ":Z"&amp;$O$2338+5),0),4),1,""),""),$O$2338+6)</f>
        <v>H803</v>
      </c>
      <c r="D2350" s="852" t="s">
        <v>1350</v>
      </c>
      <c r="E2350" s="852" t="s">
        <v>1516</v>
      </c>
      <c r="F2350" s="1699" t="s">
        <v>1912</v>
      </c>
      <c r="G2350" s="1699" t="str">
        <f>IF(T2350&lt;&gt;"","O","")</f>
        <v/>
      </c>
      <c r="H2350" s="1699" t="s">
        <v>1990</v>
      </c>
      <c r="I2350" s="1307" t="str">
        <f t="shared" si="438"/>
        <v/>
      </c>
      <c r="J2350" s="1699"/>
      <c r="K2350" s="1699" t="str">
        <f t="shared" si="439"/>
        <v/>
      </c>
      <c r="L2350" s="852" t="s">
        <v>1389</v>
      </c>
      <c r="M2350" s="1700">
        <v>1380</v>
      </c>
      <c r="N2350" s="1699"/>
      <c r="R2350" s="1699" t="s">
        <v>2144</v>
      </c>
      <c r="T2350" s="1699" t="str">
        <f t="shared" si="448"/>
        <v/>
      </c>
    </row>
    <row r="2351" spans="1:20" s="1697" customFormat="1" x14ac:dyDescent="0.25">
      <c r="A2351" s="1039" t="s">
        <v>523</v>
      </c>
      <c r="B2351" s="1307" t="str">
        <f>IFERROR(_xlfn.CONCAT("D",('Configurable Tab'!$C$44+1)),"")</f>
        <v>D451</v>
      </c>
      <c r="C2351" s="1307" t="str">
        <f>IFERROR(_xlfn.CONCAT("E",('Configurable Tab'!$C$44+1)),"")</f>
        <v>E451</v>
      </c>
      <c r="D2351" s="1699" t="s">
        <v>1350</v>
      </c>
      <c r="E2351" s="817" t="s">
        <v>1742</v>
      </c>
      <c r="F2351" s="1699"/>
      <c r="G2351" s="1699"/>
      <c r="H2351" s="1699"/>
      <c r="I2351" s="1307" t="str">
        <f t="shared" si="438"/>
        <v>Offer this Incentive?</v>
      </c>
      <c r="J2351" s="1699" t="str">
        <f>$Q$1&amp;T2351</f>
        <v>F</v>
      </c>
      <c r="K2351" s="1699" t="str">
        <f t="shared" si="439"/>
        <v>Incentives</v>
      </c>
      <c r="L2351" s="1699"/>
      <c r="M2351" s="1699"/>
      <c r="N2351" s="1699"/>
      <c r="O2351" s="1697" t="s">
        <v>2144</v>
      </c>
      <c r="P2351" s="18" t="str">
        <f>'Configurable Tab'!E44</f>
        <v>Yes</v>
      </c>
      <c r="Q2351" s="1307" t="str">
        <f>IFERROR(_xlfn.CONCAT("C",('Configurable Tab'!$C44+1)),"")</f>
        <v>C451</v>
      </c>
      <c r="R2351" s="1699" t="s">
        <v>2144</v>
      </c>
      <c r="T2351" s="1699" t="str">
        <f>IF(Q$2339="Yes",M2339,"")</f>
        <v/>
      </c>
    </row>
    <row r="2352" spans="1:20" s="1697" customFormat="1" x14ac:dyDescent="0.25">
      <c r="A2352" s="1040" t="s">
        <v>1383</v>
      </c>
      <c r="B2352" s="1307" t="str">
        <f>IFERROR(_xlfn.CONCAT("D",('Configurable Tab'!$C$44+2)),"")</f>
        <v>D452</v>
      </c>
      <c r="C2352" s="1307" t="str">
        <f>IFERROR(_xlfn.CONCAT("E",('Configurable Tab'!$C$44+2)),"")</f>
        <v>E452</v>
      </c>
      <c r="D2352" s="1699" t="s">
        <v>1350</v>
      </c>
      <c r="E2352" s="817" t="s">
        <v>1742</v>
      </c>
      <c r="F2352" s="1699"/>
      <c r="G2352" s="1699"/>
      <c r="H2352" s="1699"/>
      <c r="I2352" s="1307" t="str">
        <f t="shared" si="438"/>
        <v>Incentive Type</v>
      </c>
      <c r="J2352" s="1699" t="str">
        <f t="shared" ref="J2352:J2359" si="453">$Q$1&amp;T2352</f>
        <v>F</v>
      </c>
      <c r="K2352" s="1699" t="str">
        <f t="shared" si="439"/>
        <v>Incentives</v>
      </c>
      <c r="L2352" s="1699"/>
      <c r="M2352" s="1699"/>
      <c r="N2352" s="1699"/>
      <c r="R2352" s="1699" t="s">
        <v>2144</v>
      </c>
      <c r="T2352" s="1725" t="str">
        <f>IF(Q$2339="Yes",M2346,"")</f>
        <v/>
      </c>
    </row>
    <row r="2353" spans="1:20" s="1697" customFormat="1" x14ac:dyDescent="0.25">
      <c r="A2353" s="1040" t="s">
        <v>1385</v>
      </c>
      <c r="B2353" s="1307" t="str">
        <f>IFERROR(_xlfn.CONCAT("D",('Configurable Tab'!$C$44+4)),"")</f>
        <v>D454</v>
      </c>
      <c r="C2353" s="1307" t="str">
        <f>IFERROR(_xlfn.CONCAT("E",('Configurable Tab'!$C$44+4)),"")</f>
        <v>E454</v>
      </c>
      <c r="D2353" s="1699" t="s">
        <v>1350</v>
      </c>
      <c r="E2353" s="817" t="s">
        <v>1742</v>
      </c>
      <c r="F2353" s="1699"/>
      <c r="G2353" s="1699"/>
      <c r="H2353" s="1699"/>
      <c r="I2353" s="1307" t="str">
        <f t="shared" si="438"/>
        <v>Incentive Effective Date</v>
      </c>
      <c r="J2353" s="1699" t="str">
        <f t="shared" si="453"/>
        <v>F</v>
      </c>
      <c r="K2353" s="1699" t="str">
        <f t="shared" si="439"/>
        <v>Incentives</v>
      </c>
      <c r="L2353" s="1699"/>
      <c r="M2353" s="1699"/>
      <c r="N2353" s="1699"/>
      <c r="R2353" s="1699" t="s">
        <v>2144</v>
      </c>
      <c r="T2353" s="1699" t="str">
        <f>IF(Q$2339="Yes",M2347,"")</f>
        <v/>
      </c>
    </row>
    <row r="2354" spans="1:20" s="1697" customFormat="1" x14ac:dyDescent="0.25">
      <c r="A2354" s="1040" t="s">
        <v>1386</v>
      </c>
      <c r="B2354" s="1307" t="str">
        <f>IFERROR(_xlfn.CONCAT("D",('Configurable Tab'!$C$44+5)),"")</f>
        <v>D455</v>
      </c>
      <c r="C2354" s="1307" t="str">
        <f>IFERROR(_xlfn.CONCAT("E",('Configurable Tab'!$C$44+5)),"")</f>
        <v>E455</v>
      </c>
      <c r="D2354" s="1699" t="s">
        <v>1350</v>
      </c>
      <c r="E2354" s="817" t="s">
        <v>1742</v>
      </c>
      <c r="F2354" s="1699"/>
      <c r="G2354" s="1699"/>
      <c r="H2354" s="1699"/>
      <c r="I2354" s="1307" t="str">
        <f t="shared" si="438"/>
        <v>Incentive Expiration Date</v>
      </c>
      <c r="J2354" s="1699" t="str">
        <f t="shared" si="453"/>
        <v>F</v>
      </c>
      <c r="K2354" s="1699" t="str">
        <f t="shared" si="439"/>
        <v>Incentives</v>
      </c>
      <c r="L2354" s="1699"/>
      <c r="M2354" s="1699"/>
      <c r="N2354" s="1699"/>
      <c r="R2354" s="1699" t="s">
        <v>2144</v>
      </c>
      <c r="T2354" s="1699" t="str">
        <f>IF(Q$2339="Yes",M2348,"")</f>
        <v/>
      </c>
    </row>
    <row r="2355" spans="1:20" s="1697" customFormat="1" x14ac:dyDescent="0.25">
      <c r="A2355" s="1040" t="s">
        <v>1380</v>
      </c>
      <c r="B2355" s="1307" t="str">
        <f>IFERROR(_xlfn.CONCAT("G",('Configurable Tab'!$C$44+1)),"")</f>
        <v>G451</v>
      </c>
      <c r="C2355" s="1307" t="str">
        <f>IFERROR(_xlfn.CONCAT("G",('Configurable Tab'!$C$44+2)),"")</f>
        <v>G452</v>
      </c>
      <c r="D2355" s="1699" t="s">
        <v>1350</v>
      </c>
      <c r="E2355" s="817" t="s">
        <v>1742</v>
      </c>
      <c r="F2355" s="1698"/>
      <c r="G2355" s="1098"/>
      <c r="H2355" s="1699"/>
      <c r="I2355" s="1307" t="str">
        <f t="shared" si="438"/>
        <v>Incentive Period</v>
      </c>
      <c r="J2355" s="1699" t="str">
        <f t="shared" si="453"/>
        <v>F</v>
      </c>
      <c r="K2355" s="1699" t="str">
        <f t="shared" si="439"/>
        <v>Incentives</v>
      </c>
      <c r="L2355" s="1699"/>
      <c r="M2355" s="1699"/>
      <c r="N2355" s="1699"/>
      <c r="R2355" s="1699" t="s">
        <v>2144</v>
      </c>
      <c r="T2355" s="1699" t="str">
        <f>IF(Q$2339="Yes",M2341,"")</f>
        <v/>
      </c>
    </row>
    <row r="2356" spans="1:20" s="1697" customFormat="1" x14ac:dyDescent="0.25">
      <c r="A2356" s="1040" t="s">
        <v>1381</v>
      </c>
      <c r="B2356" s="1307" t="str">
        <f>IFERROR(_xlfn.CONCAT("I",('Configurable Tab'!$C$44+1)),"")</f>
        <v>I451</v>
      </c>
      <c r="C2356" s="1307" t="str">
        <f>IFERROR(_xlfn.CONCAT("I",('Configurable Tab'!$C$44+2)),"")</f>
        <v>I452</v>
      </c>
      <c r="D2356" s="1699" t="s">
        <v>1350</v>
      </c>
      <c r="E2356" s="817" t="s">
        <v>1742</v>
      </c>
      <c r="F2356" s="1699"/>
      <c r="G2356" s="1699"/>
      <c r="H2356" s="1699"/>
      <c r="I2356" s="1307" t="str">
        <f t="shared" si="438"/>
        <v>Payment Method</v>
      </c>
      <c r="J2356" s="1699" t="str">
        <f t="shared" si="453"/>
        <v>F</v>
      </c>
      <c r="K2356" s="1699" t="str">
        <f t="shared" si="439"/>
        <v>Incentives</v>
      </c>
      <c r="L2356" s="1699"/>
      <c r="M2356" s="1699"/>
      <c r="N2356" s="1699"/>
      <c r="R2356" s="1699" t="s">
        <v>2144</v>
      </c>
      <c r="T2356" s="1699" t="str">
        <f>IF(Q$2339="Yes",M2342,"")</f>
        <v/>
      </c>
    </row>
    <row r="2357" spans="1:20" s="1697" customFormat="1" x14ac:dyDescent="0.25">
      <c r="A2357" s="1040" t="s">
        <v>833</v>
      </c>
      <c r="B2357" s="1307" t="str">
        <f>IFERROR(_xlfn.CONCAT("K",('Configurable Tab'!$C$44+1)),"")</f>
        <v>K451</v>
      </c>
      <c r="C2357" s="1307" t="str">
        <f>IFERROR(_xlfn.CONCAT("K",('Configurable Tab'!$C$44+2)),"")</f>
        <v>K452</v>
      </c>
      <c r="D2357" s="1699" t="s">
        <v>1350</v>
      </c>
      <c r="E2357" s="817" t="s">
        <v>1742</v>
      </c>
      <c r="F2357" s="1699"/>
      <c r="G2357" s="1699"/>
      <c r="H2357" s="1699"/>
      <c r="I2357" s="1307" t="str">
        <f t="shared" si="438"/>
        <v>Paid to:</v>
      </c>
      <c r="J2357" s="1699" t="str">
        <f t="shared" si="453"/>
        <v>F</v>
      </c>
      <c r="K2357" s="1699" t="str">
        <f t="shared" si="439"/>
        <v>Incentives</v>
      </c>
      <c r="L2357" s="1699"/>
      <c r="M2357" s="1699"/>
      <c r="N2357" s="1699"/>
      <c r="R2357" s="1699" t="s">
        <v>2144</v>
      </c>
      <c r="T2357" s="1699" t="str">
        <f>IF(Q$2339="Yes",M2343,"")</f>
        <v/>
      </c>
    </row>
    <row r="2358" spans="1:20" s="1697" customFormat="1" x14ac:dyDescent="0.25">
      <c r="A2358" s="1040" t="s">
        <v>1382</v>
      </c>
      <c r="B2358" s="1307" t="str">
        <f>IFERROR(_xlfn.CONCAT("M",('Configurable Tab'!$C$44+1)),"")</f>
        <v>M451</v>
      </c>
      <c r="C2358" s="1307" t="str">
        <f>IFERROR(_xlfn.CONCAT("M",('Configurable Tab'!$C$44+2)),"")</f>
        <v>M452</v>
      </c>
      <c r="D2358" s="1699" t="s">
        <v>1350</v>
      </c>
      <c r="E2358" s="817" t="s">
        <v>1742</v>
      </c>
      <c r="F2358" s="1699"/>
      <c r="G2358" s="1699"/>
      <c r="H2358" s="1699"/>
      <c r="I2358" s="1307" t="str">
        <f t="shared" si="438"/>
        <v>AP/AR Vendor Number</v>
      </c>
      <c r="J2358" s="1699" t="str">
        <f t="shared" si="453"/>
        <v>F</v>
      </c>
      <c r="K2358" s="1699" t="str">
        <f t="shared" si="439"/>
        <v>Incentives</v>
      </c>
      <c r="L2358" s="1699"/>
      <c r="M2358" s="1699"/>
      <c r="N2358" s="1699"/>
      <c r="R2358" s="1699" t="s">
        <v>2144</v>
      </c>
      <c r="T2358" s="1699" t="str">
        <f>IF(Q$2339="Yes",M2344,"")</f>
        <v/>
      </c>
    </row>
    <row r="2359" spans="1:20" s="1697" customFormat="1" x14ac:dyDescent="0.25">
      <c r="A2359" s="1040" t="s">
        <v>1389</v>
      </c>
      <c r="B2359" s="1307" t="str">
        <f>IFERROR(_xlfn.CONCAT("K",('Configurable Tab'!$C$44+4)),"")</f>
        <v>K454</v>
      </c>
      <c r="C2359" s="1307" t="str">
        <f>IFERROR(_xlfn.CONCAT("K",('Configurable Tab'!$C$44+5)),"")</f>
        <v>K455</v>
      </c>
      <c r="D2359" s="1699" t="s">
        <v>1350</v>
      </c>
      <c r="E2359" s="817" t="s">
        <v>1742</v>
      </c>
      <c r="F2359" s="1699"/>
      <c r="G2359" s="1699"/>
      <c r="H2359" s="1699"/>
      <c r="I2359" s="1307" t="str">
        <f t="shared" si="438"/>
        <v>Rate % of Sales</v>
      </c>
      <c r="J2359" s="1699" t="str">
        <f t="shared" si="453"/>
        <v>F</v>
      </c>
      <c r="K2359" s="1699" t="str">
        <f t="shared" si="439"/>
        <v>Incentives</v>
      </c>
      <c r="L2359" s="1699"/>
      <c r="M2359" s="1699"/>
      <c r="N2359" s="1699"/>
      <c r="R2359" s="1699" t="s">
        <v>2144</v>
      </c>
      <c r="T2359" s="1699" t="str">
        <f>IF(Q$2339="Yes",M2350,"")</f>
        <v/>
      </c>
    </row>
    <row r="2360" spans="1:20" s="1697" customFormat="1" x14ac:dyDescent="0.25">
      <c r="A2360" s="872" t="s">
        <v>1491</v>
      </c>
      <c r="B2360" s="852" t="str">
        <f ca="1">IFERROR(_xlfn.CONCAT("C",MATCH(A2360,INDIRECT("'"&amp;E2360&amp;"'!C"&amp;$O$2360&amp;":C"&amp;$O$2362),0)+$O$2360-1),"")</f>
        <v>C815</v>
      </c>
      <c r="C2360" s="852" t="str">
        <f ca="1">IFERROR(_xlfn.CONCAT("D",MATCH(A2360,INDIRECT("'"&amp;E2360&amp;"'!C"&amp;$O$2360&amp;":C"&amp;$O$2362),0)+$O$2360-1),"")</f>
        <v>D815</v>
      </c>
      <c r="D2360" s="852" t="s">
        <v>1350</v>
      </c>
      <c r="E2360" s="852" t="s">
        <v>1516</v>
      </c>
      <c r="F2360" s="1699" t="s">
        <v>1491</v>
      </c>
      <c r="G2360" s="1699" t="str">
        <f>IF(T2360&lt;&gt;"","A","")</f>
        <v/>
      </c>
      <c r="H2360" s="1699" t="s">
        <v>1990</v>
      </c>
      <c r="I2360" s="1307" t="str">
        <f t="shared" si="438"/>
        <v/>
      </c>
      <c r="J2360" s="1699"/>
      <c r="K2360" s="1699" t="str">
        <f t="shared" si="439"/>
        <v/>
      </c>
      <c r="L2360" s="852" t="s">
        <v>1491</v>
      </c>
      <c r="M2360" s="1703">
        <v>1381</v>
      </c>
      <c r="N2360" s="1699"/>
      <c r="O2360" s="1697">
        <f>'Configurable Tab'!H60</f>
        <v>811</v>
      </c>
      <c r="R2360" s="1699" t="s">
        <v>2144</v>
      </c>
      <c r="T2360" s="1699" t="str">
        <f>IF(Q$2361="Yes",48,"")</f>
        <v/>
      </c>
    </row>
    <row r="2361" spans="1:20" s="1697" customFormat="1" x14ac:dyDescent="0.25">
      <c r="A2361" s="872" t="s">
        <v>1705</v>
      </c>
      <c r="B2361" s="852" t="str">
        <f ca="1">_xlfn.CONCAT(IFERROR(SUBSTITUTE(ADDRESS(1,MATCH(A2361,INDIRECT("'"&amp;E2361&amp;"'"&amp;"!A" &amp; $O$2360+11 &amp; ":Z" &amp; $O$2360+11 ),0),4),1,""),""),$O$2360+11)</f>
        <v>T822</v>
      </c>
      <c r="C2361" s="852" t="str">
        <f ca="1">_xlfn.CONCAT(IFERROR(SUBSTITUTE(ADDRESS(1,MATCH(A2361,INDIRECT("'"&amp;E2361&amp;"'"&amp;"!A" &amp; $O$2360+11 &amp; ":Z" &amp; $O$2360+11 ),0),4),1,""),""),$O$2360+12)</f>
        <v>T823</v>
      </c>
      <c r="D2361" s="852" t="s">
        <v>1350</v>
      </c>
      <c r="E2361" s="852" t="s">
        <v>1516</v>
      </c>
      <c r="F2361" s="1699"/>
      <c r="G2361" s="1699"/>
      <c r="H2361" s="1699"/>
      <c r="I2361" s="1307" t="str">
        <f t="shared" si="438"/>
        <v/>
      </c>
      <c r="J2361" s="1699" t="str">
        <f t="shared" ref="J2361" si="454">IF(M2361&lt;&gt;"",IF($Q$540="Yes",Q$1&amp;M2361,""))</f>
        <v/>
      </c>
      <c r="K2361" s="1699" t="str">
        <f t="shared" si="439"/>
        <v/>
      </c>
      <c r="L2361" s="852" t="s">
        <v>1705</v>
      </c>
      <c r="M2361" s="1703">
        <v>1382</v>
      </c>
      <c r="N2361" s="1699"/>
      <c r="O2361" s="1697" t="s">
        <v>726</v>
      </c>
      <c r="P2361" s="18" t="str">
        <f>'Configurable Tab'!J60</f>
        <v>Yes</v>
      </c>
      <c r="Q2361" s="1697" t="s">
        <v>648</v>
      </c>
      <c r="R2361" s="1699" t="s">
        <v>2144</v>
      </c>
      <c r="T2361" s="1699" t="str">
        <f t="shared" ref="T2361:T2372" si="455">IF(Q$2361="Yes",48,"")</f>
        <v/>
      </c>
    </row>
    <row r="2362" spans="1:20" s="1697" customFormat="1" x14ac:dyDescent="0.25">
      <c r="A2362" s="872" t="s">
        <v>1383</v>
      </c>
      <c r="B2362" s="852" t="str">
        <f ca="1">IFERROR(_xlfn.CONCAT("C",MATCH(A2362,INDIRECT("'"&amp;E2362&amp;"'!C"&amp;$O$2360&amp;":C"&amp;$O$2362),0)+$O$2360-1),"")</f>
        <v>C813</v>
      </c>
      <c r="C2362" s="852" t="str">
        <f ca="1">IFERROR(_xlfn.CONCAT("D",MATCH(A2362,INDIRECT("'"&amp;E2362&amp;"'!C"&amp;$O$2360&amp;":C"&amp;$O$2362),0)+$O$2360-1),"")</f>
        <v>D813</v>
      </c>
      <c r="D2362" s="852" t="s">
        <v>1350</v>
      </c>
      <c r="E2362" s="852" t="s">
        <v>1516</v>
      </c>
      <c r="F2362" s="1699" t="s">
        <v>1383</v>
      </c>
      <c r="G2362" s="1699" t="str">
        <f>IF(T2362&lt;&gt;"","B","")</f>
        <v/>
      </c>
      <c r="H2362" s="1699" t="s">
        <v>1990</v>
      </c>
      <c r="I2362" s="1307" t="str">
        <f t="shared" si="438"/>
        <v/>
      </c>
      <c r="J2362" s="1699"/>
      <c r="K2362" s="1699" t="str">
        <f t="shared" si="439"/>
        <v/>
      </c>
      <c r="L2362" s="852" t="s">
        <v>1383</v>
      </c>
      <c r="M2362" s="1703">
        <v>1383</v>
      </c>
      <c r="N2362" s="1699"/>
      <c r="O2362" s="1697">
        <f>'Configurable Tab'!I60</f>
        <v>824</v>
      </c>
      <c r="R2362" s="1699" t="s">
        <v>2144</v>
      </c>
      <c r="T2362" s="1699" t="str">
        <f t="shared" si="455"/>
        <v/>
      </c>
    </row>
    <row r="2363" spans="1:20" s="1697" customFormat="1" x14ac:dyDescent="0.25">
      <c r="A2363" s="872" t="s">
        <v>1380</v>
      </c>
      <c r="B2363" s="852" t="str">
        <f t="shared" ref="B2363:B2368" ca="1" si="456">_xlfn.CONCAT(IFERROR(SUBSTITUTE(ADDRESS(1,MATCH(A2363,INDIRECT("'"&amp;E2363&amp;"'"&amp;"!A" &amp; $O$2360+2 &amp; ":Z"&amp;$O$2360+2 ),0),4),1,""),""),$O$2360+2)</f>
        <v>H813</v>
      </c>
      <c r="C2363" s="852" t="str">
        <f t="shared" ref="C2363:C2368" ca="1" si="457">_xlfn.CONCAT(IFERROR(SUBSTITUTE(ADDRESS(1,MATCH(A2363,INDIRECT("'"&amp;E2363&amp;"'"&amp;"!A" &amp; $O$2360+2 &amp; ":Z"&amp;$O$2360+2 ),0),4),1,""),""),$O$2360+3)</f>
        <v>H814</v>
      </c>
      <c r="D2363" s="852" t="s">
        <v>1350</v>
      </c>
      <c r="E2363" s="852" t="s">
        <v>1516</v>
      </c>
      <c r="F2363" s="1699" t="s">
        <v>1991</v>
      </c>
      <c r="G2363" s="1699" t="str">
        <f>IF(T2363&lt;&gt;"","E","")</f>
        <v/>
      </c>
      <c r="H2363" s="1699" t="s">
        <v>1990</v>
      </c>
      <c r="I2363" s="1307" t="str">
        <f t="shared" si="438"/>
        <v/>
      </c>
      <c r="J2363" s="1699" t="str">
        <f t="shared" ref="J2363:J2368" si="458">IF(M2363&lt;&gt;"",IF($Q$540="Yes",Q$1&amp;M2363,""))</f>
        <v/>
      </c>
      <c r="K2363" s="1699" t="str">
        <f t="shared" si="439"/>
        <v/>
      </c>
      <c r="L2363" s="852" t="s">
        <v>1380</v>
      </c>
      <c r="M2363" s="1703">
        <v>1384</v>
      </c>
      <c r="N2363" s="1699"/>
      <c r="O2363" s="1697" t="s">
        <v>2154</v>
      </c>
      <c r="R2363" s="1699" t="s">
        <v>2144</v>
      </c>
      <c r="T2363" s="1699" t="str">
        <f t="shared" si="455"/>
        <v/>
      </c>
    </row>
    <row r="2364" spans="1:20" s="1697" customFormat="1" x14ac:dyDescent="0.25">
      <c r="A2364" s="872" t="s">
        <v>1381</v>
      </c>
      <c r="B2364" s="852" t="str">
        <f t="shared" ca="1" si="456"/>
        <v>J813</v>
      </c>
      <c r="C2364" s="852" t="str">
        <f t="shared" ca="1" si="457"/>
        <v>J814</v>
      </c>
      <c r="D2364" s="852" t="s">
        <v>1350</v>
      </c>
      <c r="E2364" s="852" t="s">
        <v>1516</v>
      </c>
      <c r="F2364" s="1699" t="s">
        <v>1992</v>
      </c>
      <c r="G2364" s="1699" t="str">
        <f>IF(T2364&lt;&gt;"","I","")</f>
        <v/>
      </c>
      <c r="H2364" s="1699" t="s">
        <v>1990</v>
      </c>
      <c r="I2364" s="1307" t="str">
        <f t="shared" si="438"/>
        <v/>
      </c>
      <c r="J2364" s="1699" t="str">
        <f t="shared" si="458"/>
        <v/>
      </c>
      <c r="K2364" s="1699" t="str">
        <f t="shared" si="439"/>
        <v/>
      </c>
      <c r="L2364" s="852" t="s">
        <v>1381</v>
      </c>
      <c r="M2364" s="1703">
        <v>1385</v>
      </c>
      <c r="N2364" s="1699"/>
      <c r="R2364" s="1699" t="s">
        <v>2144</v>
      </c>
      <c r="T2364" s="1699" t="str">
        <f t="shared" si="455"/>
        <v/>
      </c>
    </row>
    <row r="2365" spans="1:20" s="1697" customFormat="1" x14ac:dyDescent="0.25">
      <c r="A2365" s="872" t="s">
        <v>1397</v>
      </c>
      <c r="B2365" s="852" t="str">
        <f t="shared" ca="1" si="456"/>
        <v>L813</v>
      </c>
      <c r="C2365" s="852" t="str">
        <f t="shared" ca="1" si="457"/>
        <v>L814</v>
      </c>
      <c r="D2365" s="852" t="s">
        <v>1350</v>
      </c>
      <c r="E2365" s="852" t="s">
        <v>1516</v>
      </c>
      <c r="F2365" s="1699" t="s">
        <v>1993</v>
      </c>
      <c r="G2365" s="1699" t="str">
        <f>IF(T2365&lt;&gt;"","H","")</f>
        <v/>
      </c>
      <c r="H2365" s="1699" t="s">
        <v>1990</v>
      </c>
      <c r="I2365" s="1307" t="str">
        <f t="shared" si="438"/>
        <v/>
      </c>
      <c r="J2365" s="1699" t="str">
        <f t="shared" si="458"/>
        <v/>
      </c>
      <c r="K2365" s="1699" t="str">
        <f t="shared" si="439"/>
        <v/>
      </c>
      <c r="L2365" s="852" t="s">
        <v>1397</v>
      </c>
      <c r="M2365" s="1703">
        <v>1386</v>
      </c>
      <c r="N2365" s="1699"/>
      <c r="R2365" s="1699" t="s">
        <v>2144</v>
      </c>
      <c r="T2365" s="1699" t="str">
        <f t="shared" si="455"/>
        <v/>
      </c>
    </row>
    <row r="2366" spans="1:20" s="1697" customFormat="1" x14ac:dyDescent="0.25">
      <c r="A2366" s="872" t="s">
        <v>1382</v>
      </c>
      <c r="B2366" s="852" t="str">
        <f t="shared" ca="1" si="456"/>
        <v>N813</v>
      </c>
      <c r="C2366" s="852" t="str">
        <f t="shared" ca="1" si="457"/>
        <v>N814</v>
      </c>
      <c r="D2366" s="852" t="s">
        <v>1350</v>
      </c>
      <c r="E2366" s="852" t="s">
        <v>1516</v>
      </c>
      <c r="F2366" s="1699" t="s">
        <v>1382</v>
      </c>
      <c r="G2366" s="1699" t="str">
        <f>IF(T2366&lt;&gt;"",IF(Q2364="Credit Memo","J",IF(Q2364="Check","K","")),"")</f>
        <v/>
      </c>
      <c r="H2366" s="1699" t="s">
        <v>1990</v>
      </c>
      <c r="I2366" s="1307" t="str">
        <f t="shared" si="438"/>
        <v/>
      </c>
      <c r="J2366" s="1699" t="str">
        <f t="shared" si="458"/>
        <v/>
      </c>
      <c r="K2366" s="1699" t="str">
        <f t="shared" si="439"/>
        <v/>
      </c>
      <c r="L2366" s="852" t="s">
        <v>1382</v>
      </c>
      <c r="M2366" s="1703">
        <v>1387</v>
      </c>
      <c r="N2366" s="1699"/>
      <c r="R2366" s="1699" t="s">
        <v>2144</v>
      </c>
      <c r="T2366" s="1699" t="str">
        <f t="shared" si="455"/>
        <v/>
      </c>
    </row>
    <row r="2367" spans="1:20" s="1697" customFormat="1" x14ac:dyDescent="0.25">
      <c r="A2367" s="872" t="s">
        <v>1487</v>
      </c>
      <c r="B2367" s="852" t="str">
        <f t="shared" ca="1" si="456"/>
        <v>R813</v>
      </c>
      <c r="C2367" s="852" t="str">
        <f t="shared" ca="1" si="457"/>
        <v>R814</v>
      </c>
      <c r="D2367" s="852" t="s">
        <v>1350</v>
      </c>
      <c r="E2367" s="852" t="s">
        <v>1516</v>
      </c>
      <c r="F2367" s="1699" t="s">
        <v>1995</v>
      </c>
      <c r="G2367" s="1699" t="str">
        <f>IF(T2367&lt;&gt;"","G","")</f>
        <v/>
      </c>
      <c r="H2367" s="1699" t="s">
        <v>1990</v>
      </c>
      <c r="I2367" s="1307" t="str">
        <f t="shared" si="438"/>
        <v/>
      </c>
      <c r="J2367" s="1699" t="str">
        <f t="shared" si="458"/>
        <v/>
      </c>
      <c r="K2367" s="1699" t="str">
        <f t="shared" si="439"/>
        <v/>
      </c>
      <c r="L2367" s="852" t="s">
        <v>1487</v>
      </c>
      <c r="M2367" s="1703">
        <v>1388</v>
      </c>
      <c r="N2367" s="1699"/>
      <c r="R2367" s="1699" t="s">
        <v>2144</v>
      </c>
      <c r="T2367" s="1699" t="str">
        <f t="shared" si="455"/>
        <v/>
      </c>
    </row>
    <row r="2368" spans="1:20" s="1697" customFormat="1" x14ac:dyDescent="0.25">
      <c r="A2368" s="872" t="s">
        <v>1488</v>
      </c>
      <c r="B2368" s="852" t="str">
        <f t="shared" ca="1" si="456"/>
        <v>T813</v>
      </c>
      <c r="C2368" s="852" t="str">
        <f t="shared" ca="1" si="457"/>
        <v>T814</v>
      </c>
      <c r="D2368" s="852" t="s">
        <v>1350</v>
      </c>
      <c r="E2368" s="852" t="s">
        <v>1516</v>
      </c>
      <c r="F2368" s="867" t="s">
        <v>1488</v>
      </c>
      <c r="G2368" s="1699" t="str">
        <f>IF(T2368&lt;&gt;"","AW","")</f>
        <v/>
      </c>
      <c r="H2368" s="1699" t="s">
        <v>1990</v>
      </c>
      <c r="I2368" s="1307" t="str">
        <f t="shared" si="438"/>
        <v/>
      </c>
      <c r="J2368" s="1699" t="str">
        <f t="shared" si="458"/>
        <v/>
      </c>
      <c r="K2368" s="1699" t="str">
        <f t="shared" si="439"/>
        <v/>
      </c>
      <c r="L2368" s="852" t="s">
        <v>1488</v>
      </c>
      <c r="M2368" s="1703">
        <v>1389</v>
      </c>
      <c r="N2368" s="1699"/>
      <c r="R2368" s="1699" t="s">
        <v>2144</v>
      </c>
      <c r="T2368" s="1699" t="str">
        <f t="shared" si="455"/>
        <v/>
      </c>
    </row>
    <row r="2369" spans="1:20" s="1697" customFormat="1" x14ac:dyDescent="0.25">
      <c r="A2369" s="872" t="s">
        <v>1385</v>
      </c>
      <c r="B2369" s="852" t="str">
        <f ca="1">IFERROR(_xlfn.CONCAT("C",MATCH(A2369,INDIRECT("'"&amp;E2369&amp;"'!C"&amp;$O$2360&amp;":C"&amp;$O$2362),0)+$O$2360-1),"")</f>
        <v>C817</v>
      </c>
      <c r="C2369" s="852" t="str">
        <f ca="1">IFERROR(_xlfn.CONCAT("D",MATCH(A2369,INDIRECT("'"&amp;E2369&amp;"'!C"&amp;$O$2360&amp;":C"&amp;$O$2362),0)+$O$2360-1),"")</f>
        <v>D817</v>
      </c>
      <c r="D2369" s="852" t="s">
        <v>1350</v>
      </c>
      <c r="E2369" s="852" t="s">
        <v>1516</v>
      </c>
      <c r="F2369" s="1699" t="s">
        <v>1385</v>
      </c>
      <c r="G2369" s="1699" t="str">
        <f>IF(T2369&lt;&gt;"","C","")</f>
        <v/>
      </c>
      <c r="H2369" s="1699" t="s">
        <v>1990</v>
      </c>
      <c r="I2369" s="1307" t="str">
        <f t="shared" si="438"/>
        <v/>
      </c>
      <c r="J2369" s="1699"/>
      <c r="K2369" s="1699" t="str">
        <f t="shared" si="439"/>
        <v/>
      </c>
      <c r="L2369" s="852" t="s">
        <v>1385</v>
      </c>
      <c r="M2369" s="1703">
        <v>1390</v>
      </c>
      <c r="N2369" s="1699"/>
      <c r="R2369" s="1699" t="s">
        <v>2144</v>
      </c>
      <c r="T2369" s="1699" t="str">
        <f t="shared" si="455"/>
        <v/>
      </c>
    </row>
    <row r="2370" spans="1:20" s="1697" customFormat="1" x14ac:dyDescent="0.25">
      <c r="A2370" s="872" t="s">
        <v>1386</v>
      </c>
      <c r="B2370" s="852" t="str">
        <f ca="1">IFERROR(_xlfn.CONCAT("C",MATCH(A2370,INDIRECT("'"&amp;E2370&amp;"'!C"&amp;$O$2360&amp;":C"&amp;$O$2362),0)+$O$2360-1),"")</f>
        <v>C819</v>
      </c>
      <c r="C2370" s="852" t="str">
        <f ca="1">IFERROR(_xlfn.CONCAT("D",MATCH(A2370,INDIRECT("'"&amp;E2370&amp;"'!C"&amp;$O$2360&amp;":C"&amp;$O$2362),0)+$O$2360-1),"")</f>
        <v>D819</v>
      </c>
      <c r="D2370" s="852" t="s">
        <v>1350</v>
      </c>
      <c r="E2370" s="852" t="s">
        <v>1516</v>
      </c>
      <c r="F2370" s="1699" t="s">
        <v>1386</v>
      </c>
      <c r="G2370" s="1699" t="str">
        <f>IF(T2370&lt;&gt;"","D","")</f>
        <v/>
      </c>
      <c r="H2370" s="1699" t="s">
        <v>1990</v>
      </c>
      <c r="I2370" s="1307" t="str">
        <f t="shared" si="438"/>
        <v/>
      </c>
      <c r="J2370" s="1699"/>
      <c r="K2370" s="1699" t="str">
        <f t="shared" si="439"/>
        <v/>
      </c>
      <c r="L2370" s="852" t="s">
        <v>1386</v>
      </c>
      <c r="M2370" s="1703">
        <v>1391</v>
      </c>
      <c r="N2370" s="1699"/>
      <c r="R2370" s="1699" t="s">
        <v>2144</v>
      </c>
      <c r="T2370" s="1699" t="str">
        <f t="shared" si="455"/>
        <v/>
      </c>
    </row>
    <row r="2371" spans="1:20" s="1697" customFormat="1" x14ac:dyDescent="0.25">
      <c r="A2371" s="872" t="s">
        <v>1495</v>
      </c>
      <c r="B2371" s="852" t="str">
        <f ca="1">IFERROR(_xlfn.CONCAT("C",MATCH(A2371,INDIRECT("'"&amp;E2371&amp;"'!C"&amp;$O$2360&amp;":C"&amp;$O$2362),0)+$O$2360-1),"")</f>
        <v>C821</v>
      </c>
      <c r="C2371" s="852" t="str">
        <f ca="1">IFERROR(_xlfn.CONCAT("D",MATCH(A2371,INDIRECT("'"&amp;E2371&amp;"'!C"&amp;$O$2360&amp;":C"&amp;$O$2362),0)+$O$2360-1),"")</f>
        <v>D821</v>
      </c>
      <c r="D2371" s="852" t="s">
        <v>1350</v>
      </c>
      <c r="E2371" s="852" t="s">
        <v>1516</v>
      </c>
      <c r="F2371" s="1699" t="s">
        <v>1495</v>
      </c>
      <c r="G2371" s="1699" t="str">
        <f>IF(T2371&lt;&gt;"","AN","")</f>
        <v/>
      </c>
      <c r="H2371" s="1699" t="s">
        <v>1990</v>
      </c>
      <c r="I2371" s="1307" t="str">
        <f t="shared" si="438"/>
        <v/>
      </c>
      <c r="J2371" s="1699" t="str">
        <f t="shared" ref="J2371" si="459">IF(M2371&lt;&gt;"",IF($Q$540="Yes",Q$1&amp;M2371,""))</f>
        <v/>
      </c>
      <c r="K2371" s="1699" t="str">
        <f t="shared" si="439"/>
        <v/>
      </c>
      <c r="L2371" s="852" t="s">
        <v>1495</v>
      </c>
      <c r="M2371" s="1703">
        <v>1392</v>
      </c>
      <c r="N2371" s="1699"/>
      <c r="P2371" s="1699" t="str" cm="1">
        <f t="array" aca="1" ref="P2371" ca="1">_xlfn.CONCAT("F",RIGHT(B2371, LEN(B2371) - MAX(IF(ISNUMBER(MID(B2371, ROW(INDIRECT("1:"&amp;LEN(B2371))), 1) *1)=FALSE, ROW(INDIRECT("1:"&amp;LEN(B2371))), 0))))</f>
        <v>F821</v>
      </c>
      <c r="Q2371" s="1699" t="str" cm="1">
        <f t="array" aca="1" ref="Q2371" ca="1">_xlfn.CONCAT("E",RIGHT(C2371, LEN(C2371) - MAX(IF(ISNUMBER(MID(C2371, ROW(INDIRECT("1:"&amp;LEN(C2371))), 1) *1)=FALSE, ROW(INDIRECT("1:"&amp;LEN(C2371))), 0))))</f>
        <v>E821</v>
      </c>
      <c r="R2371" s="1699" t="s">
        <v>2144</v>
      </c>
      <c r="T2371" s="1699" t="str">
        <f t="shared" si="455"/>
        <v/>
      </c>
    </row>
    <row r="2372" spans="1:20" s="1697" customFormat="1" x14ac:dyDescent="0.25">
      <c r="A2372" s="872" t="s">
        <v>1389</v>
      </c>
      <c r="B2372" s="852" t="str">
        <f ca="1">_xlfn.CONCAT(IFERROR(SUBSTITUTE(ADDRESS(1,MATCH(A2372,INDIRECT("'"&amp;E2372&amp;"'"&amp;"!A" &amp; $O$2360+5 &amp; ":Z"&amp;$O$2360+5),0),4),1,""),""),$O$2360+5)</f>
        <v>H816</v>
      </c>
      <c r="C2372" s="852" t="str">
        <f ca="1">_xlfn.CONCAT(IFERROR(SUBSTITUTE(ADDRESS(1,MATCH(A2372,INDIRECT("'"&amp;E2372&amp;"'"&amp;"!A" &amp; $O$2360+5 &amp; ":Z"&amp;$O$2360+5),0),4),1,""),""),$O$2360+6)</f>
        <v>H817</v>
      </c>
      <c r="D2372" s="852" t="s">
        <v>1350</v>
      </c>
      <c r="E2372" s="852" t="s">
        <v>1516</v>
      </c>
      <c r="F2372" s="1699" t="s">
        <v>1912</v>
      </c>
      <c r="G2372" s="1699" t="str">
        <f>IF(T2372&lt;&gt;"","O","")</f>
        <v/>
      </c>
      <c r="H2372" s="1699" t="s">
        <v>1990</v>
      </c>
      <c r="I2372" s="1307" t="str">
        <f t="shared" si="438"/>
        <v/>
      </c>
      <c r="J2372" s="1699"/>
      <c r="K2372" s="1699" t="str">
        <f t="shared" si="439"/>
        <v/>
      </c>
      <c r="L2372" s="852" t="s">
        <v>1389</v>
      </c>
      <c r="M2372" s="1700">
        <v>1393</v>
      </c>
      <c r="N2372" s="1699"/>
      <c r="R2372" s="1699" t="s">
        <v>2144</v>
      </c>
      <c r="T2372" s="1699" t="str">
        <f t="shared" si="455"/>
        <v/>
      </c>
    </row>
    <row r="2373" spans="1:20" s="1697" customFormat="1" x14ac:dyDescent="0.25">
      <c r="A2373" s="1039" t="s">
        <v>523</v>
      </c>
      <c r="B2373" s="1307" t="str">
        <f>IFERROR(_xlfn.CONCAT("D",('Configurable Tab'!$C$45+1)),"")</f>
        <v>D459</v>
      </c>
      <c r="C2373" s="1307" t="str">
        <f>IFERROR(_xlfn.CONCAT("E",('Configurable Tab'!$C$45+1)),"")</f>
        <v>E459</v>
      </c>
      <c r="D2373" s="1699" t="s">
        <v>1350</v>
      </c>
      <c r="E2373" s="817" t="s">
        <v>1742</v>
      </c>
      <c r="F2373" s="1699"/>
      <c r="G2373" s="1699"/>
      <c r="H2373" s="1699"/>
      <c r="I2373" s="1307" t="str">
        <f t="shared" si="438"/>
        <v>Offer this Incentive?</v>
      </c>
      <c r="J2373" s="1699" t="str">
        <f>$Q$1&amp;T2373</f>
        <v>F</v>
      </c>
      <c r="K2373" s="1699" t="str">
        <f t="shared" si="439"/>
        <v>Incentives</v>
      </c>
      <c r="L2373" s="1699"/>
      <c r="M2373" s="1699"/>
      <c r="N2373" s="1699"/>
      <c r="O2373" s="1697" t="s">
        <v>2144</v>
      </c>
      <c r="P2373" s="18" t="str">
        <f>'Configurable Tab'!E45</f>
        <v>Yes</v>
      </c>
      <c r="Q2373" s="1307" t="str">
        <f>IFERROR(_xlfn.CONCAT("C",('Configurable Tab'!$C45+1)),"")</f>
        <v>C459</v>
      </c>
      <c r="R2373" s="1699" t="s">
        <v>2144</v>
      </c>
      <c r="T2373" s="1699" t="str">
        <f>IF(Q$2361="Yes",M2361,"")</f>
        <v/>
      </c>
    </row>
    <row r="2374" spans="1:20" s="1697" customFormat="1" x14ac:dyDescent="0.25">
      <c r="A2374" s="1040" t="s">
        <v>1383</v>
      </c>
      <c r="B2374" s="1307" t="str">
        <f>IFERROR(_xlfn.CONCAT("D",('Configurable Tab'!$C$45+2)),"")</f>
        <v>D460</v>
      </c>
      <c r="C2374" s="1307" t="str">
        <f>IFERROR(_xlfn.CONCAT("E",('Configurable Tab'!$C$45+2)),"")</f>
        <v>E460</v>
      </c>
      <c r="D2374" s="1699" t="s">
        <v>1350</v>
      </c>
      <c r="E2374" s="817" t="s">
        <v>1742</v>
      </c>
      <c r="F2374" s="1699"/>
      <c r="G2374" s="1699"/>
      <c r="H2374" s="1699"/>
      <c r="I2374" s="1307" t="str">
        <f t="shared" si="438"/>
        <v>Incentive Type</v>
      </c>
      <c r="J2374" s="1699" t="str">
        <f t="shared" ref="J2374:J2381" si="460">$Q$1&amp;T2374</f>
        <v>F</v>
      </c>
      <c r="K2374" s="1699" t="str">
        <f t="shared" si="439"/>
        <v>Incentives</v>
      </c>
      <c r="L2374" s="1699"/>
      <c r="M2374" s="1699"/>
      <c r="N2374" s="1699"/>
      <c r="R2374" s="1699" t="s">
        <v>2144</v>
      </c>
      <c r="T2374" s="1699" t="str">
        <f>IF(Q$2361="Yes",M2362,"")</f>
        <v/>
      </c>
    </row>
    <row r="2375" spans="1:20" s="1697" customFormat="1" x14ac:dyDescent="0.25">
      <c r="A2375" s="1040" t="s">
        <v>1385</v>
      </c>
      <c r="B2375" s="1307" t="str">
        <f>IFERROR(_xlfn.CONCAT("D",('Configurable Tab'!$C$45+4)),"")</f>
        <v>D462</v>
      </c>
      <c r="C2375" s="1307" t="str">
        <f>IFERROR(_xlfn.CONCAT("E",('Configurable Tab'!$C$45+4)),"")</f>
        <v>E462</v>
      </c>
      <c r="D2375" s="1699" t="s">
        <v>1350</v>
      </c>
      <c r="E2375" s="817" t="s">
        <v>1742</v>
      </c>
      <c r="F2375" s="1699"/>
      <c r="G2375" s="1699"/>
      <c r="H2375" s="1699"/>
      <c r="I2375" s="1307" t="str">
        <f t="shared" si="438"/>
        <v>Incentive Effective Date</v>
      </c>
      <c r="J2375" s="1699" t="str">
        <f t="shared" si="460"/>
        <v>F</v>
      </c>
      <c r="K2375" s="1699" t="str">
        <f t="shared" si="439"/>
        <v>Incentives</v>
      </c>
      <c r="L2375" s="1699"/>
      <c r="M2375" s="1699"/>
      <c r="N2375" s="1699"/>
      <c r="R2375" s="1699" t="s">
        <v>2144</v>
      </c>
      <c r="T2375" s="1699" t="str">
        <f>IF(Q$2361="Yes",M2369,"")</f>
        <v/>
      </c>
    </row>
    <row r="2376" spans="1:20" s="1697" customFormat="1" x14ac:dyDescent="0.25">
      <c r="A2376" s="1040" t="s">
        <v>1386</v>
      </c>
      <c r="B2376" s="1307" t="str">
        <f>IFERROR(_xlfn.CONCAT("D",('Configurable Tab'!$C$45+5)),"")</f>
        <v>D463</v>
      </c>
      <c r="C2376" s="1307" t="str">
        <f>IFERROR(_xlfn.CONCAT("E",('Configurable Tab'!$C$45+5)),"")</f>
        <v>E463</v>
      </c>
      <c r="D2376" s="1699" t="s">
        <v>1350</v>
      </c>
      <c r="E2376" s="817" t="s">
        <v>1742</v>
      </c>
      <c r="F2376" s="1699"/>
      <c r="G2376" s="1699"/>
      <c r="H2376" s="1699"/>
      <c r="I2376" s="1307" t="str">
        <f t="shared" si="438"/>
        <v>Incentive Expiration Date</v>
      </c>
      <c r="J2376" s="1699" t="str">
        <f t="shared" si="460"/>
        <v>F</v>
      </c>
      <c r="K2376" s="1699" t="str">
        <f t="shared" si="439"/>
        <v>Incentives</v>
      </c>
      <c r="L2376" s="1699"/>
      <c r="M2376" s="1699"/>
      <c r="N2376" s="1699"/>
      <c r="R2376" s="1699" t="s">
        <v>2144</v>
      </c>
      <c r="T2376" s="1699" t="str">
        <f>IF(Q$2361="Yes",M2370,"")</f>
        <v/>
      </c>
    </row>
    <row r="2377" spans="1:20" s="1697" customFormat="1" x14ac:dyDescent="0.25">
      <c r="A2377" s="1040" t="s">
        <v>1380</v>
      </c>
      <c r="B2377" s="1307" t="str">
        <f>IFERROR(_xlfn.CONCAT("G",('Configurable Tab'!$C$45+1)),"")</f>
        <v>G459</v>
      </c>
      <c r="C2377" s="1307" t="str">
        <f>IFERROR(_xlfn.CONCAT("G",('Configurable Tab'!$C$45+2)),"")</f>
        <v>G460</v>
      </c>
      <c r="D2377" s="1699" t="s">
        <v>1350</v>
      </c>
      <c r="E2377" s="817" t="s">
        <v>1742</v>
      </c>
      <c r="F2377" s="1698"/>
      <c r="G2377" s="1098"/>
      <c r="H2377" s="1699"/>
      <c r="I2377" s="1307" t="str">
        <f t="shared" si="438"/>
        <v>Incentive Period</v>
      </c>
      <c r="J2377" s="1699" t="str">
        <f t="shared" si="460"/>
        <v>F</v>
      </c>
      <c r="K2377" s="1699" t="str">
        <f t="shared" si="439"/>
        <v>Incentives</v>
      </c>
      <c r="L2377" s="1699"/>
      <c r="M2377" s="1699"/>
      <c r="N2377" s="1699"/>
      <c r="R2377" s="1699" t="s">
        <v>2144</v>
      </c>
      <c r="T2377" s="1699" t="str">
        <f>IF(Q$2361="Yes",M2363,"")</f>
        <v/>
      </c>
    </row>
    <row r="2378" spans="1:20" s="1697" customFormat="1" x14ac:dyDescent="0.25">
      <c r="A2378" s="1040" t="s">
        <v>1381</v>
      </c>
      <c r="B2378" s="1307" t="str">
        <f>IFERROR(_xlfn.CONCAT("I",('Configurable Tab'!$C$45+1)),"")</f>
        <v>I459</v>
      </c>
      <c r="C2378" s="1307" t="str">
        <f>IFERROR(_xlfn.CONCAT("I",('Configurable Tab'!$C$45+2)),"")</f>
        <v>I460</v>
      </c>
      <c r="D2378" s="1699" t="s">
        <v>1350</v>
      </c>
      <c r="E2378" s="817" t="s">
        <v>1742</v>
      </c>
      <c r="F2378" s="1699"/>
      <c r="G2378" s="1699"/>
      <c r="H2378" s="1699"/>
      <c r="I2378" s="1307" t="str">
        <f t="shared" si="438"/>
        <v>Payment Method</v>
      </c>
      <c r="J2378" s="1699" t="str">
        <f t="shared" si="460"/>
        <v>F</v>
      </c>
      <c r="K2378" s="1699" t="str">
        <f t="shared" si="439"/>
        <v>Incentives</v>
      </c>
      <c r="L2378" s="1699"/>
      <c r="M2378" s="1699"/>
      <c r="N2378" s="1699"/>
      <c r="R2378" s="1699" t="s">
        <v>2144</v>
      </c>
      <c r="T2378" s="1699" t="str">
        <f>IF(Q$2361="Yes",M2364,"")</f>
        <v/>
      </c>
    </row>
    <row r="2379" spans="1:20" s="1697" customFormat="1" x14ac:dyDescent="0.25">
      <c r="A2379" s="1040" t="s">
        <v>833</v>
      </c>
      <c r="B2379" s="1307" t="str">
        <f>IFERROR(_xlfn.CONCAT("K",('Configurable Tab'!$C$45+1)),"")</f>
        <v>K459</v>
      </c>
      <c r="C2379" s="1307" t="str">
        <f>IFERROR(_xlfn.CONCAT("K",('Configurable Tab'!$C$45+2)),"")</f>
        <v>K460</v>
      </c>
      <c r="D2379" s="1699" t="s">
        <v>1350</v>
      </c>
      <c r="E2379" s="817" t="s">
        <v>1742</v>
      </c>
      <c r="F2379" s="1699"/>
      <c r="G2379" s="1699"/>
      <c r="H2379" s="1699"/>
      <c r="I2379" s="1307" t="str">
        <f t="shared" si="438"/>
        <v>Paid to:</v>
      </c>
      <c r="J2379" s="1699" t="str">
        <f t="shared" si="460"/>
        <v>F</v>
      </c>
      <c r="K2379" s="1699" t="str">
        <f t="shared" si="439"/>
        <v>Incentives</v>
      </c>
      <c r="L2379" s="1699"/>
      <c r="M2379" s="1699"/>
      <c r="N2379" s="1699"/>
      <c r="R2379" s="1699" t="s">
        <v>2144</v>
      </c>
      <c r="T2379" s="1699" t="str">
        <f>IF(Q$2361="Yes",M2365,"")</f>
        <v/>
      </c>
    </row>
    <row r="2380" spans="1:20" s="1697" customFormat="1" x14ac:dyDescent="0.25">
      <c r="A2380" s="1040" t="s">
        <v>1382</v>
      </c>
      <c r="B2380" s="1307" t="str">
        <f>IFERROR(_xlfn.CONCAT("M",('Configurable Tab'!$C$45+1)),"")</f>
        <v>M459</v>
      </c>
      <c r="C2380" s="1307" t="str">
        <f>IFERROR(_xlfn.CONCAT("M",('Configurable Tab'!$C$45+2)),"")</f>
        <v>M460</v>
      </c>
      <c r="D2380" s="1699" t="s">
        <v>1350</v>
      </c>
      <c r="E2380" s="817" t="s">
        <v>1742</v>
      </c>
      <c r="F2380" s="1699"/>
      <c r="G2380" s="1699"/>
      <c r="H2380" s="1699"/>
      <c r="I2380" s="1307" t="str">
        <f t="shared" ref="I2380:I2443" si="461">IF(J2380&lt;&gt;"",A2380,"")</f>
        <v>AP/AR Vendor Number</v>
      </c>
      <c r="J2380" s="1699" t="str">
        <f t="shared" si="460"/>
        <v>F</v>
      </c>
      <c r="K2380" s="1699" t="str">
        <f t="shared" ref="K2380:K2443" si="462">IF(J2380&lt;&gt;"",E2380,"")</f>
        <v>Incentives</v>
      </c>
      <c r="L2380" s="1699"/>
      <c r="M2380" s="1699"/>
      <c r="N2380" s="1699"/>
      <c r="R2380" s="1699" t="s">
        <v>2144</v>
      </c>
      <c r="T2380" s="1699" t="str">
        <f>IF(Q$2361="Yes",M2366,"")</f>
        <v/>
      </c>
    </row>
    <row r="2381" spans="1:20" s="1697" customFormat="1" x14ac:dyDescent="0.25">
      <c r="A2381" s="1040" t="s">
        <v>1389</v>
      </c>
      <c r="B2381" s="1307" t="str">
        <f>IFERROR(_xlfn.CONCAT("K",('Configurable Tab'!$C$45+4)),"")</f>
        <v>K462</v>
      </c>
      <c r="C2381" s="1307" t="str">
        <f>IFERROR(_xlfn.CONCAT("K",('Configurable Tab'!$C$45+5)),"")</f>
        <v>K463</v>
      </c>
      <c r="D2381" s="1699" t="s">
        <v>1350</v>
      </c>
      <c r="E2381" s="817" t="s">
        <v>1742</v>
      </c>
      <c r="F2381" s="1699"/>
      <c r="G2381" s="1699"/>
      <c r="H2381" s="1699"/>
      <c r="I2381" s="1307" t="str">
        <f t="shared" si="461"/>
        <v>Rate % of Sales</v>
      </c>
      <c r="J2381" s="1699" t="str">
        <f t="shared" si="460"/>
        <v>F</v>
      </c>
      <c r="K2381" s="1699" t="str">
        <f t="shared" si="462"/>
        <v>Incentives</v>
      </c>
      <c r="L2381" s="1699"/>
      <c r="M2381" s="1699"/>
      <c r="N2381" s="1699"/>
      <c r="R2381" s="1699" t="s">
        <v>2144</v>
      </c>
      <c r="T2381" s="1699" t="str">
        <f>IF(Q$2361="Yes",M2372,"")</f>
        <v/>
      </c>
    </row>
    <row r="2382" spans="1:20" s="1697" customFormat="1" x14ac:dyDescent="0.25">
      <c r="A2382" s="872" t="s">
        <v>1491</v>
      </c>
      <c r="B2382" s="852" t="str">
        <f ca="1">IFERROR(_xlfn.CONCAT("C",MATCH(A2382,INDIRECT("'"&amp;E2382&amp;"'!C"&amp;$O$2382&amp;":C"&amp;$O$2384),0)+$O$2382-1),"")</f>
        <v>C829</v>
      </c>
      <c r="C2382" s="852" t="str">
        <f ca="1">IFERROR(_xlfn.CONCAT("D",MATCH(A2382,INDIRECT("'"&amp;E2382&amp;"'!C"&amp;$O$2382&amp;":C"&amp;$O$2384),0)+$O$2382-1),"")</f>
        <v>D829</v>
      </c>
      <c r="D2382" s="852" t="s">
        <v>1350</v>
      </c>
      <c r="E2382" s="852" t="s">
        <v>1516</v>
      </c>
      <c r="F2382" s="1699" t="s">
        <v>1491</v>
      </c>
      <c r="G2382" s="1699" t="str">
        <f>IF(T2382&lt;&gt;"","A","")</f>
        <v/>
      </c>
      <c r="H2382" s="1699" t="s">
        <v>1990</v>
      </c>
      <c r="I2382" s="1307" t="str">
        <f t="shared" si="461"/>
        <v/>
      </c>
      <c r="J2382" s="1699"/>
      <c r="K2382" s="1699" t="str">
        <f t="shared" si="462"/>
        <v/>
      </c>
      <c r="L2382" s="852" t="s">
        <v>1491</v>
      </c>
      <c r="M2382" s="1703">
        <v>1394</v>
      </c>
      <c r="N2382" s="1699"/>
      <c r="O2382" s="1697">
        <f>'Configurable Tab'!H61</f>
        <v>825</v>
      </c>
      <c r="R2382" s="1699" t="s">
        <v>2144</v>
      </c>
      <c r="T2382" s="1699" t="str">
        <f>IF(Q$2383="Yes",49,"")</f>
        <v/>
      </c>
    </row>
    <row r="2383" spans="1:20" s="1697" customFormat="1" x14ac:dyDescent="0.25">
      <c r="A2383" s="872" t="s">
        <v>1705</v>
      </c>
      <c r="B2383" s="852" t="str">
        <f ca="1">_xlfn.CONCAT(IFERROR(SUBSTITUTE(ADDRESS(1,MATCH(A2383,INDIRECT("'"&amp;E2383&amp;"'"&amp;"!A" &amp; $O$2382+11 &amp; ":Z" &amp; $O$2382+11 ),0),4),1,""),""),$O$2382+11)</f>
        <v>T836</v>
      </c>
      <c r="C2383" s="852" t="str">
        <f ca="1">_xlfn.CONCAT(IFERROR(SUBSTITUTE(ADDRESS(1,MATCH(A2383,INDIRECT("'"&amp;E2383&amp;"'"&amp;"!A" &amp; $O$2382+11 &amp; ":Z" &amp; $O$2382+11 ),0),4),1,""),""),$O$2382+12)</f>
        <v>T837</v>
      </c>
      <c r="D2383" s="852" t="s">
        <v>1350</v>
      </c>
      <c r="E2383" s="852" t="s">
        <v>1516</v>
      </c>
      <c r="F2383" s="1699"/>
      <c r="G2383" s="1699"/>
      <c r="H2383" s="1699"/>
      <c r="I2383" s="1307" t="str">
        <f t="shared" si="461"/>
        <v/>
      </c>
      <c r="J2383" s="1699" t="str">
        <f t="shared" ref="J2383" si="463">IF(M2383&lt;&gt;"",IF($Q$540="Yes",Q$1&amp;M2383,""))</f>
        <v/>
      </c>
      <c r="K2383" s="1699" t="str">
        <f t="shared" si="462"/>
        <v/>
      </c>
      <c r="L2383" s="852" t="s">
        <v>1705</v>
      </c>
      <c r="M2383" s="1703">
        <v>1395</v>
      </c>
      <c r="N2383" s="1699"/>
      <c r="O2383" s="1697" t="s">
        <v>726</v>
      </c>
      <c r="P2383" s="18" t="str">
        <f>'Configurable Tab'!J61</f>
        <v>Yes</v>
      </c>
      <c r="Q2383" s="1697" t="s">
        <v>648</v>
      </c>
      <c r="R2383" s="1699" t="s">
        <v>2144</v>
      </c>
      <c r="T2383" s="1699" t="str">
        <f t="shared" ref="T2383:T2394" si="464">IF(Q$2383="Yes",49,"")</f>
        <v/>
      </c>
    </row>
    <row r="2384" spans="1:20" s="1697" customFormat="1" x14ac:dyDescent="0.25">
      <c r="A2384" s="872" t="s">
        <v>1383</v>
      </c>
      <c r="B2384" s="852" t="str">
        <f ca="1">IFERROR(_xlfn.CONCAT("C",MATCH(A2384,INDIRECT("'"&amp;E2384&amp;"'!C"&amp;$O$2382&amp;":C"&amp;$O$2384),0)+$O$2382-1),"")</f>
        <v>C827</v>
      </c>
      <c r="C2384" s="852" t="str">
        <f ca="1">IFERROR(_xlfn.CONCAT("D",MATCH(A2384,INDIRECT("'"&amp;E2384&amp;"'!C"&amp;$O$2382&amp;":C"&amp;$O$2384),0)+$O$2382-1),"")</f>
        <v>D827</v>
      </c>
      <c r="D2384" s="852" t="s">
        <v>1350</v>
      </c>
      <c r="E2384" s="852" t="s">
        <v>1516</v>
      </c>
      <c r="F2384" s="1699" t="s">
        <v>1383</v>
      </c>
      <c r="G2384" s="1699" t="str">
        <f>IF(T2384&lt;&gt;"","B","")</f>
        <v/>
      </c>
      <c r="H2384" s="1699" t="s">
        <v>1990</v>
      </c>
      <c r="I2384" s="1307" t="str">
        <f t="shared" si="461"/>
        <v/>
      </c>
      <c r="J2384" s="1699"/>
      <c r="K2384" s="1699" t="str">
        <f t="shared" si="462"/>
        <v/>
      </c>
      <c r="L2384" s="852" t="s">
        <v>1383</v>
      </c>
      <c r="M2384" s="1703">
        <v>1396</v>
      </c>
      <c r="N2384" s="1699"/>
      <c r="O2384" s="1697">
        <f>'Configurable Tab'!I61</f>
        <v>838</v>
      </c>
      <c r="R2384" s="1699" t="s">
        <v>2144</v>
      </c>
      <c r="T2384" s="1699" t="str">
        <f t="shared" si="464"/>
        <v/>
      </c>
    </row>
    <row r="2385" spans="1:20" s="1697" customFormat="1" x14ac:dyDescent="0.25">
      <c r="A2385" s="872" t="s">
        <v>1380</v>
      </c>
      <c r="B2385" s="852" t="str">
        <f t="shared" ref="B2385:B2390" ca="1" si="465">_xlfn.CONCAT(IFERROR(SUBSTITUTE(ADDRESS(1,MATCH(A2385,INDIRECT("'"&amp;E2385&amp;"'"&amp;"!A" &amp; $O$2382+2 &amp; ":Z"&amp;$O$2382+2 ),0),4),1,""),""),$O$2382+2)</f>
        <v>H827</v>
      </c>
      <c r="C2385" s="852" t="str">
        <f t="shared" ref="C2385:C2390" ca="1" si="466">_xlfn.CONCAT(IFERROR(SUBSTITUTE(ADDRESS(1,MATCH(A2385,INDIRECT("'"&amp;E2385&amp;"'"&amp;"!A" &amp; $O$2382+2 &amp; ":Z"&amp;$O$2382+2 ),0),4),1,""),""),$O$2382+3)</f>
        <v>H828</v>
      </c>
      <c r="D2385" s="852" t="s">
        <v>1350</v>
      </c>
      <c r="E2385" s="852" t="s">
        <v>1516</v>
      </c>
      <c r="F2385" s="1699" t="s">
        <v>1991</v>
      </c>
      <c r="G2385" s="1699" t="str">
        <f>IF(T2385&lt;&gt;"","E","")</f>
        <v/>
      </c>
      <c r="H2385" s="1699" t="s">
        <v>1990</v>
      </c>
      <c r="I2385" s="1307" t="str">
        <f t="shared" si="461"/>
        <v/>
      </c>
      <c r="J2385" s="1699" t="str">
        <f t="shared" ref="J2385:J2390" si="467">IF(M2385&lt;&gt;"",IF($Q$540="Yes",Q$1&amp;M2385,""))</f>
        <v/>
      </c>
      <c r="K2385" s="1699" t="str">
        <f t="shared" si="462"/>
        <v/>
      </c>
      <c r="L2385" s="852" t="s">
        <v>1380</v>
      </c>
      <c r="M2385" s="1703">
        <v>1397</v>
      </c>
      <c r="N2385" s="1699"/>
      <c r="O2385" s="1697" t="s">
        <v>2155</v>
      </c>
      <c r="R2385" s="1699" t="s">
        <v>2144</v>
      </c>
      <c r="T2385" s="1699" t="str">
        <f t="shared" si="464"/>
        <v/>
      </c>
    </row>
    <row r="2386" spans="1:20" s="1697" customFormat="1" x14ac:dyDescent="0.25">
      <c r="A2386" s="872" t="s">
        <v>1381</v>
      </c>
      <c r="B2386" s="852" t="str">
        <f t="shared" ca="1" si="465"/>
        <v>J827</v>
      </c>
      <c r="C2386" s="852" t="str">
        <f t="shared" ca="1" si="466"/>
        <v>J828</v>
      </c>
      <c r="D2386" s="852" t="s">
        <v>1350</v>
      </c>
      <c r="E2386" s="852" t="s">
        <v>1516</v>
      </c>
      <c r="F2386" s="1699" t="s">
        <v>1992</v>
      </c>
      <c r="G2386" s="1699" t="str">
        <f>IF(T2386&lt;&gt;"","I","")</f>
        <v/>
      </c>
      <c r="H2386" s="1699" t="s">
        <v>1990</v>
      </c>
      <c r="I2386" s="1307" t="str">
        <f t="shared" si="461"/>
        <v/>
      </c>
      <c r="J2386" s="1699" t="str">
        <f t="shared" si="467"/>
        <v/>
      </c>
      <c r="K2386" s="1699" t="str">
        <f t="shared" si="462"/>
        <v/>
      </c>
      <c r="L2386" s="852" t="s">
        <v>1381</v>
      </c>
      <c r="M2386" s="1703">
        <v>1398</v>
      </c>
      <c r="N2386" s="1699"/>
      <c r="R2386" s="1699" t="s">
        <v>2144</v>
      </c>
      <c r="T2386" s="1699" t="str">
        <f t="shared" si="464"/>
        <v/>
      </c>
    </row>
    <row r="2387" spans="1:20" s="1697" customFormat="1" x14ac:dyDescent="0.25">
      <c r="A2387" s="872" t="s">
        <v>1397</v>
      </c>
      <c r="B2387" s="852" t="str">
        <f t="shared" ca="1" si="465"/>
        <v>L827</v>
      </c>
      <c r="C2387" s="852" t="str">
        <f t="shared" ca="1" si="466"/>
        <v>L828</v>
      </c>
      <c r="D2387" s="852" t="s">
        <v>1350</v>
      </c>
      <c r="E2387" s="852" t="s">
        <v>1516</v>
      </c>
      <c r="F2387" s="1699" t="s">
        <v>1993</v>
      </c>
      <c r="G2387" s="1699" t="str">
        <f>IF(T2387&lt;&gt;"","H","")</f>
        <v/>
      </c>
      <c r="H2387" s="1699" t="s">
        <v>1990</v>
      </c>
      <c r="I2387" s="1307" t="str">
        <f t="shared" si="461"/>
        <v/>
      </c>
      <c r="J2387" s="1699" t="str">
        <f t="shared" si="467"/>
        <v/>
      </c>
      <c r="K2387" s="1699" t="str">
        <f t="shared" si="462"/>
        <v/>
      </c>
      <c r="L2387" s="852" t="s">
        <v>1397</v>
      </c>
      <c r="M2387" s="1703">
        <v>1399</v>
      </c>
      <c r="N2387" s="1699"/>
      <c r="R2387" s="1699" t="s">
        <v>2144</v>
      </c>
      <c r="T2387" s="1699" t="str">
        <f t="shared" si="464"/>
        <v/>
      </c>
    </row>
    <row r="2388" spans="1:20" s="1697" customFormat="1" x14ac:dyDescent="0.25">
      <c r="A2388" s="872" t="s">
        <v>1382</v>
      </c>
      <c r="B2388" s="852" t="str">
        <f t="shared" ca="1" si="465"/>
        <v>N827</v>
      </c>
      <c r="C2388" s="852" t="str">
        <f t="shared" ca="1" si="466"/>
        <v>N828</v>
      </c>
      <c r="D2388" s="852" t="s">
        <v>1350</v>
      </c>
      <c r="E2388" s="852" t="s">
        <v>1516</v>
      </c>
      <c r="F2388" s="1699" t="s">
        <v>1382</v>
      </c>
      <c r="G2388" s="1699" t="str">
        <f>IF(T2388&lt;&gt;"",IF(Q2386="Credit Memo","J",IF(Q2386="Check","K","")),"")</f>
        <v/>
      </c>
      <c r="H2388" s="1699" t="s">
        <v>1990</v>
      </c>
      <c r="I2388" s="1307" t="str">
        <f t="shared" si="461"/>
        <v/>
      </c>
      <c r="J2388" s="1699" t="str">
        <f t="shared" si="467"/>
        <v/>
      </c>
      <c r="K2388" s="1699" t="str">
        <f t="shared" si="462"/>
        <v/>
      </c>
      <c r="L2388" s="852" t="s">
        <v>1382</v>
      </c>
      <c r="M2388" s="1703">
        <v>1400</v>
      </c>
      <c r="N2388" s="1699"/>
      <c r="R2388" s="1699" t="s">
        <v>2144</v>
      </c>
      <c r="T2388" s="1699" t="str">
        <f t="shared" si="464"/>
        <v/>
      </c>
    </row>
    <row r="2389" spans="1:20" s="1697" customFormat="1" x14ac:dyDescent="0.25">
      <c r="A2389" s="872" t="s">
        <v>1487</v>
      </c>
      <c r="B2389" s="852" t="str">
        <f t="shared" ca="1" si="465"/>
        <v>R827</v>
      </c>
      <c r="C2389" s="852" t="str">
        <f t="shared" ca="1" si="466"/>
        <v>R828</v>
      </c>
      <c r="D2389" s="852" t="s">
        <v>1350</v>
      </c>
      <c r="E2389" s="852" t="s">
        <v>1516</v>
      </c>
      <c r="F2389" s="1699" t="s">
        <v>1995</v>
      </c>
      <c r="G2389" s="1699" t="str">
        <f>IF(T2389&lt;&gt;"","G","")</f>
        <v/>
      </c>
      <c r="H2389" s="1699" t="s">
        <v>1990</v>
      </c>
      <c r="I2389" s="1307" t="str">
        <f t="shared" si="461"/>
        <v/>
      </c>
      <c r="J2389" s="1699" t="str">
        <f t="shared" si="467"/>
        <v/>
      </c>
      <c r="K2389" s="1699" t="str">
        <f t="shared" si="462"/>
        <v/>
      </c>
      <c r="L2389" s="852" t="s">
        <v>1487</v>
      </c>
      <c r="M2389" s="1703">
        <v>1401</v>
      </c>
      <c r="N2389" s="1699"/>
      <c r="R2389" s="1699" t="s">
        <v>2144</v>
      </c>
      <c r="T2389" s="1699" t="str">
        <f t="shared" si="464"/>
        <v/>
      </c>
    </row>
    <row r="2390" spans="1:20" s="1697" customFormat="1" x14ac:dyDescent="0.25">
      <c r="A2390" s="872" t="s">
        <v>1488</v>
      </c>
      <c r="B2390" s="852" t="str">
        <f t="shared" ca="1" si="465"/>
        <v>T827</v>
      </c>
      <c r="C2390" s="852" t="str">
        <f t="shared" ca="1" si="466"/>
        <v>T828</v>
      </c>
      <c r="D2390" s="852" t="s">
        <v>1350</v>
      </c>
      <c r="E2390" s="852" t="s">
        <v>1516</v>
      </c>
      <c r="F2390" s="867" t="s">
        <v>1488</v>
      </c>
      <c r="G2390" s="1699" t="str">
        <f>IF(T2390&lt;&gt;"","AW","")</f>
        <v/>
      </c>
      <c r="H2390" s="1699" t="s">
        <v>1990</v>
      </c>
      <c r="I2390" s="1307" t="str">
        <f t="shared" si="461"/>
        <v/>
      </c>
      <c r="J2390" s="1699" t="str">
        <f t="shared" si="467"/>
        <v/>
      </c>
      <c r="K2390" s="1699" t="str">
        <f t="shared" si="462"/>
        <v/>
      </c>
      <c r="L2390" s="852" t="s">
        <v>1488</v>
      </c>
      <c r="M2390" s="1703">
        <v>1402</v>
      </c>
      <c r="N2390" s="1699"/>
      <c r="R2390" s="1699" t="s">
        <v>2144</v>
      </c>
      <c r="T2390" s="1699" t="str">
        <f t="shared" si="464"/>
        <v/>
      </c>
    </row>
    <row r="2391" spans="1:20" s="1697" customFormat="1" x14ac:dyDescent="0.25">
      <c r="A2391" s="872" t="s">
        <v>1385</v>
      </c>
      <c r="B2391" s="852" t="str">
        <f ca="1">IFERROR(_xlfn.CONCAT("C",MATCH(A2391,INDIRECT("'"&amp;E2391&amp;"'!C"&amp;$O$2382&amp;":C"&amp;$O$2384),0)+$O$2382-1),"")</f>
        <v>C831</v>
      </c>
      <c r="C2391" s="852" t="str">
        <f ca="1">IFERROR(_xlfn.CONCAT("D",MATCH(A2391,INDIRECT("'"&amp;E2391&amp;"'!C"&amp;$O$2382&amp;":C"&amp;$O$2384),0)+$O$2382-1),"")</f>
        <v>D831</v>
      </c>
      <c r="D2391" s="852" t="s">
        <v>1350</v>
      </c>
      <c r="E2391" s="852" t="s">
        <v>1516</v>
      </c>
      <c r="F2391" s="1699" t="s">
        <v>1385</v>
      </c>
      <c r="G2391" s="1699" t="str">
        <f>IF(T2391&lt;&gt;"","C","")</f>
        <v/>
      </c>
      <c r="H2391" s="1699" t="s">
        <v>1990</v>
      </c>
      <c r="I2391" s="1307" t="str">
        <f t="shared" si="461"/>
        <v/>
      </c>
      <c r="J2391" s="1699"/>
      <c r="K2391" s="1699" t="str">
        <f t="shared" si="462"/>
        <v/>
      </c>
      <c r="L2391" s="852" t="s">
        <v>1385</v>
      </c>
      <c r="M2391" s="1703">
        <v>1403</v>
      </c>
      <c r="N2391" s="1699"/>
      <c r="R2391" s="1699" t="s">
        <v>2144</v>
      </c>
      <c r="T2391" s="1699" t="str">
        <f t="shared" si="464"/>
        <v/>
      </c>
    </row>
    <row r="2392" spans="1:20" s="1697" customFormat="1" x14ac:dyDescent="0.25">
      <c r="A2392" s="872" t="s">
        <v>1386</v>
      </c>
      <c r="B2392" s="852" t="str">
        <f ca="1">IFERROR(_xlfn.CONCAT("C",MATCH(A2392,INDIRECT("'"&amp;E2392&amp;"'!C"&amp;$O$2382&amp;":C"&amp;$O$2384),0)+$O$2382-1),"")</f>
        <v>C833</v>
      </c>
      <c r="C2392" s="852" t="str">
        <f ca="1">IFERROR(_xlfn.CONCAT("D",MATCH(A2392,INDIRECT("'"&amp;E2392&amp;"'!C"&amp;$O$2382&amp;":C"&amp;$O$2384),0)+$O$2382-1),"")</f>
        <v>D833</v>
      </c>
      <c r="D2392" s="852" t="s">
        <v>1350</v>
      </c>
      <c r="E2392" s="852" t="s">
        <v>1516</v>
      </c>
      <c r="F2392" s="1699" t="s">
        <v>1386</v>
      </c>
      <c r="G2392" s="1699" t="str">
        <f>IF(T2392&lt;&gt;"","D","")</f>
        <v/>
      </c>
      <c r="H2392" s="1699" t="s">
        <v>1990</v>
      </c>
      <c r="I2392" s="1307" t="str">
        <f t="shared" si="461"/>
        <v/>
      </c>
      <c r="J2392" s="1699"/>
      <c r="K2392" s="1699" t="str">
        <f t="shared" si="462"/>
        <v/>
      </c>
      <c r="L2392" s="852" t="s">
        <v>1386</v>
      </c>
      <c r="M2392" s="1703">
        <v>1404</v>
      </c>
      <c r="N2392" s="1699"/>
      <c r="R2392" s="1699" t="s">
        <v>2144</v>
      </c>
      <c r="T2392" s="1699" t="str">
        <f t="shared" si="464"/>
        <v/>
      </c>
    </row>
    <row r="2393" spans="1:20" s="1697" customFormat="1" x14ac:dyDescent="0.25">
      <c r="A2393" s="872" t="s">
        <v>1495</v>
      </c>
      <c r="B2393" s="852" t="str">
        <f ca="1">IFERROR(_xlfn.CONCAT("C",MATCH(A2393,INDIRECT("'"&amp;E2393&amp;"'!C"&amp;$O$2382&amp;":C"&amp;$O$2384),0)+$O$2382-1),"")</f>
        <v>C835</v>
      </c>
      <c r="C2393" s="852" t="str">
        <f ca="1">IFERROR(_xlfn.CONCAT("D",MATCH(A2393,INDIRECT("'"&amp;E2393&amp;"'!C"&amp;$O$2382&amp;":C"&amp;$O$2384),0)+$O$2382-1),"")</f>
        <v>D835</v>
      </c>
      <c r="D2393" s="852" t="s">
        <v>1350</v>
      </c>
      <c r="E2393" s="852" t="s">
        <v>1516</v>
      </c>
      <c r="F2393" s="1699" t="s">
        <v>1495</v>
      </c>
      <c r="G2393" s="1699" t="str">
        <f>IF(T2393&lt;&gt;"","AN","")</f>
        <v/>
      </c>
      <c r="H2393" s="1699" t="s">
        <v>1990</v>
      </c>
      <c r="I2393" s="1307" t="str">
        <f t="shared" si="461"/>
        <v/>
      </c>
      <c r="J2393" s="1699" t="str">
        <f t="shared" ref="J2393" si="468">IF(M2393&lt;&gt;"",IF($Q$540="Yes",Q$1&amp;M2393,""))</f>
        <v/>
      </c>
      <c r="K2393" s="1699" t="str">
        <f t="shared" si="462"/>
        <v/>
      </c>
      <c r="L2393" s="852" t="s">
        <v>1495</v>
      </c>
      <c r="M2393" s="1703">
        <v>1405</v>
      </c>
      <c r="N2393" s="1699"/>
      <c r="P2393" s="1699" t="str" cm="1">
        <f t="array" aca="1" ref="P2393" ca="1">_xlfn.CONCAT("F",RIGHT(B2393, LEN(B2393) - MAX(IF(ISNUMBER(MID(B2393, ROW(INDIRECT("1:"&amp;LEN(B2393))), 1) *1)=FALSE, ROW(INDIRECT("1:"&amp;LEN(B2393))), 0))))</f>
        <v>F835</v>
      </c>
      <c r="Q2393" s="1699" t="str" cm="1">
        <f t="array" aca="1" ref="Q2393" ca="1">_xlfn.CONCAT("E",RIGHT(C2393, LEN(C2393) - MAX(IF(ISNUMBER(MID(C2393, ROW(INDIRECT("1:"&amp;LEN(C2393))), 1) *1)=FALSE, ROW(INDIRECT("1:"&amp;LEN(C2393))), 0))))</f>
        <v>E835</v>
      </c>
      <c r="R2393" s="1699" t="s">
        <v>2144</v>
      </c>
      <c r="T2393" s="1699" t="str">
        <f t="shared" si="464"/>
        <v/>
      </c>
    </row>
    <row r="2394" spans="1:20" s="1697" customFormat="1" x14ac:dyDescent="0.25">
      <c r="A2394" s="872" t="s">
        <v>1389</v>
      </c>
      <c r="B2394" s="852" t="str">
        <f ca="1">_xlfn.CONCAT(IFERROR(SUBSTITUTE(ADDRESS(1,MATCH(A2394,INDIRECT("'"&amp;E2394&amp;"'"&amp;"!A" &amp; $O$2382+5 &amp; ":Z"&amp;$O$2382+5),0),4),1,""),""),$O$2382+5)</f>
        <v>H830</v>
      </c>
      <c r="C2394" s="852" t="str">
        <f ca="1">_xlfn.CONCAT(IFERROR(SUBSTITUTE(ADDRESS(1,MATCH(A2394,INDIRECT("'"&amp;E2394&amp;"'"&amp;"!A" &amp; $O$2382+5 &amp; ":Z"&amp;$O$2382+5),0),4),1,""),""),$O$2382+6)</f>
        <v>H831</v>
      </c>
      <c r="D2394" s="852" t="s">
        <v>1350</v>
      </c>
      <c r="E2394" s="852" t="s">
        <v>1516</v>
      </c>
      <c r="F2394" s="1699" t="s">
        <v>1912</v>
      </c>
      <c r="G2394" s="1699" t="str">
        <f>IF(T2394&lt;&gt;"","O","")</f>
        <v/>
      </c>
      <c r="H2394" s="1699" t="s">
        <v>1990</v>
      </c>
      <c r="I2394" s="1307" t="str">
        <f t="shared" si="461"/>
        <v/>
      </c>
      <c r="J2394" s="1699"/>
      <c r="K2394" s="1699" t="str">
        <f t="shared" si="462"/>
        <v/>
      </c>
      <c r="L2394" s="852" t="s">
        <v>1389</v>
      </c>
      <c r="M2394" s="1700">
        <v>1406</v>
      </c>
      <c r="N2394" s="1699"/>
      <c r="R2394" s="1699" t="s">
        <v>2144</v>
      </c>
      <c r="T2394" s="1699" t="str">
        <f t="shared" si="464"/>
        <v/>
      </c>
    </row>
    <row r="2395" spans="1:20" s="1697" customFormat="1" x14ac:dyDescent="0.25">
      <c r="A2395" s="1039" t="s">
        <v>523</v>
      </c>
      <c r="B2395" s="1307" t="str">
        <f>IFERROR(_xlfn.CONCAT("D",('Configurable Tab'!$C$46+1)),"")</f>
        <v>D467</v>
      </c>
      <c r="C2395" s="1307" t="str">
        <f>IFERROR(_xlfn.CONCAT("E",('Configurable Tab'!$C$46+1)),"")</f>
        <v>E467</v>
      </c>
      <c r="D2395" s="1699" t="s">
        <v>1350</v>
      </c>
      <c r="E2395" s="817" t="s">
        <v>1742</v>
      </c>
      <c r="F2395" s="1699"/>
      <c r="G2395" s="1699"/>
      <c r="H2395" s="1699"/>
      <c r="I2395" s="1307" t="str">
        <f t="shared" si="461"/>
        <v>Offer this Incentive?</v>
      </c>
      <c r="J2395" s="1699" t="str">
        <f>$Q$1&amp;T2395</f>
        <v>F</v>
      </c>
      <c r="K2395" s="1699" t="str">
        <f t="shared" si="462"/>
        <v>Incentives</v>
      </c>
      <c r="L2395" s="1699"/>
      <c r="M2395" s="1699"/>
      <c r="N2395" s="1699"/>
      <c r="O2395" s="1697" t="s">
        <v>2144</v>
      </c>
      <c r="P2395" s="18" t="str">
        <f>'Configurable Tab'!E46</f>
        <v>Yes</v>
      </c>
      <c r="Q2395" s="1307" t="str">
        <f>IFERROR(_xlfn.CONCAT("C",('Configurable Tab'!$C46+1)),"")</f>
        <v>C467</v>
      </c>
      <c r="R2395" s="1699" t="s">
        <v>2144</v>
      </c>
      <c r="T2395" s="1699" t="str">
        <f>IF(Q$2383="Yes",M2383,"")</f>
        <v/>
      </c>
    </row>
    <row r="2396" spans="1:20" s="1697" customFormat="1" x14ac:dyDescent="0.25">
      <c r="A2396" s="1040" t="s">
        <v>1383</v>
      </c>
      <c r="B2396" s="1307" t="str">
        <f>IFERROR(_xlfn.CONCAT("D",('Configurable Tab'!$C$46+2)),"")</f>
        <v>D468</v>
      </c>
      <c r="C2396" s="1307" t="str">
        <f>IFERROR(_xlfn.CONCAT("E",('Configurable Tab'!$C$46+2)),"")</f>
        <v>E468</v>
      </c>
      <c r="D2396" s="1699" t="s">
        <v>1350</v>
      </c>
      <c r="E2396" s="817" t="s">
        <v>1742</v>
      </c>
      <c r="F2396" s="1699"/>
      <c r="G2396" s="1699"/>
      <c r="H2396" s="1699"/>
      <c r="I2396" s="1307" t="str">
        <f t="shared" si="461"/>
        <v>Incentive Type</v>
      </c>
      <c r="J2396" s="1699" t="str">
        <f t="shared" ref="J2396:J2403" si="469">$Q$1&amp;T2396</f>
        <v>F</v>
      </c>
      <c r="K2396" s="1699" t="str">
        <f t="shared" si="462"/>
        <v>Incentives</v>
      </c>
      <c r="L2396" s="1699"/>
      <c r="M2396" s="1699"/>
      <c r="N2396" s="1699"/>
      <c r="R2396" s="1699" t="s">
        <v>2144</v>
      </c>
      <c r="T2396" s="1699" t="str">
        <f>IF(Q$2383="Yes",M2384,"")</f>
        <v/>
      </c>
    </row>
    <row r="2397" spans="1:20" s="1697" customFormat="1" x14ac:dyDescent="0.25">
      <c r="A2397" s="1040" t="s">
        <v>1385</v>
      </c>
      <c r="B2397" s="1307" t="str">
        <f>IFERROR(_xlfn.CONCAT("D",('Configurable Tab'!$C$46+4)),"")</f>
        <v>D470</v>
      </c>
      <c r="C2397" s="1307" t="str">
        <f>IFERROR(_xlfn.CONCAT("E",('Configurable Tab'!$C$46+4)),"")</f>
        <v>E470</v>
      </c>
      <c r="D2397" s="1699" t="s">
        <v>1350</v>
      </c>
      <c r="E2397" s="817" t="s">
        <v>1742</v>
      </c>
      <c r="F2397" s="1699"/>
      <c r="G2397" s="1699"/>
      <c r="H2397" s="1699"/>
      <c r="I2397" s="1307" t="str">
        <f t="shared" si="461"/>
        <v>Incentive Effective Date</v>
      </c>
      <c r="J2397" s="1699" t="str">
        <f t="shared" si="469"/>
        <v>F</v>
      </c>
      <c r="K2397" s="1699" t="str">
        <f t="shared" si="462"/>
        <v>Incentives</v>
      </c>
      <c r="L2397" s="1699"/>
      <c r="M2397" s="1699"/>
      <c r="N2397" s="1699"/>
      <c r="R2397" s="1699" t="s">
        <v>2144</v>
      </c>
      <c r="T2397" s="1699" t="str">
        <f>IF(Q$2383="Yes",M2391,"")</f>
        <v/>
      </c>
    </row>
    <row r="2398" spans="1:20" s="1697" customFormat="1" x14ac:dyDescent="0.25">
      <c r="A2398" s="1040" t="s">
        <v>1386</v>
      </c>
      <c r="B2398" s="1307" t="str">
        <f>IFERROR(_xlfn.CONCAT("D",('Configurable Tab'!$C$46+5)),"")</f>
        <v>D471</v>
      </c>
      <c r="C2398" s="1307" t="str">
        <f>IFERROR(_xlfn.CONCAT("E",('Configurable Tab'!$C$46+5)),"")</f>
        <v>E471</v>
      </c>
      <c r="D2398" s="1699" t="s">
        <v>1350</v>
      </c>
      <c r="E2398" s="817" t="s">
        <v>1742</v>
      </c>
      <c r="F2398" s="1699"/>
      <c r="G2398" s="1699"/>
      <c r="H2398" s="1699"/>
      <c r="I2398" s="1307" t="str">
        <f t="shared" si="461"/>
        <v>Incentive Expiration Date</v>
      </c>
      <c r="J2398" s="1699" t="str">
        <f t="shared" si="469"/>
        <v>F</v>
      </c>
      <c r="K2398" s="1699" t="str">
        <f t="shared" si="462"/>
        <v>Incentives</v>
      </c>
      <c r="L2398" s="1699"/>
      <c r="M2398" s="1699"/>
      <c r="N2398" s="1699"/>
      <c r="R2398" s="1699" t="s">
        <v>2144</v>
      </c>
      <c r="T2398" s="1699" t="str">
        <f>IF(Q$2383="Yes",M2392,"")</f>
        <v/>
      </c>
    </row>
    <row r="2399" spans="1:20" s="1697" customFormat="1" x14ac:dyDescent="0.25">
      <c r="A2399" s="1040" t="s">
        <v>1380</v>
      </c>
      <c r="B2399" s="1307" t="str">
        <f>IFERROR(_xlfn.CONCAT("G",('Configurable Tab'!$C$46+1)),"")</f>
        <v>G467</v>
      </c>
      <c r="C2399" s="1307" t="str">
        <f>IFERROR(_xlfn.CONCAT("G",('Configurable Tab'!$C$46+2)),"")</f>
        <v>G468</v>
      </c>
      <c r="D2399" s="1699" t="s">
        <v>1350</v>
      </c>
      <c r="E2399" s="817" t="s">
        <v>1742</v>
      </c>
      <c r="F2399" s="1698"/>
      <c r="G2399" s="1098"/>
      <c r="H2399" s="1699"/>
      <c r="I2399" s="1307" t="str">
        <f t="shared" si="461"/>
        <v>Incentive Period</v>
      </c>
      <c r="J2399" s="1699" t="str">
        <f t="shared" si="469"/>
        <v>F</v>
      </c>
      <c r="K2399" s="1699" t="str">
        <f t="shared" si="462"/>
        <v>Incentives</v>
      </c>
      <c r="L2399" s="1699"/>
      <c r="M2399" s="1699"/>
      <c r="N2399" s="1699"/>
      <c r="R2399" s="1699" t="s">
        <v>2144</v>
      </c>
      <c r="T2399" s="1699" t="str">
        <f>IF(Q$2383="Yes",M2385,"")</f>
        <v/>
      </c>
    </row>
    <row r="2400" spans="1:20" s="1697" customFormat="1" x14ac:dyDescent="0.25">
      <c r="A2400" s="1040" t="s">
        <v>1381</v>
      </c>
      <c r="B2400" s="1307" t="str">
        <f>IFERROR(_xlfn.CONCAT("I",('Configurable Tab'!$C$46+1)),"")</f>
        <v>I467</v>
      </c>
      <c r="C2400" s="1307" t="str">
        <f>IFERROR(_xlfn.CONCAT("I",('Configurable Tab'!$C$46+2)),"")</f>
        <v>I468</v>
      </c>
      <c r="D2400" s="1699" t="s">
        <v>1350</v>
      </c>
      <c r="E2400" s="817" t="s">
        <v>1742</v>
      </c>
      <c r="F2400" s="1699"/>
      <c r="G2400" s="1699"/>
      <c r="H2400" s="1699"/>
      <c r="I2400" s="1307" t="str">
        <f t="shared" si="461"/>
        <v>Payment Method</v>
      </c>
      <c r="J2400" s="1699" t="str">
        <f t="shared" si="469"/>
        <v>F</v>
      </c>
      <c r="K2400" s="1699" t="str">
        <f t="shared" si="462"/>
        <v>Incentives</v>
      </c>
      <c r="L2400" s="1699"/>
      <c r="M2400" s="1699"/>
      <c r="N2400" s="1699"/>
      <c r="R2400" s="1699" t="s">
        <v>2144</v>
      </c>
      <c r="T2400" s="1699" t="str">
        <f>IF(Q$2383="Yes",M2386,"")</f>
        <v/>
      </c>
    </row>
    <row r="2401" spans="1:20" s="1697" customFormat="1" x14ac:dyDescent="0.25">
      <c r="A2401" s="1040" t="s">
        <v>833</v>
      </c>
      <c r="B2401" s="1307" t="str">
        <f>IFERROR(_xlfn.CONCAT("K",('Configurable Tab'!$C$46+1)),"")</f>
        <v>K467</v>
      </c>
      <c r="C2401" s="1307" t="str">
        <f>IFERROR(_xlfn.CONCAT("K",('Configurable Tab'!$C$46+2)),"")</f>
        <v>K468</v>
      </c>
      <c r="D2401" s="1699" t="s">
        <v>1350</v>
      </c>
      <c r="E2401" s="817" t="s">
        <v>1742</v>
      </c>
      <c r="F2401" s="1699"/>
      <c r="G2401" s="1699"/>
      <c r="H2401" s="1699"/>
      <c r="I2401" s="1307" t="str">
        <f t="shared" si="461"/>
        <v>Paid to:</v>
      </c>
      <c r="J2401" s="1699" t="str">
        <f t="shared" si="469"/>
        <v>F</v>
      </c>
      <c r="K2401" s="1699" t="str">
        <f t="shared" si="462"/>
        <v>Incentives</v>
      </c>
      <c r="L2401" s="1699"/>
      <c r="M2401" s="1699"/>
      <c r="N2401" s="1699"/>
      <c r="R2401" s="1699" t="s">
        <v>2144</v>
      </c>
      <c r="T2401" s="1699" t="str">
        <f>IF(Q$2383="Yes",M2387,"")</f>
        <v/>
      </c>
    </row>
    <row r="2402" spans="1:20" s="1697" customFormat="1" x14ac:dyDescent="0.25">
      <c r="A2402" s="1040" t="s">
        <v>1382</v>
      </c>
      <c r="B2402" s="1307" t="str">
        <f>IFERROR(_xlfn.CONCAT("M",('Configurable Tab'!$C$46+1)),"")</f>
        <v>M467</v>
      </c>
      <c r="C2402" s="1307" t="str">
        <f>IFERROR(_xlfn.CONCAT("M",('Configurable Tab'!$C$46+2)),"")</f>
        <v>M468</v>
      </c>
      <c r="D2402" s="1699" t="s">
        <v>1350</v>
      </c>
      <c r="E2402" s="817" t="s">
        <v>1742</v>
      </c>
      <c r="F2402" s="1699"/>
      <c r="G2402" s="1699"/>
      <c r="H2402" s="1699"/>
      <c r="I2402" s="1307" t="str">
        <f t="shared" si="461"/>
        <v>AP/AR Vendor Number</v>
      </c>
      <c r="J2402" s="1699" t="str">
        <f t="shared" si="469"/>
        <v>F</v>
      </c>
      <c r="K2402" s="1699" t="str">
        <f t="shared" si="462"/>
        <v>Incentives</v>
      </c>
      <c r="L2402" s="1699"/>
      <c r="M2402" s="1699"/>
      <c r="N2402" s="1699"/>
      <c r="R2402" s="1699" t="s">
        <v>2144</v>
      </c>
      <c r="T2402" s="1699" t="str">
        <f>IF(Q$2383="Yes",M2388,"")</f>
        <v/>
      </c>
    </row>
    <row r="2403" spans="1:20" s="1697" customFormat="1" x14ac:dyDescent="0.25">
      <c r="A2403" s="1040" t="s">
        <v>1389</v>
      </c>
      <c r="B2403" s="1307" t="str">
        <f>IFERROR(_xlfn.CONCAT("K",('Configurable Tab'!$C$46+4)),"")</f>
        <v>K470</v>
      </c>
      <c r="C2403" s="1307" t="str">
        <f>IFERROR(_xlfn.CONCAT("K",('Configurable Tab'!$C$46+5)),"")</f>
        <v>K471</v>
      </c>
      <c r="D2403" s="1699" t="s">
        <v>1350</v>
      </c>
      <c r="E2403" s="817" t="s">
        <v>1742</v>
      </c>
      <c r="F2403" s="1699"/>
      <c r="G2403" s="1699"/>
      <c r="H2403" s="1699"/>
      <c r="I2403" s="1307" t="str">
        <f t="shared" si="461"/>
        <v>Rate % of Sales</v>
      </c>
      <c r="J2403" s="1699" t="str">
        <f t="shared" si="469"/>
        <v>F</v>
      </c>
      <c r="K2403" s="1699" t="str">
        <f t="shared" si="462"/>
        <v>Incentives</v>
      </c>
      <c r="L2403" s="1699"/>
      <c r="M2403" s="1699"/>
      <c r="N2403" s="1699"/>
      <c r="R2403" s="1699" t="s">
        <v>2144</v>
      </c>
      <c r="T2403" s="1699" t="str">
        <f>IF(Q$2383="Yes",M2394,"")</f>
        <v/>
      </c>
    </row>
    <row r="2404" spans="1:20" s="1704" customFormat="1" x14ac:dyDescent="0.25">
      <c r="A2404" s="861" t="s">
        <v>1182</v>
      </c>
      <c r="B2404" s="817" t="str">
        <f ca="1">_xlfn.IFNA(_xlfn.CONCAT(SUBSTITUTE(ADDRESS(1,MATCH(A2404,INDIRECT("'"&amp;E2404&amp;"'"&amp;"!A5:Z5"),0),4),1,""),16),"")</f>
        <v>H16</v>
      </c>
      <c r="C2404" s="817" t="str">
        <f ca="1">_xlfn.IFNA(SUBSTITUTE(ADDRESS(1,MATCH(A2404,INDIRECT("'"&amp;E2404&amp;"'"&amp;"!A5:Z5"),0),4),1,""),"")</f>
        <v>H</v>
      </c>
      <c r="D2404" s="817" t="s">
        <v>1357</v>
      </c>
      <c r="E2404" s="817" t="s">
        <v>870</v>
      </c>
      <c r="F2404" s="817"/>
      <c r="G2404" s="817"/>
      <c r="H2404" s="817"/>
      <c r="I2404" s="1307" t="str">
        <f t="shared" si="461"/>
        <v>Pyramid Segment</v>
      </c>
      <c r="J2404" s="1705" t="str">
        <f>IF(AND(P2504="",M2404&lt;&gt;""),Q$1&amp;M2404,"")</f>
        <v>F1408</v>
      </c>
      <c r="K2404" s="1705" t="str">
        <f t="shared" si="462"/>
        <v>Customer Inputs</v>
      </c>
      <c r="L2404" s="817" t="s">
        <v>1182</v>
      </c>
      <c r="M2404" s="1706">
        <v>1408</v>
      </c>
      <c r="N2404" s="817"/>
    </row>
    <row r="2405" spans="1:20" s="1704" customFormat="1" x14ac:dyDescent="0.25">
      <c r="A2405" s="862" t="s">
        <v>1262</v>
      </c>
      <c r="B2405" s="817" t="str">
        <f t="shared" ref="B2405:B2413" ca="1" si="470">_xlfn.IFNA(_xlfn.CONCAT(SUBSTITUTE(ADDRESS(1,MATCH(A2405,INDIRECT("'"&amp;E2405&amp;"'"&amp;"!A5:Z5"),0),4),1,""),16),"")</f>
        <v>I16</v>
      </c>
      <c r="C2405" s="817" t="str">
        <f ca="1">_xlfn.IFNA(SUBSTITUTE(ADDRESS(1,MATCH(A2405,INDIRECT("'"&amp;E2405&amp;"'"&amp;"!A5:Z5"),0),4),1,""),"")</f>
        <v>I</v>
      </c>
      <c r="D2405" s="817" t="s">
        <v>1357</v>
      </c>
      <c r="E2405" s="817" t="s">
        <v>870</v>
      </c>
      <c r="F2405" s="817"/>
      <c r="G2405" s="817"/>
      <c r="H2405" s="817"/>
      <c r="I2405" s="1307" t="str">
        <f t="shared" si="461"/>
        <v>Agreement Annual Purchase Commitment</v>
      </c>
      <c r="J2405" s="1705" t="str">
        <f>Q$1&amp;IF(Q2405&lt;&gt;"",M2405,M2407)</f>
        <v>F1412</v>
      </c>
      <c r="K2405" s="1705" t="str">
        <f t="shared" si="462"/>
        <v>Customer Inputs</v>
      </c>
      <c r="L2405" s="52" t="s">
        <v>1262</v>
      </c>
      <c r="M2405" s="1706">
        <v>1410</v>
      </c>
      <c r="N2405" s="817"/>
    </row>
    <row r="2406" spans="1:20" s="1704" customFormat="1" ht="30" x14ac:dyDescent="0.25">
      <c r="A2406" s="861" t="s">
        <v>1263</v>
      </c>
      <c r="B2406" s="817" t="str">
        <f t="shared" ca="1" si="470"/>
        <v>J16</v>
      </c>
      <c r="C2406" s="817" t="str">
        <f ca="1">_xlfn.IFNA(SUBSTITUTE(ADDRESS(1,MATCH(A2406,INDIRECT("'"&amp;E2406&amp;"'"&amp;"!A5:Z5"),0),4),1,""),"")</f>
        <v>J</v>
      </c>
      <c r="D2406" s="817" t="s">
        <v>1357</v>
      </c>
      <c r="E2406" s="817" t="s">
        <v>870</v>
      </c>
      <c r="F2406" s="817"/>
      <c r="G2406" s="817"/>
      <c r="H2406" s="817"/>
      <c r="I2406" s="1307" t="str">
        <f t="shared" si="461"/>
        <v>Agreement Deliveries Per Customer Unit Per Week</v>
      </c>
      <c r="J2406" s="1705" t="str">
        <f>Q$1&amp;IF(Q2406&lt;&gt;"",M2406,M2408)</f>
        <v>F1413</v>
      </c>
      <c r="K2406" s="1705" t="str">
        <f t="shared" si="462"/>
        <v>Customer Inputs</v>
      </c>
      <c r="L2406" s="817" t="s">
        <v>1263</v>
      </c>
      <c r="M2406" s="1706">
        <v>1411</v>
      </c>
      <c r="N2406" s="817"/>
    </row>
    <row r="2407" spans="1:20" s="1704" customFormat="1" x14ac:dyDescent="0.25">
      <c r="A2407" s="861" t="s">
        <v>1185</v>
      </c>
      <c r="B2407" s="817" t="str">
        <f t="shared" ca="1" si="470"/>
        <v>P16</v>
      </c>
      <c r="C2407" s="817" t="str">
        <f ca="1">IFERROR(IF('Customer Inputs'!$U$6="Existing",IF('Customer Inputs'!P2367=0,SUBSTITUTE(ADDRESS(1,MATCH(O2407,INDIRECT("'"&amp;E2407&amp;"'"&amp;"!$A$5:$Z$5"),0),4),1,""),SUBSTITUTE(ADDRESS(1,MATCH(A2407,INDIRECT("'"&amp;E2407&amp;"'"&amp;"!A$5:Z$5"),0),4),1,"")),SUBSTITUTE(ADDRESS(1,MATCH(A2407,INDIRECT("'"&amp;E2407&amp;"'"&amp;"!A$5:Z$5"),0),4),1,"")),"")</f>
        <v>P</v>
      </c>
      <c r="D2407" s="817" t="s">
        <v>1357</v>
      </c>
      <c r="E2407" s="817" t="s">
        <v>870</v>
      </c>
      <c r="F2407" s="817"/>
      <c r="G2407" s="817"/>
      <c r="H2407" s="817"/>
      <c r="I2407" s="1307" t="str">
        <f t="shared" si="461"/>
        <v/>
      </c>
      <c r="J2407" s="1705"/>
      <c r="K2407" s="1705" t="str">
        <f t="shared" si="462"/>
        <v/>
      </c>
      <c r="L2407" s="817" t="s">
        <v>1185</v>
      </c>
      <c r="M2407" s="1706">
        <v>1412</v>
      </c>
      <c r="N2407" s="817"/>
      <c r="O2407" s="1704" t="s">
        <v>868</v>
      </c>
    </row>
    <row r="2408" spans="1:20" s="1704" customFormat="1" x14ac:dyDescent="0.25">
      <c r="A2408" s="863" t="s">
        <v>1186</v>
      </c>
      <c r="B2408" s="817" t="str">
        <f t="shared" ca="1" si="470"/>
        <v>Q16</v>
      </c>
      <c r="C2408" s="817" t="str">
        <f ca="1">IFERROR(IF('Customer Inputs'!$U$6="Existing",IF('Customer Inputs'!Q2367=0,SUBSTITUTE(ADDRESS(1,MATCH(O2408,INDIRECT("'"&amp;E2408&amp;"'"&amp;"!$A$5:$Z$5"),0),4),1,""),SUBSTITUTE(ADDRESS(1,MATCH(A2408,INDIRECT("'"&amp;E2408&amp;"'"&amp;"!A$5:Z$5"),0),4),1,"")),SUBSTITUTE(ADDRESS(1,MATCH(A2408,INDIRECT("'"&amp;E2408&amp;"'"&amp;"!A$5:Z$5"),0),4),1,"")),"")</f>
        <v>Q</v>
      </c>
      <c r="D2408" s="817" t="s">
        <v>1357</v>
      </c>
      <c r="E2408" s="817" t="s">
        <v>870</v>
      </c>
      <c r="F2408" s="817"/>
      <c r="G2408" s="817"/>
      <c r="H2408" s="817"/>
      <c r="I2408" s="1307" t="str">
        <f t="shared" si="461"/>
        <v/>
      </c>
      <c r="J2408" s="1705"/>
      <c r="K2408" s="1705" t="str">
        <f t="shared" si="462"/>
        <v/>
      </c>
      <c r="L2408" s="851" t="s">
        <v>1186</v>
      </c>
      <c r="M2408" s="1706">
        <v>1413</v>
      </c>
      <c r="N2408" s="817"/>
      <c r="O2408" s="1704" t="s">
        <v>1183</v>
      </c>
    </row>
    <row r="2409" spans="1:20" s="1704" customFormat="1" x14ac:dyDescent="0.25">
      <c r="A2409" s="863" t="s">
        <v>1187</v>
      </c>
      <c r="B2409" s="817" t="str">
        <f t="shared" ca="1" si="470"/>
        <v>R16</v>
      </c>
      <c r="C2409" s="817" t="str">
        <f ca="1">IFERROR(IF('Customer Inputs'!$U$6="Existing",IF('Customer Inputs'!R2367=0,SUBSTITUTE(ADDRESS(1,MATCH(O2409,INDIRECT("'"&amp;E2409&amp;"'"&amp;"!$A$5:$Z$5"),0),4),1,""),SUBSTITUTE(ADDRESS(1,MATCH(A2409,INDIRECT("'"&amp;E2409&amp;"'"&amp;"!A$5:Z$5"),0),4),1,"")),SUBSTITUTE(ADDRESS(1,MATCH(A2409,INDIRECT("'"&amp;E2409&amp;"'"&amp;"!A$5:Z$5"),0),4),1,"")),"")</f>
        <v>R</v>
      </c>
      <c r="D2409" s="817" t="s">
        <v>1357</v>
      </c>
      <c r="E2409" s="817" t="s">
        <v>870</v>
      </c>
      <c r="F2409" s="817"/>
      <c r="G2409" s="817"/>
      <c r="H2409" s="817"/>
      <c r="I2409" s="1307" t="str">
        <f t="shared" si="461"/>
        <v/>
      </c>
      <c r="J2409" s="1705"/>
      <c r="K2409" s="1705" t="str">
        <f t="shared" si="462"/>
        <v/>
      </c>
      <c r="L2409" s="851" t="s">
        <v>1187</v>
      </c>
      <c r="M2409" s="1706">
        <v>1414</v>
      </c>
      <c r="N2409" s="817"/>
      <c r="O2409" s="1704" t="s">
        <v>1190</v>
      </c>
    </row>
    <row r="2410" spans="1:20" s="1704" customFormat="1" x14ac:dyDescent="0.25">
      <c r="A2410" s="863" t="s">
        <v>1188</v>
      </c>
      <c r="B2410" s="817" t="str">
        <f t="shared" ca="1" si="470"/>
        <v>T16</v>
      </c>
      <c r="C2410" s="817" t="str">
        <f ca="1">IFERROR(IF('Customer Inputs'!$U$6="Existing",IF('Customer Inputs'!T2367=0,SUBSTITUTE(ADDRESS(1,MATCH(O2410,INDIRECT("'"&amp;E2410&amp;"'"&amp;"!$A$5:$Z$5"),0),4),1,""),SUBSTITUTE(ADDRESS(1,MATCH(A2410,INDIRECT("'"&amp;E2410&amp;"'"&amp;"!A$5:Z$5"),0),4),1,"")),SUBSTITUTE(ADDRESS(1,MATCH(A2410,INDIRECT("'"&amp;E2410&amp;"'"&amp;"!A$5:Z$5"),0),4),1,"")),"")</f>
        <v>T</v>
      </c>
      <c r="D2410" s="817" t="s">
        <v>1357</v>
      </c>
      <c r="E2410" s="817" t="s">
        <v>870</v>
      </c>
      <c r="F2410" s="817"/>
      <c r="G2410" s="817"/>
      <c r="H2410" s="817"/>
      <c r="I2410" s="1307" t="str">
        <f t="shared" si="461"/>
        <v/>
      </c>
      <c r="J2410" s="1705"/>
      <c r="K2410" s="1705" t="str">
        <f t="shared" si="462"/>
        <v/>
      </c>
      <c r="L2410" s="851" t="s">
        <v>1188</v>
      </c>
      <c r="M2410" s="1706">
        <v>1415</v>
      </c>
      <c r="N2410" s="817"/>
      <c r="O2410" s="1704" t="s">
        <v>1184</v>
      </c>
    </row>
    <row r="2411" spans="1:20" s="1704" customFormat="1" x14ac:dyDescent="0.25">
      <c r="A2411" s="863" t="s">
        <v>1189</v>
      </c>
      <c r="B2411" s="817" t="str">
        <f t="shared" ca="1" si="470"/>
        <v>U16</v>
      </c>
      <c r="C2411" s="817" t="str">
        <f ca="1">_xlfn.IFNA(SUBSTITUTE(ADDRESS(1,MATCH(A2411,INDIRECT("'"&amp;E2411&amp;"'"&amp;"!A5:Z5"),0),4),1,""),"")</f>
        <v>U</v>
      </c>
      <c r="D2411" s="817" t="s">
        <v>1357</v>
      </c>
      <c r="E2411" s="817" t="s">
        <v>870</v>
      </c>
      <c r="F2411" s="817"/>
      <c r="G2411" s="817"/>
      <c r="H2411" s="817"/>
      <c r="I2411" s="1307" t="str">
        <f t="shared" si="461"/>
        <v/>
      </c>
      <c r="J2411" s="1705"/>
      <c r="K2411" s="1705" t="str">
        <f t="shared" si="462"/>
        <v/>
      </c>
      <c r="L2411" s="851" t="s">
        <v>1189</v>
      </c>
      <c r="M2411" s="1706">
        <v>1416</v>
      </c>
      <c r="N2411" s="817"/>
    </row>
    <row r="2412" spans="1:20" s="1704" customFormat="1" x14ac:dyDescent="0.25">
      <c r="A2412" s="863" t="s">
        <v>1339</v>
      </c>
      <c r="B2412" s="817" t="str">
        <f t="shared" ca="1" si="470"/>
        <v>V16</v>
      </c>
      <c r="C2412" s="817" t="str">
        <f ca="1">_xlfn.IFNA(SUBSTITUTE(ADDRESS(1,MATCH(A2412,INDIRECT("'"&amp;E2412&amp;"'"&amp;"!A5:Z5"),0),4),1,""),"")</f>
        <v>V</v>
      </c>
      <c r="D2412" s="817" t="s">
        <v>1357</v>
      </c>
      <c r="E2412" s="817" t="s">
        <v>870</v>
      </c>
      <c r="F2412" s="817"/>
      <c r="G2412" s="817"/>
      <c r="H2412" s="817"/>
      <c r="I2412" s="1307" t="str">
        <f t="shared" si="461"/>
        <v/>
      </c>
      <c r="J2412" s="1705"/>
      <c r="K2412" s="1705" t="str">
        <f t="shared" si="462"/>
        <v/>
      </c>
      <c r="L2412" s="851" t="s">
        <v>1428</v>
      </c>
      <c r="M2412" s="1706">
        <v>1417</v>
      </c>
      <c r="N2412" s="817"/>
    </row>
    <row r="2413" spans="1:20" s="1704" customFormat="1" x14ac:dyDescent="0.25">
      <c r="A2413" s="863" t="s">
        <v>1631</v>
      </c>
      <c r="B2413" s="817" t="str">
        <f t="shared" ca="1" si="470"/>
        <v>W16</v>
      </c>
      <c r="C2413" s="817" t="str">
        <f ca="1">_xlfn.IFNA(SUBSTITUTE(ADDRESS(1,MATCH(A2413,INDIRECT("'"&amp;E2413&amp;"'"&amp;"!A5:Z5"),0),4),1,""),"")</f>
        <v>W</v>
      </c>
      <c r="D2413" s="817" t="s">
        <v>1357</v>
      </c>
      <c r="E2413" s="817" t="s">
        <v>870</v>
      </c>
      <c r="F2413" s="817"/>
      <c r="G2413" s="817"/>
      <c r="H2413" s="817"/>
      <c r="I2413" s="1307" t="str">
        <f t="shared" si="461"/>
        <v>Add or End Customer</v>
      </c>
      <c r="J2413" s="1705" t="str">
        <f t="shared" ref="J2413" si="471">IF(M2413&lt;&gt;"",Q$1&amp;M2413,"")</f>
        <v>F1418</v>
      </c>
      <c r="K2413" s="1705" t="str">
        <f t="shared" si="462"/>
        <v>Customer Inputs</v>
      </c>
      <c r="L2413" s="851" t="s">
        <v>1631</v>
      </c>
      <c r="M2413" s="1705">
        <v>1418</v>
      </c>
      <c r="N2413" s="817"/>
    </row>
    <row r="2414" spans="1:20" s="1704" customFormat="1" x14ac:dyDescent="0.25">
      <c r="A2414" s="864" t="s">
        <v>1182</v>
      </c>
      <c r="B2414" s="817" t="str">
        <f ca="1">_xlfn.IFNA(_xlfn.CONCAT(SUBSTITUTE(ADDRESS(1,MATCH(A2414,INDIRECT("'"&amp;E2414&amp;"'"&amp;"!A5:Z5"),0),4),1,""),17),"")</f>
        <v>H17</v>
      </c>
      <c r="C2414" s="817" t="str">
        <f t="shared" ref="C2414:C2416" ca="1" si="472">_xlfn.IFNA(SUBSTITUTE(ADDRESS(1,MATCH(A2414,INDIRECT("'"&amp;E2414&amp;"'"&amp;"!A5:Z5"),0),4),1,""),"")</f>
        <v>H</v>
      </c>
      <c r="D2414" s="817" t="s">
        <v>1357</v>
      </c>
      <c r="E2414" s="817" t="s">
        <v>870</v>
      </c>
      <c r="F2414" s="817"/>
      <c r="G2414" s="817"/>
      <c r="H2414" s="817"/>
      <c r="I2414" s="1307" t="str">
        <f t="shared" si="461"/>
        <v>Pyramid Segment</v>
      </c>
      <c r="J2414" s="1705" t="str">
        <f>IF(AND(P2505="",M2414&lt;&gt;""),Q$1&amp;M2414,"")</f>
        <v>F1429</v>
      </c>
      <c r="K2414" s="1705" t="str">
        <f t="shared" si="462"/>
        <v>Customer Inputs</v>
      </c>
      <c r="L2414" s="817" t="s">
        <v>1182</v>
      </c>
      <c r="M2414" s="1705">
        <v>1429</v>
      </c>
      <c r="N2414" s="817"/>
    </row>
    <row r="2415" spans="1:20" s="1704" customFormat="1" x14ac:dyDescent="0.25">
      <c r="A2415" s="865" t="s">
        <v>1262</v>
      </c>
      <c r="B2415" s="817" t="str">
        <f t="shared" ref="B2415:B2423" ca="1" si="473">_xlfn.IFNA(_xlfn.CONCAT(SUBSTITUTE(ADDRESS(1,MATCH(A2415,INDIRECT("'"&amp;E2415&amp;"'"&amp;"!A5:Z5"),0),4),1,""),17),"")</f>
        <v>I17</v>
      </c>
      <c r="C2415" s="817" t="str">
        <f t="shared" ca="1" si="472"/>
        <v>I</v>
      </c>
      <c r="D2415" s="817" t="s">
        <v>1357</v>
      </c>
      <c r="E2415" s="817" t="s">
        <v>870</v>
      </c>
      <c r="F2415" s="817"/>
      <c r="G2415" s="817"/>
      <c r="H2415" s="817"/>
      <c r="I2415" s="1307" t="str">
        <f t="shared" si="461"/>
        <v>Agreement Annual Purchase Commitment</v>
      </c>
      <c r="J2415" s="1705" t="str">
        <f>Q$1&amp;IF(Q2415&lt;&gt;"",M2415,M2417)</f>
        <v>F1433</v>
      </c>
      <c r="K2415" s="1705" t="str">
        <f t="shared" si="462"/>
        <v>Customer Inputs</v>
      </c>
      <c r="L2415" s="52" t="s">
        <v>1262</v>
      </c>
      <c r="M2415" s="1705">
        <v>1431</v>
      </c>
      <c r="N2415" s="817"/>
    </row>
    <row r="2416" spans="1:20" s="1704" customFormat="1" ht="30" x14ac:dyDescent="0.25">
      <c r="A2416" s="864" t="s">
        <v>1263</v>
      </c>
      <c r="B2416" s="817" t="str">
        <f t="shared" ca="1" si="473"/>
        <v>J17</v>
      </c>
      <c r="C2416" s="817" t="str">
        <f t="shared" ca="1" si="472"/>
        <v>J</v>
      </c>
      <c r="D2416" s="817" t="s">
        <v>1357</v>
      </c>
      <c r="E2416" s="817" t="s">
        <v>870</v>
      </c>
      <c r="F2416" s="817"/>
      <c r="G2416" s="817"/>
      <c r="H2416" s="817"/>
      <c r="I2416" s="1307" t="str">
        <f t="shared" si="461"/>
        <v>Agreement Deliveries Per Customer Unit Per Week</v>
      </c>
      <c r="J2416" s="1705" t="str">
        <f>Q$1&amp;IF(Q2416&lt;&gt;"",M2416,M2418)</f>
        <v>F1434</v>
      </c>
      <c r="K2416" s="1705" t="str">
        <f t="shared" si="462"/>
        <v>Customer Inputs</v>
      </c>
      <c r="L2416" s="817" t="s">
        <v>1263</v>
      </c>
      <c r="M2416" s="1705">
        <v>1432</v>
      </c>
      <c r="N2416" s="817"/>
    </row>
    <row r="2417" spans="1:15" s="1704" customFormat="1" x14ac:dyDescent="0.25">
      <c r="A2417" s="864" t="s">
        <v>1185</v>
      </c>
      <c r="B2417" s="817" t="str">
        <f t="shared" ca="1" si="473"/>
        <v>P17</v>
      </c>
      <c r="C2417" s="817" t="str">
        <f ca="1">IFERROR(IF('Customer Inputs'!$U$7="Existing",IF('Customer Inputs'!P2368=0,SUBSTITUTE(ADDRESS(1,MATCH(O2417,INDIRECT("'"&amp;E2417&amp;"'"&amp;"!$A$5:$Z$5"),0),4),1,""),SUBSTITUTE(ADDRESS(1,MATCH(A2417,INDIRECT("'"&amp;E2417&amp;"'"&amp;"!A$5:Z$5"),0),4),1,"")),SUBSTITUTE(ADDRESS(1,MATCH(A2417,INDIRECT("'"&amp;E2417&amp;"'"&amp;"!A$5:Z$5"),0),4),1,"")),"")</f>
        <v>P</v>
      </c>
      <c r="D2417" s="817" t="s">
        <v>1357</v>
      </c>
      <c r="E2417" s="817" t="s">
        <v>870</v>
      </c>
      <c r="F2417" s="817"/>
      <c r="G2417" s="817"/>
      <c r="H2417" s="817"/>
      <c r="I2417" s="1307" t="str">
        <f t="shared" si="461"/>
        <v/>
      </c>
      <c r="J2417" s="1705"/>
      <c r="K2417" s="1705" t="str">
        <f t="shared" si="462"/>
        <v/>
      </c>
      <c r="L2417" s="817" t="s">
        <v>1185</v>
      </c>
      <c r="M2417" s="1705">
        <v>1433</v>
      </c>
      <c r="N2417" s="817"/>
      <c r="O2417" s="1704" t="s">
        <v>868</v>
      </c>
    </row>
    <row r="2418" spans="1:15" s="1704" customFormat="1" x14ac:dyDescent="0.25">
      <c r="A2418" s="866" t="s">
        <v>1186</v>
      </c>
      <c r="B2418" s="817" t="str">
        <f t="shared" ca="1" si="473"/>
        <v>Q17</v>
      </c>
      <c r="C2418" s="817" t="str">
        <f ca="1">IFERROR(IF('Customer Inputs'!$U$7="Existing",IF('Customer Inputs'!Q2368=0,SUBSTITUTE(ADDRESS(1,MATCH(O2418,INDIRECT("'"&amp;E2418&amp;"'"&amp;"!$A$5:$Z$5"),0),4),1,""),SUBSTITUTE(ADDRESS(1,MATCH(A2418,INDIRECT("'"&amp;E2418&amp;"'"&amp;"!A$5:Z$5"),0),4),1,"")),SUBSTITUTE(ADDRESS(1,MATCH(A2418,INDIRECT("'"&amp;E2418&amp;"'"&amp;"!A$5:Z$5"),0),4),1,"")),"")</f>
        <v>Q</v>
      </c>
      <c r="D2418" s="817" t="s">
        <v>1357</v>
      </c>
      <c r="E2418" s="817" t="s">
        <v>870</v>
      </c>
      <c r="F2418" s="817"/>
      <c r="G2418" s="817"/>
      <c r="H2418" s="817"/>
      <c r="I2418" s="1307" t="str">
        <f t="shared" si="461"/>
        <v/>
      </c>
      <c r="J2418" s="1705"/>
      <c r="K2418" s="1705" t="str">
        <f t="shared" si="462"/>
        <v/>
      </c>
      <c r="L2418" s="851" t="s">
        <v>1186</v>
      </c>
      <c r="M2418" s="1705">
        <v>1434</v>
      </c>
      <c r="N2418" s="817"/>
      <c r="O2418" s="1704" t="s">
        <v>1183</v>
      </c>
    </row>
    <row r="2419" spans="1:15" s="1704" customFormat="1" x14ac:dyDescent="0.25">
      <c r="A2419" s="866" t="s">
        <v>1187</v>
      </c>
      <c r="B2419" s="817" t="str">
        <f t="shared" ca="1" si="473"/>
        <v>R17</v>
      </c>
      <c r="C2419" s="817" t="str">
        <f ca="1">IFERROR(IF('Customer Inputs'!$U$7="Existing",IF('Customer Inputs'!R2368=0,SUBSTITUTE(ADDRESS(1,MATCH(O2419,INDIRECT("'"&amp;E2419&amp;"'"&amp;"!$A$5:$Z$5"),0),4),1,""),SUBSTITUTE(ADDRESS(1,MATCH(A2419,INDIRECT("'"&amp;E2419&amp;"'"&amp;"!A$5:Z$5"),0),4),1,"")),SUBSTITUTE(ADDRESS(1,MATCH(A2419,INDIRECT("'"&amp;E2419&amp;"'"&amp;"!A$5:Z$5"),0),4),1,"")),"")</f>
        <v>R</v>
      </c>
      <c r="D2419" s="817" t="s">
        <v>1357</v>
      </c>
      <c r="E2419" s="817" t="s">
        <v>870</v>
      </c>
      <c r="F2419" s="817"/>
      <c r="G2419" s="817"/>
      <c r="H2419" s="817"/>
      <c r="I2419" s="1307" t="str">
        <f t="shared" si="461"/>
        <v/>
      </c>
      <c r="J2419" s="1705"/>
      <c r="K2419" s="1705" t="str">
        <f t="shared" si="462"/>
        <v/>
      </c>
      <c r="L2419" s="851" t="s">
        <v>1187</v>
      </c>
      <c r="M2419" s="1705">
        <v>1435</v>
      </c>
      <c r="N2419" s="817"/>
      <c r="O2419" s="1704" t="s">
        <v>1190</v>
      </c>
    </row>
    <row r="2420" spans="1:15" s="1704" customFormat="1" x14ac:dyDescent="0.25">
      <c r="A2420" s="866" t="s">
        <v>1188</v>
      </c>
      <c r="B2420" s="817" t="str">
        <f t="shared" ca="1" si="473"/>
        <v>T17</v>
      </c>
      <c r="C2420" s="817" t="str">
        <f ca="1">IFERROR(IF('Customer Inputs'!$U$7="Existing",IF('Customer Inputs'!T2368=0,SUBSTITUTE(ADDRESS(1,MATCH(O2420,INDIRECT("'"&amp;E2420&amp;"'"&amp;"!$A$5:$Z$5"),0),4),1,""),SUBSTITUTE(ADDRESS(1,MATCH(A2420,INDIRECT("'"&amp;E2420&amp;"'"&amp;"!A$5:Z$5"),0),4),1,"")),SUBSTITUTE(ADDRESS(1,MATCH(A2420,INDIRECT("'"&amp;E2420&amp;"'"&amp;"!A$5:Z$5"),0),4),1,"")),"")</f>
        <v>T</v>
      </c>
      <c r="D2420" s="817" t="s">
        <v>1357</v>
      </c>
      <c r="E2420" s="817" t="s">
        <v>870</v>
      </c>
      <c r="F2420" s="817"/>
      <c r="G2420" s="817"/>
      <c r="H2420" s="817"/>
      <c r="I2420" s="1307" t="str">
        <f t="shared" si="461"/>
        <v/>
      </c>
      <c r="J2420" s="1705"/>
      <c r="K2420" s="1705" t="str">
        <f t="shared" si="462"/>
        <v/>
      </c>
      <c r="L2420" s="851" t="s">
        <v>1188</v>
      </c>
      <c r="M2420" s="1705">
        <v>1436</v>
      </c>
      <c r="N2420" s="817"/>
      <c r="O2420" s="1704" t="s">
        <v>1184</v>
      </c>
    </row>
    <row r="2421" spans="1:15" s="1704" customFormat="1" x14ac:dyDescent="0.25">
      <c r="A2421" s="866" t="s">
        <v>1189</v>
      </c>
      <c r="B2421" s="817" t="str">
        <f t="shared" ca="1" si="473"/>
        <v>U17</v>
      </c>
      <c r="C2421" s="817" t="str">
        <f t="shared" ref="C2421:C2426" ca="1" si="474">_xlfn.IFNA(SUBSTITUTE(ADDRESS(1,MATCH(A2421,INDIRECT("'"&amp;E2421&amp;"'"&amp;"!A5:Z5"),0),4),1,""),"")</f>
        <v>U</v>
      </c>
      <c r="D2421" s="817" t="s">
        <v>1357</v>
      </c>
      <c r="E2421" s="817" t="s">
        <v>870</v>
      </c>
      <c r="F2421" s="817"/>
      <c r="G2421" s="817"/>
      <c r="H2421" s="817"/>
      <c r="I2421" s="1307" t="str">
        <f t="shared" si="461"/>
        <v/>
      </c>
      <c r="J2421" s="1705"/>
      <c r="K2421" s="1705" t="str">
        <f t="shared" si="462"/>
        <v/>
      </c>
      <c r="L2421" s="851" t="s">
        <v>1189</v>
      </c>
      <c r="M2421" s="1705">
        <v>1437</v>
      </c>
      <c r="N2421" s="817"/>
    </row>
    <row r="2422" spans="1:15" s="1704" customFormat="1" x14ac:dyDescent="0.25">
      <c r="A2422" s="866" t="s">
        <v>1339</v>
      </c>
      <c r="B2422" s="817" t="str">
        <f t="shared" ca="1" si="473"/>
        <v>V17</v>
      </c>
      <c r="C2422" s="817" t="str">
        <f t="shared" ca="1" si="474"/>
        <v>V</v>
      </c>
      <c r="D2422" s="817" t="s">
        <v>1357</v>
      </c>
      <c r="E2422" s="817" t="s">
        <v>870</v>
      </c>
      <c r="F2422" s="817"/>
      <c r="G2422" s="817"/>
      <c r="H2422" s="817"/>
      <c r="I2422" s="1307" t="str">
        <f t="shared" si="461"/>
        <v/>
      </c>
      <c r="J2422" s="1705"/>
      <c r="K2422" s="1705" t="str">
        <f t="shared" si="462"/>
        <v/>
      </c>
      <c r="L2422" s="851" t="s">
        <v>1428</v>
      </c>
      <c r="M2422" s="1705">
        <v>1438</v>
      </c>
      <c r="N2422" s="817"/>
    </row>
    <row r="2423" spans="1:15" s="1704" customFormat="1" x14ac:dyDescent="0.25">
      <c r="A2423" s="866" t="s">
        <v>1631</v>
      </c>
      <c r="B2423" s="817" t="str">
        <f t="shared" ca="1" si="473"/>
        <v>W17</v>
      </c>
      <c r="C2423" s="817" t="str">
        <f t="shared" ca="1" si="474"/>
        <v>W</v>
      </c>
      <c r="D2423" s="817" t="s">
        <v>1357</v>
      </c>
      <c r="E2423" s="817" t="s">
        <v>870</v>
      </c>
      <c r="F2423" s="817"/>
      <c r="G2423" s="817"/>
      <c r="H2423" s="817"/>
      <c r="I2423" s="1307" t="str">
        <f t="shared" si="461"/>
        <v>Add or End Customer</v>
      </c>
      <c r="J2423" s="1705" t="str">
        <f t="shared" ref="J2423" si="475">IF(M2423&lt;&gt;"",Q$1&amp;M2423,"")</f>
        <v>F1439</v>
      </c>
      <c r="K2423" s="1705" t="str">
        <f t="shared" si="462"/>
        <v>Customer Inputs</v>
      </c>
      <c r="L2423" s="851" t="s">
        <v>1631</v>
      </c>
      <c r="M2423" s="1705">
        <v>1439</v>
      </c>
      <c r="N2423" s="817"/>
    </row>
    <row r="2424" spans="1:15" s="1704" customFormat="1" x14ac:dyDescent="0.25">
      <c r="A2424" s="861" t="s">
        <v>1182</v>
      </c>
      <c r="B2424" s="817" t="str">
        <f ca="1">_xlfn.IFNA(_xlfn.CONCAT(SUBSTITUTE(ADDRESS(1,MATCH(A2424,INDIRECT("'"&amp;E2424&amp;"'"&amp;"!A5:Z5"),0),4),1,""),18),"")</f>
        <v>H18</v>
      </c>
      <c r="C2424" s="817" t="str">
        <f t="shared" ca="1" si="474"/>
        <v>H</v>
      </c>
      <c r="D2424" s="817" t="s">
        <v>1357</v>
      </c>
      <c r="E2424" s="817" t="s">
        <v>870</v>
      </c>
      <c r="F2424" s="817"/>
      <c r="G2424" s="817"/>
      <c r="H2424" s="817"/>
      <c r="I2424" s="1307" t="str">
        <f t="shared" si="461"/>
        <v>Pyramid Segment</v>
      </c>
      <c r="J2424" s="1705" t="str">
        <f>IF(AND(P2506="",M2424&lt;&gt;""),Q$1&amp;M2424,"")</f>
        <v>F1450</v>
      </c>
      <c r="K2424" s="1705" t="str">
        <f t="shared" si="462"/>
        <v>Customer Inputs</v>
      </c>
      <c r="L2424" s="817" t="s">
        <v>1182</v>
      </c>
      <c r="M2424" s="1705">
        <v>1450</v>
      </c>
      <c r="N2424" s="817"/>
    </row>
    <row r="2425" spans="1:15" s="1704" customFormat="1" x14ac:dyDescent="0.25">
      <c r="A2425" s="862" t="s">
        <v>1262</v>
      </c>
      <c r="B2425" s="817" t="str">
        <f t="shared" ref="B2425:B2433" ca="1" si="476">_xlfn.IFNA(_xlfn.CONCAT(SUBSTITUTE(ADDRESS(1,MATCH(A2425,INDIRECT("'"&amp;E2425&amp;"'"&amp;"!A5:Z5"),0),4),1,""),18),"")</f>
        <v>I18</v>
      </c>
      <c r="C2425" s="817" t="str">
        <f t="shared" ca="1" si="474"/>
        <v>I</v>
      </c>
      <c r="D2425" s="817" t="s">
        <v>1357</v>
      </c>
      <c r="E2425" s="817" t="s">
        <v>870</v>
      </c>
      <c r="F2425" s="817"/>
      <c r="G2425" s="817"/>
      <c r="H2425" s="817"/>
      <c r="I2425" s="1307" t="str">
        <f t="shared" si="461"/>
        <v>Agreement Annual Purchase Commitment</v>
      </c>
      <c r="J2425" s="1705" t="str">
        <f>Q$1&amp;IF(Q2425&lt;&gt;"",M2425,M2427)</f>
        <v>F1454</v>
      </c>
      <c r="K2425" s="1705" t="str">
        <f t="shared" si="462"/>
        <v>Customer Inputs</v>
      </c>
      <c r="L2425" s="52" t="s">
        <v>1262</v>
      </c>
      <c r="M2425" s="1705">
        <v>1452</v>
      </c>
      <c r="N2425" s="817"/>
    </row>
    <row r="2426" spans="1:15" s="1704" customFormat="1" ht="30" x14ac:dyDescent="0.25">
      <c r="A2426" s="861" t="s">
        <v>1263</v>
      </c>
      <c r="B2426" s="817" t="str">
        <f t="shared" ca="1" si="476"/>
        <v>J18</v>
      </c>
      <c r="C2426" s="817" t="str">
        <f t="shared" ca="1" si="474"/>
        <v>J</v>
      </c>
      <c r="D2426" s="817" t="s">
        <v>1357</v>
      </c>
      <c r="E2426" s="817" t="s">
        <v>870</v>
      </c>
      <c r="F2426" s="817"/>
      <c r="G2426" s="817"/>
      <c r="H2426" s="817"/>
      <c r="I2426" s="1307" t="str">
        <f t="shared" si="461"/>
        <v>Agreement Deliveries Per Customer Unit Per Week</v>
      </c>
      <c r="J2426" s="1705" t="str">
        <f>Q$1&amp;IF(Q2426&lt;&gt;"",M2426,M2428)</f>
        <v>F1455</v>
      </c>
      <c r="K2426" s="1705" t="str">
        <f t="shared" si="462"/>
        <v>Customer Inputs</v>
      </c>
      <c r="L2426" s="817" t="s">
        <v>1263</v>
      </c>
      <c r="M2426" s="1705">
        <v>1453</v>
      </c>
      <c r="N2426" s="817"/>
    </row>
    <row r="2427" spans="1:15" s="1704" customFormat="1" x14ac:dyDescent="0.25">
      <c r="A2427" s="861" t="s">
        <v>1185</v>
      </c>
      <c r="B2427" s="817" t="str">
        <f t="shared" ca="1" si="476"/>
        <v>P18</v>
      </c>
      <c r="C2427" s="817" t="str">
        <f ca="1">IFERROR(IF('Customer Inputs'!$U$8="Existing",IF('Customer Inputs'!P2369=0,SUBSTITUTE(ADDRESS(1,MATCH(O2427,INDIRECT("'"&amp;E2427&amp;"'"&amp;"!$A$5:$Z$5"),0),4),1,""),SUBSTITUTE(ADDRESS(1,MATCH(A2427,INDIRECT("'"&amp;E2427&amp;"'"&amp;"!A$5:Z$5"),0),4),1,"")),SUBSTITUTE(ADDRESS(1,MATCH(A2427,INDIRECT("'"&amp;E2427&amp;"'"&amp;"!A$5:Z$5"),0),4),1,"")),"")</f>
        <v>P</v>
      </c>
      <c r="D2427" s="817" t="s">
        <v>1357</v>
      </c>
      <c r="E2427" s="817" t="s">
        <v>870</v>
      </c>
      <c r="F2427" s="817"/>
      <c r="G2427" s="817"/>
      <c r="H2427" s="817"/>
      <c r="I2427" s="1307" t="str">
        <f t="shared" si="461"/>
        <v/>
      </c>
      <c r="J2427" s="1705"/>
      <c r="K2427" s="1705" t="str">
        <f t="shared" si="462"/>
        <v/>
      </c>
      <c r="L2427" s="817" t="s">
        <v>1185</v>
      </c>
      <c r="M2427" s="1705">
        <v>1454</v>
      </c>
      <c r="N2427" s="817"/>
      <c r="O2427" s="1704" t="s">
        <v>868</v>
      </c>
    </row>
    <row r="2428" spans="1:15" s="1704" customFormat="1" x14ac:dyDescent="0.25">
      <c r="A2428" s="863" t="s">
        <v>1186</v>
      </c>
      <c r="B2428" s="817" t="str">
        <f t="shared" ca="1" si="476"/>
        <v>Q18</v>
      </c>
      <c r="C2428" s="817" t="str">
        <f ca="1">IFERROR(IF('Customer Inputs'!$U$8="Existing",IF('Customer Inputs'!Q2369=0,SUBSTITUTE(ADDRESS(1,MATCH(O2428,INDIRECT("'"&amp;E2428&amp;"'"&amp;"!$A$5:$Z$5"),0),4),1,""),SUBSTITUTE(ADDRESS(1,MATCH(A2428,INDIRECT("'"&amp;E2428&amp;"'"&amp;"!A$5:Z$5"),0),4),1,"")),SUBSTITUTE(ADDRESS(1,MATCH(A2428,INDIRECT("'"&amp;E2428&amp;"'"&amp;"!A$5:Z$5"),0),4),1,"")),"")</f>
        <v>Q</v>
      </c>
      <c r="D2428" s="817" t="s">
        <v>1357</v>
      </c>
      <c r="E2428" s="817" t="s">
        <v>870</v>
      </c>
      <c r="F2428" s="817"/>
      <c r="G2428" s="817"/>
      <c r="H2428" s="817"/>
      <c r="I2428" s="1307" t="str">
        <f t="shared" si="461"/>
        <v/>
      </c>
      <c r="J2428" s="1705"/>
      <c r="K2428" s="1705" t="str">
        <f t="shared" si="462"/>
        <v/>
      </c>
      <c r="L2428" s="851" t="s">
        <v>1186</v>
      </c>
      <c r="M2428" s="1705">
        <v>1455</v>
      </c>
      <c r="N2428" s="817"/>
      <c r="O2428" s="1704" t="s">
        <v>1183</v>
      </c>
    </row>
    <row r="2429" spans="1:15" s="1704" customFormat="1" x14ac:dyDescent="0.25">
      <c r="A2429" s="863" t="s">
        <v>1187</v>
      </c>
      <c r="B2429" s="817" t="str">
        <f t="shared" ca="1" si="476"/>
        <v>R18</v>
      </c>
      <c r="C2429" s="817" t="str">
        <f ca="1">IFERROR(IF('Customer Inputs'!$U$8="Existing",IF('Customer Inputs'!R2369=0,SUBSTITUTE(ADDRESS(1,MATCH(O2429,INDIRECT("'"&amp;E2429&amp;"'"&amp;"!$A$5:$Z$5"),0),4),1,""),SUBSTITUTE(ADDRESS(1,MATCH(A2429,INDIRECT("'"&amp;E2429&amp;"'"&amp;"!A$5:Z$5"),0),4),1,"")),SUBSTITUTE(ADDRESS(1,MATCH(A2429,INDIRECT("'"&amp;E2429&amp;"'"&amp;"!A$5:Z$5"),0),4),1,"")),"")</f>
        <v>R</v>
      </c>
      <c r="D2429" s="817" t="s">
        <v>1357</v>
      </c>
      <c r="E2429" s="817" t="s">
        <v>870</v>
      </c>
      <c r="F2429" s="817"/>
      <c r="G2429" s="817"/>
      <c r="H2429" s="817"/>
      <c r="I2429" s="1307" t="str">
        <f t="shared" si="461"/>
        <v/>
      </c>
      <c r="J2429" s="1705"/>
      <c r="K2429" s="1705" t="str">
        <f t="shared" si="462"/>
        <v/>
      </c>
      <c r="L2429" s="851" t="s">
        <v>1187</v>
      </c>
      <c r="M2429" s="1705">
        <v>1456</v>
      </c>
      <c r="N2429" s="817"/>
      <c r="O2429" s="1704" t="s">
        <v>1190</v>
      </c>
    </row>
    <row r="2430" spans="1:15" s="1704" customFormat="1" x14ac:dyDescent="0.25">
      <c r="A2430" s="863" t="s">
        <v>1188</v>
      </c>
      <c r="B2430" s="817" t="str">
        <f t="shared" ca="1" si="476"/>
        <v>T18</v>
      </c>
      <c r="C2430" s="817" t="str">
        <f ca="1">IFERROR(IF('Customer Inputs'!$U$8="Existing",IF('Customer Inputs'!T2369=0,SUBSTITUTE(ADDRESS(1,MATCH(O2430,INDIRECT("'"&amp;E2430&amp;"'"&amp;"!$A$5:$Z$5"),0),4),1,""),SUBSTITUTE(ADDRESS(1,MATCH(A2430,INDIRECT("'"&amp;E2430&amp;"'"&amp;"!A$5:Z$5"),0),4),1,"")),SUBSTITUTE(ADDRESS(1,MATCH(A2430,INDIRECT("'"&amp;E2430&amp;"'"&amp;"!A$5:Z$5"),0),4),1,"")),"")</f>
        <v>T</v>
      </c>
      <c r="D2430" s="817" t="s">
        <v>1357</v>
      </c>
      <c r="E2430" s="817" t="s">
        <v>870</v>
      </c>
      <c r="F2430" s="817"/>
      <c r="G2430" s="817"/>
      <c r="H2430" s="817"/>
      <c r="I2430" s="1307" t="str">
        <f t="shared" si="461"/>
        <v/>
      </c>
      <c r="J2430" s="1705"/>
      <c r="K2430" s="1705" t="str">
        <f t="shared" si="462"/>
        <v/>
      </c>
      <c r="L2430" s="851" t="s">
        <v>1188</v>
      </c>
      <c r="M2430" s="1705">
        <v>1457</v>
      </c>
      <c r="N2430" s="817"/>
      <c r="O2430" s="1704" t="s">
        <v>1184</v>
      </c>
    </row>
    <row r="2431" spans="1:15" s="1704" customFormat="1" x14ac:dyDescent="0.25">
      <c r="A2431" s="863" t="s">
        <v>1189</v>
      </c>
      <c r="B2431" s="817" t="str">
        <f t="shared" ca="1" si="476"/>
        <v>U18</v>
      </c>
      <c r="C2431" s="817" t="str">
        <f t="shared" ref="C2431:C2436" ca="1" si="477">_xlfn.IFNA(SUBSTITUTE(ADDRESS(1,MATCH(A2431,INDIRECT("'"&amp;E2431&amp;"'"&amp;"!A5:Z5"),0),4),1,""),"")</f>
        <v>U</v>
      </c>
      <c r="D2431" s="817" t="s">
        <v>1357</v>
      </c>
      <c r="E2431" s="817" t="s">
        <v>870</v>
      </c>
      <c r="F2431" s="817"/>
      <c r="G2431" s="817"/>
      <c r="H2431" s="817"/>
      <c r="I2431" s="1307" t="str">
        <f t="shared" si="461"/>
        <v/>
      </c>
      <c r="J2431" s="1705"/>
      <c r="K2431" s="1705" t="str">
        <f t="shared" si="462"/>
        <v/>
      </c>
      <c r="L2431" s="851" t="s">
        <v>1189</v>
      </c>
      <c r="M2431" s="1705">
        <v>1458</v>
      </c>
      <c r="N2431" s="817"/>
    </row>
    <row r="2432" spans="1:15" s="1704" customFormat="1" x14ac:dyDescent="0.25">
      <c r="A2432" s="863" t="s">
        <v>1339</v>
      </c>
      <c r="B2432" s="817" t="str">
        <f t="shared" ca="1" si="476"/>
        <v>V18</v>
      </c>
      <c r="C2432" s="817" t="str">
        <f t="shared" ca="1" si="477"/>
        <v>V</v>
      </c>
      <c r="D2432" s="817" t="s">
        <v>1357</v>
      </c>
      <c r="E2432" s="817" t="s">
        <v>870</v>
      </c>
      <c r="F2432" s="817"/>
      <c r="G2432" s="817"/>
      <c r="H2432" s="817"/>
      <c r="I2432" s="1307" t="str">
        <f t="shared" si="461"/>
        <v/>
      </c>
      <c r="J2432" s="1705"/>
      <c r="K2432" s="1705" t="str">
        <f t="shared" si="462"/>
        <v/>
      </c>
      <c r="L2432" s="851" t="s">
        <v>1428</v>
      </c>
      <c r="M2432" s="1705">
        <v>1459</v>
      </c>
      <c r="N2432" s="817"/>
    </row>
    <row r="2433" spans="1:15" s="1704" customFormat="1" x14ac:dyDescent="0.25">
      <c r="A2433" s="863" t="s">
        <v>1631</v>
      </c>
      <c r="B2433" s="817" t="str">
        <f t="shared" ca="1" si="476"/>
        <v>W18</v>
      </c>
      <c r="C2433" s="817" t="str">
        <f t="shared" ca="1" si="477"/>
        <v>W</v>
      </c>
      <c r="D2433" s="817" t="s">
        <v>1357</v>
      </c>
      <c r="E2433" s="817" t="s">
        <v>870</v>
      </c>
      <c r="F2433" s="817"/>
      <c r="G2433" s="817"/>
      <c r="H2433" s="817"/>
      <c r="I2433" s="1307" t="str">
        <f t="shared" si="461"/>
        <v>Add or End Customer</v>
      </c>
      <c r="J2433" s="1705" t="str">
        <f>IF(M2433&lt;&gt;"",Q$1&amp;M2433,"")</f>
        <v>F1460</v>
      </c>
      <c r="K2433" s="1705" t="str">
        <f t="shared" si="462"/>
        <v>Customer Inputs</v>
      </c>
      <c r="L2433" s="851" t="s">
        <v>1631</v>
      </c>
      <c r="M2433" s="1705">
        <v>1460</v>
      </c>
      <c r="N2433" s="817"/>
    </row>
    <row r="2434" spans="1:15" s="1704" customFormat="1" x14ac:dyDescent="0.25">
      <c r="A2434" s="864" t="s">
        <v>1182</v>
      </c>
      <c r="B2434" s="817" t="str">
        <f ca="1">_xlfn.IFNA(_xlfn.CONCAT(SUBSTITUTE(ADDRESS(1,MATCH(A2434,INDIRECT("'"&amp;E2434&amp;"'"&amp;"!A5:Z5"),0),4),1,""),19),"")</f>
        <v>H19</v>
      </c>
      <c r="C2434" s="817" t="str">
        <f t="shared" ca="1" si="477"/>
        <v>H</v>
      </c>
      <c r="D2434" s="817" t="s">
        <v>1357</v>
      </c>
      <c r="E2434" s="817" t="s">
        <v>870</v>
      </c>
      <c r="F2434" s="817"/>
      <c r="G2434" s="817"/>
      <c r="H2434" s="817"/>
      <c r="I2434" s="1307" t="str">
        <f t="shared" si="461"/>
        <v>Pyramid Segment</v>
      </c>
      <c r="J2434" s="1705" t="str">
        <f>IF(AND(P2507="",M2434&lt;&gt;""),Q$1&amp;M2434,"")</f>
        <v>F1471</v>
      </c>
      <c r="K2434" s="1705" t="str">
        <f t="shared" si="462"/>
        <v>Customer Inputs</v>
      </c>
      <c r="L2434" s="817" t="s">
        <v>1182</v>
      </c>
      <c r="M2434" s="1705">
        <v>1471</v>
      </c>
      <c r="N2434" s="817"/>
    </row>
    <row r="2435" spans="1:15" s="1704" customFormat="1" x14ac:dyDescent="0.25">
      <c r="A2435" s="865" t="s">
        <v>1262</v>
      </c>
      <c r="B2435" s="817" t="str">
        <f t="shared" ref="B2435:B2443" ca="1" si="478">_xlfn.IFNA(_xlfn.CONCAT(SUBSTITUTE(ADDRESS(1,MATCH(A2435,INDIRECT("'"&amp;E2435&amp;"'"&amp;"!A5:Z5"),0),4),1,""),19),"")</f>
        <v>I19</v>
      </c>
      <c r="C2435" s="817" t="str">
        <f t="shared" ca="1" si="477"/>
        <v>I</v>
      </c>
      <c r="D2435" s="817" t="s">
        <v>1357</v>
      </c>
      <c r="E2435" s="817" t="s">
        <v>870</v>
      </c>
      <c r="F2435" s="817"/>
      <c r="G2435" s="817"/>
      <c r="H2435" s="817"/>
      <c r="I2435" s="1307" t="str">
        <f t="shared" si="461"/>
        <v>Agreement Annual Purchase Commitment</v>
      </c>
      <c r="J2435" s="1705" t="str">
        <f>Q$1&amp;IF(Q2435&lt;&gt;"",M2435,M2437)</f>
        <v>F1475</v>
      </c>
      <c r="K2435" s="1705" t="str">
        <f t="shared" si="462"/>
        <v>Customer Inputs</v>
      </c>
      <c r="L2435" s="52" t="s">
        <v>1262</v>
      </c>
      <c r="M2435" s="1705">
        <v>1473</v>
      </c>
      <c r="N2435" s="817"/>
    </row>
    <row r="2436" spans="1:15" s="1704" customFormat="1" ht="30" x14ac:dyDescent="0.25">
      <c r="A2436" s="864" t="s">
        <v>1263</v>
      </c>
      <c r="B2436" s="817" t="str">
        <f t="shared" ca="1" si="478"/>
        <v>J19</v>
      </c>
      <c r="C2436" s="817" t="str">
        <f t="shared" ca="1" si="477"/>
        <v>J</v>
      </c>
      <c r="D2436" s="817" t="s">
        <v>1357</v>
      </c>
      <c r="E2436" s="817" t="s">
        <v>870</v>
      </c>
      <c r="F2436" s="817"/>
      <c r="G2436" s="817"/>
      <c r="H2436" s="817"/>
      <c r="I2436" s="1307" t="str">
        <f t="shared" si="461"/>
        <v>Agreement Deliveries Per Customer Unit Per Week</v>
      </c>
      <c r="J2436" s="1705" t="str">
        <f>Q$1&amp;IF(Q2436&lt;&gt;"",M2436,M2438)</f>
        <v>F1476</v>
      </c>
      <c r="K2436" s="1705" t="str">
        <f t="shared" si="462"/>
        <v>Customer Inputs</v>
      </c>
      <c r="L2436" s="817" t="s">
        <v>1263</v>
      </c>
      <c r="M2436" s="1705">
        <v>1474</v>
      </c>
      <c r="N2436" s="817"/>
    </row>
    <row r="2437" spans="1:15" s="1704" customFormat="1" x14ac:dyDescent="0.25">
      <c r="A2437" s="864" t="s">
        <v>1185</v>
      </c>
      <c r="B2437" s="817" t="str">
        <f t="shared" ca="1" si="478"/>
        <v>P19</v>
      </c>
      <c r="C2437" s="817" t="str">
        <f ca="1">IFERROR(IF('Customer Inputs'!$U$9="Existing",IF('Customer Inputs'!P2370=0,SUBSTITUTE(ADDRESS(1,MATCH(O2437,INDIRECT("'"&amp;E2437&amp;"'"&amp;"!$A$5:$Z$5"),0),4),1,""),SUBSTITUTE(ADDRESS(1,MATCH(A2437,INDIRECT("'"&amp;E2437&amp;"'"&amp;"!A$5:Z$5"),0),4),1,"")),SUBSTITUTE(ADDRESS(1,MATCH(A2437,INDIRECT("'"&amp;E2437&amp;"'"&amp;"!A$5:Z$5"),0),4),1,"")),"")</f>
        <v>P</v>
      </c>
      <c r="D2437" s="817" t="s">
        <v>1357</v>
      </c>
      <c r="E2437" s="817" t="s">
        <v>870</v>
      </c>
      <c r="F2437" s="817"/>
      <c r="G2437" s="817"/>
      <c r="H2437" s="817"/>
      <c r="I2437" s="1307" t="str">
        <f t="shared" si="461"/>
        <v/>
      </c>
      <c r="J2437" s="1705"/>
      <c r="K2437" s="1705" t="str">
        <f t="shared" si="462"/>
        <v/>
      </c>
      <c r="L2437" s="817" t="s">
        <v>1185</v>
      </c>
      <c r="M2437" s="1705">
        <v>1475</v>
      </c>
      <c r="N2437" s="817"/>
      <c r="O2437" s="1704" t="s">
        <v>868</v>
      </c>
    </row>
    <row r="2438" spans="1:15" s="1704" customFormat="1" x14ac:dyDescent="0.25">
      <c r="A2438" s="866" t="s">
        <v>1186</v>
      </c>
      <c r="B2438" s="817" t="str">
        <f t="shared" ca="1" si="478"/>
        <v>Q19</v>
      </c>
      <c r="C2438" s="817" t="str">
        <f ca="1">IFERROR(IF('Customer Inputs'!$U$9="Existing",IF('Customer Inputs'!Q2370=0,SUBSTITUTE(ADDRESS(1,MATCH(O2438,INDIRECT("'"&amp;E2438&amp;"'"&amp;"!$A$5:$Z$5"),0),4),1,""),SUBSTITUTE(ADDRESS(1,MATCH(A2438,INDIRECT("'"&amp;E2438&amp;"'"&amp;"!A$5:Z$5"),0),4),1,"")),SUBSTITUTE(ADDRESS(1,MATCH(A2438,INDIRECT("'"&amp;E2438&amp;"'"&amp;"!A$5:Z$5"),0),4),1,"")),"")</f>
        <v>Q</v>
      </c>
      <c r="D2438" s="817" t="s">
        <v>1357</v>
      </c>
      <c r="E2438" s="817" t="s">
        <v>870</v>
      </c>
      <c r="F2438" s="817"/>
      <c r="G2438" s="817"/>
      <c r="H2438" s="817"/>
      <c r="I2438" s="1307" t="str">
        <f t="shared" si="461"/>
        <v/>
      </c>
      <c r="J2438" s="1705"/>
      <c r="K2438" s="1705" t="str">
        <f t="shared" si="462"/>
        <v/>
      </c>
      <c r="L2438" s="851" t="s">
        <v>1186</v>
      </c>
      <c r="M2438" s="1705">
        <v>1476</v>
      </c>
      <c r="N2438" s="817"/>
      <c r="O2438" s="1704" t="s">
        <v>1183</v>
      </c>
    </row>
    <row r="2439" spans="1:15" s="1704" customFormat="1" x14ac:dyDescent="0.25">
      <c r="A2439" s="866" t="s">
        <v>1187</v>
      </c>
      <c r="B2439" s="817" t="str">
        <f t="shared" ca="1" si="478"/>
        <v>R19</v>
      </c>
      <c r="C2439" s="817" t="str">
        <f ca="1">IFERROR(IF('Customer Inputs'!$U$9="Existing",IF('Customer Inputs'!R2370=0,SUBSTITUTE(ADDRESS(1,MATCH(O2439,INDIRECT("'"&amp;E2439&amp;"'"&amp;"!$A$5:$Z$5"),0),4),1,""),SUBSTITUTE(ADDRESS(1,MATCH(A2439,INDIRECT("'"&amp;E2439&amp;"'"&amp;"!A$5:Z$5"),0),4),1,"")),SUBSTITUTE(ADDRESS(1,MATCH(A2439,INDIRECT("'"&amp;E2439&amp;"'"&amp;"!A$5:Z$5"),0),4),1,"")),"")</f>
        <v>R</v>
      </c>
      <c r="D2439" s="817" t="s">
        <v>1357</v>
      </c>
      <c r="E2439" s="817" t="s">
        <v>870</v>
      </c>
      <c r="F2439" s="817"/>
      <c r="G2439" s="817"/>
      <c r="H2439" s="817"/>
      <c r="I2439" s="1307" t="str">
        <f t="shared" si="461"/>
        <v/>
      </c>
      <c r="J2439" s="1705"/>
      <c r="K2439" s="1705" t="str">
        <f t="shared" si="462"/>
        <v/>
      </c>
      <c r="L2439" s="851" t="s">
        <v>1187</v>
      </c>
      <c r="M2439" s="1705">
        <v>1477</v>
      </c>
      <c r="N2439" s="817"/>
      <c r="O2439" s="1704" t="s">
        <v>1190</v>
      </c>
    </row>
    <row r="2440" spans="1:15" s="1704" customFormat="1" x14ac:dyDescent="0.25">
      <c r="A2440" s="866" t="s">
        <v>1188</v>
      </c>
      <c r="B2440" s="817" t="str">
        <f t="shared" ca="1" si="478"/>
        <v>T19</v>
      </c>
      <c r="C2440" s="817" t="str">
        <f ca="1">IFERROR(IF('Customer Inputs'!$U$9="Existing",IF('Customer Inputs'!T2370=0,SUBSTITUTE(ADDRESS(1,MATCH(O2440,INDIRECT("'"&amp;E2440&amp;"'"&amp;"!$A$5:$Z$5"),0),4),1,""),SUBSTITUTE(ADDRESS(1,MATCH(A2440,INDIRECT("'"&amp;E2440&amp;"'"&amp;"!A$5:Z$5"),0),4),1,"")),SUBSTITUTE(ADDRESS(1,MATCH(A2440,INDIRECT("'"&amp;E2440&amp;"'"&amp;"!A$5:Z$5"),0),4),1,"")),"")</f>
        <v>T</v>
      </c>
      <c r="D2440" s="817" t="s">
        <v>1357</v>
      </c>
      <c r="E2440" s="817" t="s">
        <v>870</v>
      </c>
      <c r="F2440" s="817"/>
      <c r="G2440" s="817"/>
      <c r="H2440" s="817"/>
      <c r="I2440" s="1307" t="str">
        <f t="shared" si="461"/>
        <v/>
      </c>
      <c r="J2440" s="1705"/>
      <c r="K2440" s="1705" t="str">
        <f t="shared" si="462"/>
        <v/>
      </c>
      <c r="L2440" s="851" t="s">
        <v>1188</v>
      </c>
      <c r="M2440" s="1705">
        <v>1478</v>
      </c>
      <c r="N2440" s="817"/>
      <c r="O2440" s="1704" t="s">
        <v>1184</v>
      </c>
    </row>
    <row r="2441" spans="1:15" s="1704" customFormat="1" x14ac:dyDescent="0.25">
      <c r="A2441" s="866" t="s">
        <v>1189</v>
      </c>
      <c r="B2441" s="817" t="str">
        <f t="shared" ca="1" si="478"/>
        <v>U19</v>
      </c>
      <c r="C2441" s="817" t="str">
        <f t="shared" ref="C2441:C2446" ca="1" si="479">_xlfn.IFNA(SUBSTITUTE(ADDRESS(1,MATCH(A2441,INDIRECT("'"&amp;E2441&amp;"'"&amp;"!A5:Z5"),0),4),1,""),"")</f>
        <v>U</v>
      </c>
      <c r="D2441" s="817" t="s">
        <v>1357</v>
      </c>
      <c r="E2441" s="817" t="s">
        <v>870</v>
      </c>
      <c r="F2441" s="817"/>
      <c r="G2441" s="817"/>
      <c r="H2441" s="817"/>
      <c r="I2441" s="1307" t="str">
        <f t="shared" si="461"/>
        <v/>
      </c>
      <c r="J2441" s="1705"/>
      <c r="K2441" s="1705" t="str">
        <f t="shared" si="462"/>
        <v/>
      </c>
      <c r="L2441" s="851" t="s">
        <v>1189</v>
      </c>
      <c r="M2441" s="1705">
        <v>1479</v>
      </c>
      <c r="N2441" s="817"/>
    </row>
    <row r="2442" spans="1:15" s="1704" customFormat="1" x14ac:dyDescent="0.25">
      <c r="A2442" s="866" t="s">
        <v>1339</v>
      </c>
      <c r="B2442" s="817" t="str">
        <f t="shared" ca="1" si="478"/>
        <v>V19</v>
      </c>
      <c r="C2442" s="817" t="str">
        <f t="shared" ca="1" si="479"/>
        <v>V</v>
      </c>
      <c r="D2442" s="817" t="s">
        <v>1357</v>
      </c>
      <c r="E2442" s="817" t="s">
        <v>870</v>
      </c>
      <c r="F2442" s="817"/>
      <c r="G2442" s="817"/>
      <c r="H2442" s="817"/>
      <c r="I2442" s="1307" t="str">
        <f t="shared" si="461"/>
        <v/>
      </c>
      <c r="J2442" s="1705"/>
      <c r="K2442" s="1705" t="str">
        <f t="shared" si="462"/>
        <v/>
      </c>
      <c r="L2442" s="851" t="s">
        <v>1428</v>
      </c>
      <c r="M2442" s="1705">
        <v>1480</v>
      </c>
      <c r="N2442" s="817"/>
    </row>
    <row r="2443" spans="1:15" s="1704" customFormat="1" x14ac:dyDescent="0.25">
      <c r="A2443" s="866" t="s">
        <v>1631</v>
      </c>
      <c r="B2443" s="817" t="str">
        <f t="shared" ca="1" si="478"/>
        <v>W19</v>
      </c>
      <c r="C2443" s="817" t="str">
        <f t="shared" ca="1" si="479"/>
        <v>W</v>
      </c>
      <c r="D2443" s="817" t="s">
        <v>1357</v>
      </c>
      <c r="E2443" s="817" t="s">
        <v>870</v>
      </c>
      <c r="F2443" s="817"/>
      <c r="G2443" s="817"/>
      <c r="H2443" s="817"/>
      <c r="I2443" s="1307" t="str">
        <f t="shared" si="461"/>
        <v>Add or End Customer</v>
      </c>
      <c r="J2443" s="1705" t="str">
        <f>IF(M2443&lt;&gt;"",Q$1&amp;M2443,"")</f>
        <v>F1481</v>
      </c>
      <c r="K2443" s="1705" t="str">
        <f t="shared" si="462"/>
        <v>Customer Inputs</v>
      </c>
      <c r="L2443" s="851" t="s">
        <v>1631</v>
      </c>
      <c r="M2443" s="1705">
        <v>1481</v>
      </c>
      <c r="N2443" s="817"/>
    </row>
    <row r="2444" spans="1:15" s="1704" customFormat="1" x14ac:dyDescent="0.25">
      <c r="A2444" s="861" t="s">
        <v>1182</v>
      </c>
      <c r="B2444" s="817" t="str">
        <f ca="1">_xlfn.IFNA(_xlfn.CONCAT(SUBSTITUTE(ADDRESS(1,MATCH(A2444,INDIRECT("'"&amp;E2444&amp;"'"&amp;"!A5:Z5"),0),4),1,""),20),"")</f>
        <v>H20</v>
      </c>
      <c r="C2444" s="817" t="str">
        <f t="shared" ca="1" si="479"/>
        <v>H</v>
      </c>
      <c r="D2444" s="817" t="s">
        <v>1357</v>
      </c>
      <c r="E2444" s="817" t="s">
        <v>870</v>
      </c>
      <c r="F2444" s="817"/>
      <c r="G2444" s="817"/>
      <c r="H2444" s="817"/>
      <c r="I2444" s="1307" t="str">
        <f t="shared" ref="I2444:I2507" si="480">IF(J2444&lt;&gt;"",A2444,"")</f>
        <v>Pyramid Segment</v>
      </c>
      <c r="J2444" s="1705" t="str">
        <f>IF(AND(P2508="",M2444&lt;&gt;""),Q$1&amp;M2444,"")</f>
        <v>F1492</v>
      </c>
      <c r="K2444" s="1705" t="str">
        <f t="shared" ref="K2444:K2507" si="481">IF(J2444&lt;&gt;"",E2444,"")</f>
        <v>Customer Inputs</v>
      </c>
      <c r="L2444" s="817" t="s">
        <v>1182</v>
      </c>
      <c r="M2444" s="1705">
        <v>1492</v>
      </c>
      <c r="N2444" s="817"/>
    </row>
    <row r="2445" spans="1:15" s="1704" customFormat="1" x14ac:dyDescent="0.25">
      <c r="A2445" s="862" t="s">
        <v>1262</v>
      </c>
      <c r="B2445" s="817" t="str">
        <f t="shared" ref="B2445:B2453" ca="1" si="482">_xlfn.IFNA(_xlfn.CONCAT(SUBSTITUTE(ADDRESS(1,MATCH(A2445,INDIRECT("'"&amp;E2445&amp;"'"&amp;"!A5:Z5"),0),4),1,""),20),"")</f>
        <v>I20</v>
      </c>
      <c r="C2445" s="817" t="str">
        <f t="shared" ca="1" si="479"/>
        <v>I</v>
      </c>
      <c r="D2445" s="817" t="s">
        <v>1357</v>
      </c>
      <c r="E2445" s="817" t="s">
        <v>870</v>
      </c>
      <c r="F2445" s="817"/>
      <c r="G2445" s="817"/>
      <c r="H2445" s="817"/>
      <c r="I2445" s="1307" t="str">
        <f t="shared" si="480"/>
        <v>Agreement Annual Purchase Commitment</v>
      </c>
      <c r="J2445" s="1705" t="str">
        <f>Q$1&amp;IF(Q2445&lt;&gt;"",M2445,M2447)</f>
        <v>F1496</v>
      </c>
      <c r="K2445" s="1705" t="str">
        <f t="shared" si="481"/>
        <v>Customer Inputs</v>
      </c>
      <c r="L2445" s="52" t="s">
        <v>1262</v>
      </c>
      <c r="M2445" s="1705">
        <v>1494</v>
      </c>
      <c r="N2445" s="817"/>
    </row>
    <row r="2446" spans="1:15" s="1704" customFormat="1" ht="30" x14ac:dyDescent="0.25">
      <c r="A2446" s="861" t="s">
        <v>1263</v>
      </c>
      <c r="B2446" s="817" t="str">
        <f t="shared" ca="1" si="482"/>
        <v>J20</v>
      </c>
      <c r="C2446" s="817" t="str">
        <f t="shared" ca="1" si="479"/>
        <v>J</v>
      </c>
      <c r="D2446" s="817" t="s">
        <v>1357</v>
      </c>
      <c r="E2446" s="817" t="s">
        <v>870</v>
      </c>
      <c r="F2446" s="817"/>
      <c r="G2446" s="817"/>
      <c r="H2446" s="817"/>
      <c r="I2446" s="1307" t="str">
        <f t="shared" si="480"/>
        <v>Agreement Deliveries Per Customer Unit Per Week</v>
      </c>
      <c r="J2446" s="1705" t="str">
        <f>Q$1&amp;IF(Q2446&lt;&gt;"",M2446,M2448)</f>
        <v>F1497</v>
      </c>
      <c r="K2446" s="1705" t="str">
        <f t="shared" si="481"/>
        <v>Customer Inputs</v>
      </c>
      <c r="L2446" s="817" t="s">
        <v>1263</v>
      </c>
      <c r="M2446" s="1705">
        <v>1495</v>
      </c>
      <c r="N2446" s="817"/>
    </row>
    <row r="2447" spans="1:15" s="1704" customFormat="1" x14ac:dyDescent="0.25">
      <c r="A2447" s="861" t="s">
        <v>1185</v>
      </c>
      <c r="B2447" s="817" t="str">
        <f t="shared" ca="1" si="482"/>
        <v>P20</v>
      </c>
      <c r="C2447" s="817" t="str">
        <f ca="1">IFERROR(IF('Customer Inputs'!$U$10="Existing",IF('Customer Inputs'!P2371=0,SUBSTITUTE(ADDRESS(1,MATCH(O2447,INDIRECT("'"&amp;E2447&amp;"'"&amp;"!$A$5:$Z$5"),0),4),1,""),SUBSTITUTE(ADDRESS(1,MATCH(A2447,INDIRECT("'"&amp;E2447&amp;"'"&amp;"!A$5:Z$5"),0),4),1,"")),SUBSTITUTE(ADDRESS(1,MATCH(A2447,INDIRECT("'"&amp;E2447&amp;"'"&amp;"!A$5:Z$5"),0),4),1,"")),"")</f>
        <v>P</v>
      </c>
      <c r="D2447" s="817" t="s">
        <v>1357</v>
      </c>
      <c r="E2447" s="817" t="s">
        <v>870</v>
      </c>
      <c r="F2447" s="817"/>
      <c r="G2447" s="817"/>
      <c r="H2447" s="817"/>
      <c r="I2447" s="1307" t="str">
        <f t="shared" si="480"/>
        <v/>
      </c>
      <c r="J2447" s="1705"/>
      <c r="K2447" s="1705" t="str">
        <f t="shared" si="481"/>
        <v/>
      </c>
      <c r="L2447" s="817" t="s">
        <v>1185</v>
      </c>
      <c r="M2447" s="1705">
        <v>1496</v>
      </c>
      <c r="N2447" s="817"/>
      <c r="O2447" s="1704" t="s">
        <v>868</v>
      </c>
    </row>
    <row r="2448" spans="1:15" s="1704" customFormat="1" x14ac:dyDescent="0.25">
      <c r="A2448" s="863" t="s">
        <v>1186</v>
      </c>
      <c r="B2448" s="817" t="str">
        <f t="shared" ca="1" si="482"/>
        <v>Q20</v>
      </c>
      <c r="C2448" s="817" t="str">
        <f ca="1">IFERROR(IF('Customer Inputs'!$U$10="Existing",IF('Customer Inputs'!Q2371=0,SUBSTITUTE(ADDRESS(1,MATCH(O2448,INDIRECT("'"&amp;E2448&amp;"'"&amp;"!$A$5:$Z$5"),0),4),1,""),SUBSTITUTE(ADDRESS(1,MATCH(A2448,INDIRECT("'"&amp;E2448&amp;"'"&amp;"!A$5:Z$5"),0),4),1,"")),SUBSTITUTE(ADDRESS(1,MATCH(A2448,INDIRECT("'"&amp;E2448&amp;"'"&amp;"!A$5:Z$5"),0),4),1,"")),"")</f>
        <v>Q</v>
      </c>
      <c r="D2448" s="817" t="s">
        <v>1357</v>
      </c>
      <c r="E2448" s="817" t="s">
        <v>870</v>
      </c>
      <c r="F2448" s="817"/>
      <c r="G2448" s="817"/>
      <c r="H2448" s="817"/>
      <c r="I2448" s="1307" t="str">
        <f t="shared" si="480"/>
        <v/>
      </c>
      <c r="J2448" s="1705"/>
      <c r="K2448" s="1705" t="str">
        <f t="shared" si="481"/>
        <v/>
      </c>
      <c r="L2448" s="851" t="s">
        <v>1186</v>
      </c>
      <c r="M2448" s="1705">
        <v>1497</v>
      </c>
      <c r="N2448" s="817"/>
      <c r="O2448" s="1704" t="s">
        <v>1183</v>
      </c>
    </row>
    <row r="2449" spans="1:15" s="1704" customFormat="1" x14ac:dyDescent="0.25">
      <c r="A2449" s="863" t="s">
        <v>1187</v>
      </c>
      <c r="B2449" s="817" t="str">
        <f t="shared" ca="1" si="482"/>
        <v>R20</v>
      </c>
      <c r="C2449" s="817" t="str">
        <f ca="1">IFERROR(IF('Customer Inputs'!$U$10="Existing",IF('Customer Inputs'!R2371=0,SUBSTITUTE(ADDRESS(1,MATCH(O2449,INDIRECT("'"&amp;E2449&amp;"'"&amp;"!$A$5:$Z$5"),0),4),1,""),SUBSTITUTE(ADDRESS(1,MATCH(A2449,INDIRECT("'"&amp;E2449&amp;"'"&amp;"!A$5:Z$5"),0),4),1,"")),SUBSTITUTE(ADDRESS(1,MATCH(A2449,INDIRECT("'"&amp;E2449&amp;"'"&amp;"!A$5:Z$5"),0),4),1,"")),"")</f>
        <v>R</v>
      </c>
      <c r="D2449" s="817" t="s">
        <v>1357</v>
      </c>
      <c r="E2449" s="817" t="s">
        <v>870</v>
      </c>
      <c r="F2449" s="817"/>
      <c r="G2449" s="817"/>
      <c r="H2449" s="817"/>
      <c r="I2449" s="1307" t="str">
        <f t="shared" si="480"/>
        <v/>
      </c>
      <c r="J2449" s="1705"/>
      <c r="K2449" s="1705" t="str">
        <f t="shared" si="481"/>
        <v/>
      </c>
      <c r="L2449" s="851" t="s">
        <v>1187</v>
      </c>
      <c r="M2449" s="1705">
        <v>1498</v>
      </c>
      <c r="N2449" s="817"/>
      <c r="O2449" s="1704" t="s">
        <v>1190</v>
      </c>
    </row>
    <row r="2450" spans="1:15" s="1704" customFormat="1" x14ac:dyDescent="0.25">
      <c r="A2450" s="863" t="s">
        <v>1188</v>
      </c>
      <c r="B2450" s="817" t="str">
        <f t="shared" ca="1" si="482"/>
        <v>T20</v>
      </c>
      <c r="C2450" s="817" t="str">
        <f ca="1">IFERROR(IF('Customer Inputs'!$U$10="Existing",IF('Customer Inputs'!T2371=0,SUBSTITUTE(ADDRESS(1,MATCH(O2450,INDIRECT("'"&amp;E2450&amp;"'"&amp;"!$A$5:$Z$5"),0),4),1,""),SUBSTITUTE(ADDRESS(1,MATCH(A2450,INDIRECT("'"&amp;E2450&amp;"'"&amp;"!A$5:Z$5"),0),4),1,"")),SUBSTITUTE(ADDRESS(1,MATCH(A2450,INDIRECT("'"&amp;E2450&amp;"'"&amp;"!A$5:Z$5"),0),4),1,"")),"")</f>
        <v>T</v>
      </c>
      <c r="D2450" s="817" t="s">
        <v>1357</v>
      </c>
      <c r="E2450" s="817" t="s">
        <v>870</v>
      </c>
      <c r="F2450" s="817"/>
      <c r="G2450" s="817"/>
      <c r="H2450" s="817"/>
      <c r="I2450" s="1307" t="str">
        <f t="shared" si="480"/>
        <v/>
      </c>
      <c r="J2450" s="1705"/>
      <c r="K2450" s="1705" t="str">
        <f t="shared" si="481"/>
        <v/>
      </c>
      <c r="L2450" s="851" t="s">
        <v>1188</v>
      </c>
      <c r="M2450" s="1705">
        <v>1499</v>
      </c>
      <c r="N2450" s="817"/>
      <c r="O2450" s="1704" t="s">
        <v>1184</v>
      </c>
    </row>
    <row r="2451" spans="1:15" s="1704" customFormat="1" x14ac:dyDescent="0.25">
      <c r="A2451" s="863" t="s">
        <v>1189</v>
      </c>
      <c r="B2451" s="817" t="str">
        <f t="shared" ca="1" si="482"/>
        <v>U20</v>
      </c>
      <c r="C2451" s="817" t="str">
        <f t="shared" ref="C2451:C2456" ca="1" si="483">_xlfn.IFNA(SUBSTITUTE(ADDRESS(1,MATCH(A2451,INDIRECT("'"&amp;E2451&amp;"'"&amp;"!A5:Z5"),0),4),1,""),"")</f>
        <v>U</v>
      </c>
      <c r="D2451" s="817" t="s">
        <v>1357</v>
      </c>
      <c r="E2451" s="817" t="s">
        <v>870</v>
      </c>
      <c r="F2451" s="817"/>
      <c r="G2451" s="817"/>
      <c r="H2451" s="817"/>
      <c r="I2451" s="1307" t="str">
        <f t="shared" si="480"/>
        <v/>
      </c>
      <c r="J2451" s="1705"/>
      <c r="K2451" s="1705" t="str">
        <f t="shared" si="481"/>
        <v/>
      </c>
      <c r="L2451" s="851" t="s">
        <v>1189</v>
      </c>
      <c r="M2451" s="1705">
        <v>1500</v>
      </c>
      <c r="N2451" s="817"/>
    </row>
    <row r="2452" spans="1:15" s="1704" customFormat="1" x14ac:dyDescent="0.25">
      <c r="A2452" s="863" t="s">
        <v>1339</v>
      </c>
      <c r="B2452" s="817" t="str">
        <f t="shared" ca="1" si="482"/>
        <v>V20</v>
      </c>
      <c r="C2452" s="817" t="str">
        <f t="shared" ca="1" si="483"/>
        <v>V</v>
      </c>
      <c r="D2452" s="817" t="s">
        <v>1357</v>
      </c>
      <c r="E2452" s="817" t="s">
        <v>870</v>
      </c>
      <c r="F2452" s="817"/>
      <c r="G2452" s="817"/>
      <c r="H2452" s="817"/>
      <c r="I2452" s="1307" t="str">
        <f t="shared" si="480"/>
        <v/>
      </c>
      <c r="J2452" s="1705"/>
      <c r="K2452" s="1705" t="str">
        <f t="shared" si="481"/>
        <v/>
      </c>
      <c r="L2452" s="851" t="s">
        <v>1428</v>
      </c>
      <c r="M2452" s="1705">
        <v>1501</v>
      </c>
      <c r="N2452" s="817"/>
    </row>
    <row r="2453" spans="1:15" s="1704" customFormat="1" x14ac:dyDescent="0.25">
      <c r="A2453" s="863" t="s">
        <v>1631</v>
      </c>
      <c r="B2453" s="817" t="str">
        <f t="shared" ca="1" si="482"/>
        <v>W20</v>
      </c>
      <c r="C2453" s="817" t="str">
        <f t="shared" ca="1" si="483"/>
        <v>W</v>
      </c>
      <c r="D2453" s="817" t="s">
        <v>1357</v>
      </c>
      <c r="E2453" s="817" t="s">
        <v>870</v>
      </c>
      <c r="F2453" s="817"/>
      <c r="G2453" s="817"/>
      <c r="H2453" s="817"/>
      <c r="I2453" s="1307" t="str">
        <f t="shared" si="480"/>
        <v>Add or End Customer</v>
      </c>
      <c r="J2453" s="1705" t="str">
        <f>IF(M2453&lt;&gt;"",Q$1&amp;M2453,"")</f>
        <v>F1502</v>
      </c>
      <c r="K2453" s="1705" t="str">
        <f t="shared" si="481"/>
        <v>Customer Inputs</v>
      </c>
      <c r="L2453" s="851" t="s">
        <v>1631</v>
      </c>
      <c r="M2453" s="1705">
        <v>1502</v>
      </c>
      <c r="N2453" s="817"/>
    </row>
    <row r="2454" spans="1:15" s="1704" customFormat="1" x14ac:dyDescent="0.25">
      <c r="A2454" s="864" t="s">
        <v>1182</v>
      </c>
      <c r="B2454" s="817" t="str">
        <f ca="1">_xlfn.IFNA(_xlfn.CONCAT(SUBSTITUTE(ADDRESS(1,MATCH(A2454,INDIRECT("'"&amp;E2454&amp;"'"&amp;"!A5:Z5"),0),4),1,""),21),"")</f>
        <v>H21</v>
      </c>
      <c r="C2454" s="817" t="str">
        <f t="shared" ca="1" si="483"/>
        <v>H</v>
      </c>
      <c r="D2454" s="817" t="s">
        <v>1357</v>
      </c>
      <c r="E2454" s="817" t="s">
        <v>870</v>
      </c>
      <c r="F2454" s="817"/>
      <c r="G2454" s="817"/>
      <c r="H2454" s="817"/>
      <c r="I2454" s="1307" t="str">
        <f t="shared" si="480"/>
        <v>Pyramid Segment</v>
      </c>
      <c r="J2454" s="1705" t="str">
        <f>IF(AND(P2509="",M2454&lt;&gt;""),Q$1&amp;M2454,"")</f>
        <v>F1513</v>
      </c>
      <c r="K2454" s="1705" t="str">
        <f t="shared" si="481"/>
        <v>Customer Inputs</v>
      </c>
      <c r="L2454" s="817" t="s">
        <v>1182</v>
      </c>
      <c r="M2454" s="1705">
        <v>1513</v>
      </c>
      <c r="N2454" s="817"/>
    </row>
    <row r="2455" spans="1:15" s="1704" customFormat="1" x14ac:dyDescent="0.25">
      <c r="A2455" s="865" t="s">
        <v>1262</v>
      </c>
      <c r="B2455" s="817" t="str">
        <f t="shared" ref="B2455:B2463" ca="1" si="484">_xlfn.IFNA(_xlfn.CONCAT(SUBSTITUTE(ADDRESS(1,MATCH(A2455,INDIRECT("'"&amp;E2455&amp;"'"&amp;"!A5:Z5"),0),4),1,""),21),"")</f>
        <v>I21</v>
      </c>
      <c r="C2455" s="817" t="str">
        <f t="shared" ca="1" si="483"/>
        <v>I</v>
      </c>
      <c r="D2455" s="817" t="s">
        <v>1357</v>
      </c>
      <c r="E2455" s="817" t="s">
        <v>870</v>
      </c>
      <c r="F2455" s="817"/>
      <c r="G2455" s="817"/>
      <c r="H2455" s="817"/>
      <c r="I2455" s="1307" t="str">
        <f t="shared" si="480"/>
        <v>Agreement Annual Purchase Commitment</v>
      </c>
      <c r="J2455" s="1705" t="str">
        <f>Q$1&amp;IF(Q2455&lt;&gt;"",M2455,M2457)</f>
        <v>F1517</v>
      </c>
      <c r="K2455" s="1705" t="str">
        <f t="shared" si="481"/>
        <v>Customer Inputs</v>
      </c>
      <c r="L2455" s="52" t="s">
        <v>1262</v>
      </c>
      <c r="M2455" s="1705">
        <v>1515</v>
      </c>
      <c r="N2455" s="817"/>
    </row>
    <row r="2456" spans="1:15" s="1704" customFormat="1" ht="30" x14ac:dyDescent="0.25">
      <c r="A2456" s="864" t="s">
        <v>1263</v>
      </c>
      <c r="B2456" s="817" t="str">
        <f t="shared" ca="1" si="484"/>
        <v>J21</v>
      </c>
      <c r="C2456" s="817" t="str">
        <f t="shared" ca="1" si="483"/>
        <v>J</v>
      </c>
      <c r="D2456" s="817" t="s">
        <v>1357</v>
      </c>
      <c r="E2456" s="817" t="s">
        <v>870</v>
      </c>
      <c r="F2456" s="817"/>
      <c r="G2456" s="817"/>
      <c r="H2456" s="817"/>
      <c r="I2456" s="1307" t="str">
        <f t="shared" si="480"/>
        <v>Agreement Deliveries Per Customer Unit Per Week</v>
      </c>
      <c r="J2456" s="1705" t="str">
        <f>Q$1&amp;IF(Q2456&lt;&gt;"",M2456,M2458)</f>
        <v>F1518</v>
      </c>
      <c r="K2456" s="1705" t="str">
        <f t="shared" si="481"/>
        <v>Customer Inputs</v>
      </c>
      <c r="L2456" s="817" t="s">
        <v>1263</v>
      </c>
      <c r="M2456" s="1705">
        <v>1516</v>
      </c>
      <c r="N2456" s="817"/>
    </row>
    <row r="2457" spans="1:15" s="1704" customFormat="1" x14ac:dyDescent="0.25">
      <c r="A2457" s="864" t="s">
        <v>1185</v>
      </c>
      <c r="B2457" s="817" t="str">
        <f t="shared" ca="1" si="484"/>
        <v>P21</v>
      </c>
      <c r="C2457" s="817" t="str">
        <f ca="1">IFERROR(IF('Customer Inputs'!$U$11="Existing",IF('Customer Inputs'!P2372=0,SUBSTITUTE(ADDRESS(1,MATCH(O2457,INDIRECT("'"&amp;E2457&amp;"'"&amp;"!$A$5:$Z$5"),0),4),1,""),SUBSTITUTE(ADDRESS(1,MATCH(A2457,INDIRECT("'"&amp;E2457&amp;"'"&amp;"!A$5:Z$5"),0),4),1,"")),SUBSTITUTE(ADDRESS(1,MATCH(A2457,INDIRECT("'"&amp;E2457&amp;"'"&amp;"!A$5:Z$5"),0),4),1,"")),"")</f>
        <v>P</v>
      </c>
      <c r="D2457" s="817" t="s">
        <v>1357</v>
      </c>
      <c r="E2457" s="817" t="s">
        <v>870</v>
      </c>
      <c r="F2457" s="817"/>
      <c r="G2457" s="817"/>
      <c r="H2457" s="817"/>
      <c r="I2457" s="1307" t="str">
        <f t="shared" si="480"/>
        <v/>
      </c>
      <c r="J2457" s="1705"/>
      <c r="K2457" s="1705" t="str">
        <f t="shared" si="481"/>
        <v/>
      </c>
      <c r="L2457" s="817" t="s">
        <v>1185</v>
      </c>
      <c r="M2457" s="1705">
        <v>1517</v>
      </c>
      <c r="N2457" s="817"/>
      <c r="O2457" s="1704" t="s">
        <v>868</v>
      </c>
    </row>
    <row r="2458" spans="1:15" s="1704" customFormat="1" x14ac:dyDescent="0.25">
      <c r="A2458" s="866" t="s">
        <v>1186</v>
      </c>
      <c r="B2458" s="817" t="str">
        <f t="shared" ca="1" si="484"/>
        <v>Q21</v>
      </c>
      <c r="C2458" s="817" t="str">
        <f ca="1">IFERROR(IF('Customer Inputs'!$U$11="Existing",IF('Customer Inputs'!Q2372=0,SUBSTITUTE(ADDRESS(1,MATCH(O2458,INDIRECT("'"&amp;E2458&amp;"'"&amp;"!$A$5:$Z$5"),0),4),1,""),SUBSTITUTE(ADDRESS(1,MATCH(A2458,INDIRECT("'"&amp;E2458&amp;"'"&amp;"!A$5:Z$5"),0),4),1,"")),SUBSTITUTE(ADDRESS(1,MATCH(A2458,INDIRECT("'"&amp;E2458&amp;"'"&amp;"!A$5:Z$5"),0),4),1,"")),"")</f>
        <v>Q</v>
      </c>
      <c r="D2458" s="817" t="s">
        <v>1357</v>
      </c>
      <c r="E2458" s="817" t="s">
        <v>870</v>
      </c>
      <c r="F2458" s="817"/>
      <c r="G2458" s="817"/>
      <c r="H2458" s="817"/>
      <c r="I2458" s="1307" t="str">
        <f t="shared" si="480"/>
        <v/>
      </c>
      <c r="J2458" s="1705"/>
      <c r="K2458" s="1705" t="str">
        <f t="shared" si="481"/>
        <v/>
      </c>
      <c r="L2458" s="851" t="s">
        <v>1186</v>
      </c>
      <c r="M2458" s="1705">
        <v>1518</v>
      </c>
      <c r="N2458" s="817"/>
      <c r="O2458" s="1704" t="s">
        <v>1183</v>
      </c>
    </row>
    <row r="2459" spans="1:15" s="1704" customFormat="1" x14ac:dyDescent="0.25">
      <c r="A2459" s="866" t="s">
        <v>1187</v>
      </c>
      <c r="B2459" s="817" t="str">
        <f t="shared" ca="1" si="484"/>
        <v>R21</v>
      </c>
      <c r="C2459" s="817" t="str">
        <f ca="1">IFERROR(IF('Customer Inputs'!$U$11="Existing",IF('Customer Inputs'!R2372=0,SUBSTITUTE(ADDRESS(1,MATCH(O2459,INDIRECT("'"&amp;E2459&amp;"'"&amp;"!$A$5:$Z$5"),0),4),1,""),SUBSTITUTE(ADDRESS(1,MATCH(A2459,INDIRECT("'"&amp;E2459&amp;"'"&amp;"!A$5:Z$5"),0),4),1,"")),SUBSTITUTE(ADDRESS(1,MATCH(A2459,INDIRECT("'"&amp;E2459&amp;"'"&amp;"!A$5:Z$5"),0),4),1,"")),"")</f>
        <v>R</v>
      </c>
      <c r="D2459" s="817" t="s">
        <v>1357</v>
      </c>
      <c r="E2459" s="817" t="s">
        <v>870</v>
      </c>
      <c r="F2459" s="817"/>
      <c r="G2459" s="817"/>
      <c r="H2459" s="817"/>
      <c r="I2459" s="1307" t="str">
        <f t="shared" si="480"/>
        <v/>
      </c>
      <c r="J2459" s="1705"/>
      <c r="K2459" s="1705" t="str">
        <f t="shared" si="481"/>
        <v/>
      </c>
      <c r="L2459" s="851" t="s">
        <v>1187</v>
      </c>
      <c r="M2459" s="1705">
        <v>1519</v>
      </c>
      <c r="N2459" s="817"/>
      <c r="O2459" s="1704" t="s">
        <v>1190</v>
      </c>
    </row>
    <row r="2460" spans="1:15" s="1704" customFormat="1" x14ac:dyDescent="0.25">
      <c r="A2460" s="866" t="s">
        <v>1188</v>
      </c>
      <c r="B2460" s="817" t="str">
        <f t="shared" ca="1" si="484"/>
        <v>T21</v>
      </c>
      <c r="C2460" s="817" t="str">
        <f ca="1">IFERROR(IF('Customer Inputs'!$U$11="Existing",IF('Customer Inputs'!T2372=0,SUBSTITUTE(ADDRESS(1,MATCH(O2460,INDIRECT("'"&amp;E2460&amp;"'"&amp;"!$A$5:$Z$5"),0),4),1,""),SUBSTITUTE(ADDRESS(1,MATCH(A2460,INDIRECT("'"&amp;E2460&amp;"'"&amp;"!A$5:Z$5"),0),4),1,"")),SUBSTITUTE(ADDRESS(1,MATCH(A2460,INDIRECT("'"&amp;E2460&amp;"'"&amp;"!A$5:Z$5"),0),4),1,"")),"")</f>
        <v>T</v>
      </c>
      <c r="D2460" s="817" t="s">
        <v>1357</v>
      </c>
      <c r="E2460" s="817" t="s">
        <v>870</v>
      </c>
      <c r="F2460" s="1705"/>
      <c r="G2460" s="1705"/>
      <c r="H2460" s="1705"/>
      <c r="I2460" s="1307" t="str">
        <f t="shared" si="480"/>
        <v/>
      </c>
      <c r="J2460" s="1705"/>
      <c r="K2460" s="1705" t="str">
        <f t="shared" si="481"/>
        <v/>
      </c>
      <c r="L2460" s="851" t="s">
        <v>1188</v>
      </c>
      <c r="M2460" s="1705">
        <v>1520</v>
      </c>
      <c r="N2460" s="1705"/>
      <c r="O2460" s="1704" t="s">
        <v>1184</v>
      </c>
    </row>
    <row r="2461" spans="1:15" s="1704" customFormat="1" x14ac:dyDescent="0.25">
      <c r="A2461" s="866" t="s">
        <v>1189</v>
      </c>
      <c r="B2461" s="817" t="str">
        <f t="shared" ca="1" si="484"/>
        <v>U21</v>
      </c>
      <c r="C2461" s="817" t="str">
        <f t="shared" ref="C2461:C2466" ca="1" si="485">_xlfn.IFNA(SUBSTITUTE(ADDRESS(1,MATCH(A2461,INDIRECT("'"&amp;E2461&amp;"'"&amp;"!A5:Z5"),0),4),1,""),"")</f>
        <v>U</v>
      </c>
      <c r="D2461" s="817" t="s">
        <v>1357</v>
      </c>
      <c r="E2461" s="817" t="s">
        <v>870</v>
      </c>
      <c r="F2461" s="1705"/>
      <c r="G2461" s="1705"/>
      <c r="H2461" s="1705"/>
      <c r="I2461" s="1307" t="str">
        <f t="shared" si="480"/>
        <v/>
      </c>
      <c r="J2461" s="1705"/>
      <c r="K2461" s="1705" t="str">
        <f t="shared" si="481"/>
        <v/>
      </c>
      <c r="L2461" s="851" t="s">
        <v>1189</v>
      </c>
      <c r="M2461" s="1705">
        <v>1521</v>
      </c>
      <c r="N2461" s="1705"/>
    </row>
    <row r="2462" spans="1:15" s="1704" customFormat="1" x14ac:dyDescent="0.25">
      <c r="A2462" s="866" t="s">
        <v>1339</v>
      </c>
      <c r="B2462" s="817" t="str">
        <f t="shared" ca="1" si="484"/>
        <v>V21</v>
      </c>
      <c r="C2462" s="817" t="str">
        <f t="shared" ca="1" si="485"/>
        <v>V</v>
      </c>
      <c r="D2462" s="817" t="s">
        <v>1357</v>
      </c>
      <c r="E2462" s="817" t="s">
        <v>870</v>
      </c>
      <c r="F2462" s="1705"/>
      <c r="G2462" s="1705"/>
      <c r="H2462" s="1705"/>
      <c r="I2462" s="1307" t="str">
        <f t="shared" si="480"/>
        <v/>
      </c>
      <c r="J2462" s="1705"/>
      <c r="K2462" s="1705" t="str">
        <f t="shared" si="481"/>
        <v/>
      </c>
      <c r="L2462" s="851" t="s">
        <v>1428</v>
      </c>
      <c r="M2462" s="1705">
        <v>1522</v>
      </c>
      <c r="N2462" s="1705"/>
    </row>
    <row r="2463" spans="1:15" s="1704" customFormat="1" x14ac:dyDescent="0.25">
      <c r="A2463" s="866" t="s">
        <v>1631</v>
      </c>
      <c r="B2463" s="817" t="str">
        <f t="shared" ca="1" si="484"/>
        <v>W21</v>
      </c>
      <c r="C2463" s="817" t="str">
        <f t="shared" ca="1" si="485"/>
        <v>W</v>
      </c>
      <c r="D2463" s="817" t="s">
        <v>1357</v>
      </c>
      <c r="E2463" s="817" t="s">
        <v>870</v>
      </c>
      <c r="F2463" s="1705"/>
      <c r="G2463" s="1705"/>
      <c r="H2463" s="1705"/>
      <c r="I2463" s="1307" t="str">
        <f t="shared" si="480"/>
        <v>Add or End Customer</v>
      </c>
      <c r="J2463" s="1705" t="str">
        <f>IF(M2463&lt;&gt;"",Q$1&amp;M2463,"")</f>
        <v>F1523</v>
      </c>
      <c r="K2463" s="1705" t="str">
        <f t="shared" si="481"/>
        <v>Customer Inputs</v>
      </c>
      <c r="L2463" s="851" t="s">
        <v>1631</v>
      </c>
      <c r="M2463" s="1705">
        <v>1523</v>
      </c>
      <c r="N2463" s="1705"/>
    </row>
    <row r="2464" spans="1:15" s="1704" customFormat="1" x14ac:dyDescent="0.25">
      <c r="A2464" s="861" t="s">
        <v>1182</v>
      </c>
      <c r="B2464" s="817" t="str">
        <f ca="1">_xlfn.IFNA(_xlfn.CONCAT(SUBSTITUTE(ADDRESS(1,MATCH(A2464,INDIRECT("'"&amp;E2464&amp;"'"&amp;"!A5:Z5"),0),4),1,""),22),"")</f>
        <v>H22</v>
      </c>
      <c r="C2464" s="817" t="str">
        <f t="shared" ca="1" si="485"/>
        <v>H</v>
      </c>
      <c r="D2464" s="817" t="s">
        <v>1357</v>
      </c>
      <c r="E2464" s="817" t="s">
        <v>870</v>
      </c>
      <c r="F2464" s="1705"/>
      <c r="G2464" s="1705"/>
      <c r="H2464" s="1705"/>
      <c r="I2464" s="1307" t="str">
        <f t="shared" si="480"/>
        <v>Pyramid Segment</v>
      </c>
      <c r="J2464" s="1705" t="str">
        <f>IF(AND(P2510="",M2464&lt;&gt;""),Q$1&amp;M2464,"")</f>
        <v>F1534</v>
      </c>
      <c r="K2464" s="1705" t="str">
        <f t="shared" si="481"/>
        <v>Customer Inputs</v>
      </c>
      <c r="L2464" s="817" t="s">
        <v>1182</v>
      </c>
      <c r="M2464" s="1705">
        <v>1534</v>
      </c>
      <c r="N2464" s="1705"/>
    </row>
    <row r="2465" spans="1:15" s="1704" customFormat="1" x14ac:dyDescent="0.25">
      <c r="A2465" s="862" t="s">
        <v>1262</v>
      </c>
      <c r="B2465" s="817" t="str">
        <f t="shared" ref="B2465:B2473" ca="1" si="486">_xlfn.IFNA(_xlfn.CONCAT(SUBSTITUTE(ADDRESS(1,MATCH(A2465,INDIRECT("'"&amp;E2465&amp;"'"&amp;"!A5:Z5"),0),4),1,""),22),"")</f>
        <v>I22</v>
      </c>
      <c r="C2465" s="817" t="str">
        <f t="shared" ca="1" si="485"/>
        <v>I</v>
      </c>
      <c r="D2465" s="817" t="s">
        <v>1357</v>
      </c>
      <c r="E2465" s="817" t="s">
        <v>870</v>
      </c>
      <c r="F2465" s="1705"/>
      <c r="G2465" s="1705"/>
      <c r="H2465" s="1705"/>
      <c r="I2465" s="1307" t="str">
        <f t="shared" si="480"/>
        <v>Agreement Annual Purchase Commitment</v>
      </c>
      <c r="J2465" s="1705" t="str">
        <f>Q$1&amp;IF(Q2465&lt;&gt;"",M2465,M2467)</f>
        <v>F1538</v>
      </c>
      <c r="K2465" s="1705" t="str">
        <f t="shared" si="481"/>
        <v>Customer Inputs</v>
      </c>
      <c r="L2465" s="52" t="s">
        <v>1262</v>
      </c>
      <c r="M2465" s="1705">
        <v>1536</v>
      </c>
      <c r="N2465" s="1705"/>
    </row>
    <row r="2466" spans="1:15" s="1704" customFormat="1" ht="30" x14ac:dyDescent="0.25">
      <c r="A2466" s="861" t="s">
        <v>1263</v>
      </c>
      <c r="B2466" s="817" t="str">
        <f t="shared" ca="1" si="486"/>
        <v>J22</v>
      </c>
      <c r="C2466" s="817" t="str">
        <f t="shared" ca="1" si="485"/>
        <v>J</v>
      </c>
      <c r="D2466" s="817" t="s">
        <v>1357</v>
      </c>
      <c r="E2466" s="817" t="s">
        <v>870</v>
      </c>
      <c r="F2466" s="1705"/>
      <c r="G2466" s="1705"/>
      <c r="H2466" s="1705"/>
      <c r="I2466" s="1307" t="str">
        <f t="shared" si="480"/>
        <v>Agreement Deliveries Per Customer Unit Per Week</v>
      </c>
      <c r="J2466" s="1705" t="str">
        <f>Q$1&amp;IF(Q2466&lt;&gt;"",M2466,M2468)</f>
        <v>F1539</v>
      </c>
      <c r="K2466" s="1705" t="str">
        <f t="shared" si="481"/>
        <v>Customer Inputs</v>
      </c>
      <c r="L2466" s="817" t="s">
        <v>1263</v>
      </c>
      <c r="M2466" s="1705">
        <v>1537</v>
      </c>
      <c r="N2466" s="1705"/>
    </row>
    <row r="2467" spans="1:15" s="1704" customFormat="1" x14ac:dyDescent="0.25">
      <c r="A2467" s="861" t="s">
        <v>1185</v>
      </c>
      <c r="B2467" s="817" t="str">
        <f t="shared" ca="1" si="486"/>
        <v>P22</v>
      </c>
      <c r="C2467" s="817" t="str">
        <f ca="1">IFERROR(IF('Customer Inputs'!$U$12="Existing",IF('Customer Inputs'!P2373=0,SUBSTITUTE(ADDRESS(1,MATCH(O2467,INDIRECT("'"&amp;E2467&amp;"'"&amp;"!$A$5:$Z$5"),0),4),1,""),SUBSTITUTE(ADDRESS(1,MATCH(A2467,INDIRECT("'"&amp;E2467&amp;"'"&amp;"!A$5:Z$5"),0),4),1,"")),SUBSTITUTE(ADDRESS(1,MATCH(A2467,INDIRECT("'"&amp;E2467&amp;"'"&amp;"!A$5:Z$5"),0),4),1,"")),"")</f>
        <v>P</v>
      </c>
      <c r="D2467" s="817" t="s">
        <v>1357</v>
      </c>
      <c r="E2467" s="817" t="s">
        <v>870</v>
      </c>
      <c r="F2467" s="1705"/>
      <c r="G2467" s="1705"/>
      <c r="H2467" s="1705"/>
      <c r="I2467" s="1307" t="str">
        <f t="shared" si="480"/>
        <v/>
      </c>
      <c r="J2467" s="1705"/>
      <c r="K2467" s="1705" t="str">
        <f t="shared" si="481"/>
        <v/>
      </c>
      <c r="L2467" s="817" t="s">
        <v>1185</v>
      </c>
      <c r="M2467" s="1705">
        <v>1538</v>
      </c>
      <c r="N2467" s="1705"/>
      <c r="O2467" s="1704" t="s">
        <v>868</v>
      </c>
    </row>
    <row r="2468" spans="1:15" s="1704" customFormat="1" x14ac:dyDescent="0.25">
      <c r="A2468" s="863" t="s">
        <v>1186</v>
      </c>
      <c r="B2468" s="817" t="str">
        <f t="shared" ca="1" si="486"/>
        <v>Q22</v>
      </c>
      <c r="C2468" s="817" t="str">
        <f ca="1">IFERROR(IF('Customer Inputs'!$U$12="Existing",IF('Customer Inputs'!Q2373=0,SUBSTITUTE(ADDRESS(1,MATCH(O2468,INDIRECT("'"&amp;E2468&amp;"'"&amp;"!$A$5:$Z$5"),0),4),1,""),SUBSTITUTE(ADDRESS(1,MATCH(A2468,INDIRECT("'"&amp;E2468&amp;"'"&amp;"!A$5:Z$5"),0),4),1,"")),SUBSTITUTE(ADDRESS(1,MATCH(A2468,INDIRECT("'"&amp;E2468&amp;"'"&amp;"!A$5:Z$5"),0),4),1,"")),"")</f>
        <v>Q</v>
      </c>
      <c r="D2468" s="817" t="s">
        <v>1357</v>
      </c>
      <c r="E2468" s="817" t="s">
        <v>870</v>
      </c>
      <c r="F2468" s="1705"/>
      <c r="G2468" s="1705"/>
      <c r="H2468" s="1705"/>
      <c r="I2468" s="1307" t="str">
        <f t="shared" si="480"/>
        <v/>
      </c>
      <c r="J2468" s="1705"/>
      <c r="K2468" s="1705" t="str">
        <f t="shared" si="481"/>
        <v/>
      </c>
      <c r="L2468" s="851" t="s">
        <v>1186</v>
      </c>
      <c r="M2468" s="1705">
        <v>1539</v>
      </c>
      <c r="N2468" s="1705"/>
      <c r="O2468" s="1704" t="s">
        <v>1183</v>
      </c>
    </row>
    <row r="2469" spans="1:15" s="1704" customFormat="1" x14ac:dyDescent="0.25">
      <c r="A2469" s="863" t="s">
        <v>1187</v>
      </c>
      <c r="B2469" s="817" t="str">
        <f t="shared" ca="1" si="486"/>
        <v>R22</v>
      </c>
      <c r="C2469" s="817" t="str">
        <f ca="1">IFERROR(IF('Customer Inputs'!$U$12="Existing",IF('Customer Inputs'!R2373=0,SUBSTITUTE(ADDRESS(1,MATCH(O2469,INDIRECT("'"&amp;E2469&amp;"'"&amp;"!$A$5:$Z$5"),0),4),1,""),SUBSTITUTE(ADDRESS(1,MATCH(A2469,INDIRECT("'"&amp;E2469&amp;"'"&amp;"!A$5:Z$5"),0),4),1,"")),SUBSTITUTE(ADDRESS(1,MATCH(A2469,INDIRECT("'"&amp;E2469&amp;"'"&amp;"!A$5:Z$5"),0),4),1,"")),"")</f>
        <v>R</v>
      </c>
      <c r="D2469" s="817" t="s">
        <v>1357</v>
      </c>
      <c r="E2469" s="817" t="s">
        <v>870</v>
      </c>
      <c r="F2469" s="1705"/>
      <c r="G2469" s="1705"/>
      <c r="H2469" s="1705"/>
      <c r="I2469" s="1307" t="str">
        <f t="shared" si="480"/>
        <v/>
      </c>
      <c r="J2469" s="1705"/>
      <c r="K2469" s="1705" t="str">
        <f t="shared" si="481"/>
        <v/>
      </c>
      <c r="L2469" s="851" t="s">
        <v>1187</v>
      </c>
      <c r="M2469" s="1705">
        <v>1540</v>
      </c>
      <c r="N2469" s="1705"/>
      <c r="O2469" s="1704" t="s">
        <v>1190</v>
      </c>
    </row>
    <row r="2470" spans="1:15" s="1704" customFormat="1" x14ac:dyDescent="0.25">
      <c r="A2470" s="863" t="s">
        <v>1188</v>
      </c>
      <c r="B2470" s="817" t="str">
        <f t="shared" ca="1" si="486"/>
        <v>T22</v>
      </c>
      <c r="C2470" s="817" t="str">
        <f ca="1">IFERROR(IF('Customer Inputs'!$U$12="Existing",IF('Customer Inputs'!T2373=0,SUBSTITUTE(ADDRESS(1,MATCH(O2470,INDIRECT("'"&amp;E2470&amp;"'"&amp;"!$A$5:$Z$5"),0),4),1,""),SUBSTITUTE(ADDRESS(1,MATCH(A2470,INDIRECT("'"&amp;E2470&amp;"'"&amp;"!A$5:Z$5"),0),4),1,"")),SUBSTITUTE(ADDRESS(1,MATCH(A2470,INDIRECT("'"&amp;E2470&amp;"'"&amp;"!A$5:Z$5"),0),4),1,"")),"")</f>
        <v>T</v>
      </c>
      <c r="D2470" s="817" t="s">
        <v>1357</v>
      </c>
      <c r="E2470" s="817" t="s">
        <v>870</v>
      </c>
      <c r="F2470" s="1705"/>
      <c r="G2470" s="1705"/>
      <c r="H2470" s="1705"/>
      <c r="I2470" s="1307" t="str">
        <f t="shared" si="480"/>
        <v/>
      </c>
      <c r="J2470" s="1705"/>
      <c r="K2470" s="1705" t="str">
        <f t="shared" si="481"/>
        <v/>
      </c>
      <c r="L2470" s="851" t="s">
        <v>1188</v>
      </c>
      <c r="M2470" s="1705">
        <v>1541</v>
      </c>
      <c r="N2470" s="1705"/>
      <c r="O2470" s="1704" t="s">
        <v>1184</v>
      </c>
    </row>
    <row r="2471" spans="1:15" s="1704" customFormat="1" x14ac:dyDescent="0.25">
      <c r="A2471" s="863" t="s">
        <v>1189</v>
      </c>
      <c r="B2471" s="817" t="str">
        <f t="shared" ca="1" si="486"/>
        <v>U22</v>
      </c>
      <c r="C2471" s="817" t="str">
        <f t="shared" ref="C2471:C2476" ca="1" si="487">_xlfn.IFNA(SUBSTITUTE(ADDRESS(1,MATCH(A2471,INDIRECT("'"&amp;E2471&amp;"'"&amp;"!A5:Z5"),0),4),1,""),"")</f>
        <v>U</v>
      </c>
      <c r="D2471" s="817" t="s">
        <v>1357</v>
      </c>
      <c r="E2471" s="817" t="s">
        <v>870</v>
      </c>
      <c r="F2471" s="1705"/>
      <c r="G2471" s="1705"/>
      <c r="H2471" s="1705"/>
      <c r="I2471" s="1307" t="str">
        <f t="shared" si="480"/>
        <v/>
      </c>
      <c r="J2471" s="1705"/>
      <c r="K2471" s="1705" t="str">
        <f t="shared" si="481"/>
        <v/>
      </c>
      <c r="L2471" s="851" t="s">
        <v>1189</v>
      </c>
      <c r="M2471" s="1705">
        <v>1542</v>
      </c>
      <c r="N2471" s="1705"/>
    </row>
    <row r="2472" spans="1:15" s="1704" customFormat="1" x14ac:dyDescent="0.25">
      <c r="A2472" s="863" t="s">
        <v>1339</v>
      </c>
      <c r="B2472" s="817" t="str">
        <f t="shared" ca="1" si="486"/>
        <v>V22</v>
      </c>
      <c r="C2472" s="817" t="str">
        <f t="shared" ca="1" si="487"/>
        <v>V</v>
      </c>
      <c r="D2472" s="817" t="s">
        <v>1357</v>
      </c>
      <c r="E2472" s="817" t="s">
        <v>870</v>
      </c>
      <c r="F2472" s="1705"/>
      <c r="G2472" s="1705"/>
      <c r="H2472" s="1705"/>
      <c r="I2472" s="1307" t="str">
        <f t="shared" si="480"/>
        <v/>
      </c>
      <c r="J2472" s="1705"/>
      <c r="K2472" s="1705" t="str">
        <f t="shared" si="481"/>
        <v/>
      </c>
      <c r="L2472" s="851" t="s">
        <v>1428</v>
      </c>
      <c r="M2472" s="1705">
        <v>1543</v>
      </c>
      <c r="N2472" s="1705"/>
    </row>
    <row r="2473" spans="1:15" s="1704" customFormat="1" x14ac:dyDescent="0.25">
      <c r="A2473" s="863" t="s">
        <v>1631</v>
      </c>
      <c r="B2473" s="817" t="str">
        <f t="shared" ca="1" si="486"/>
        <v>W22</v>
      </c>
      <c r="C2473" s="817" t="str">
        <f t="shared" ca="1" si="487"/>
        <v>W</v>
      </c>
      <c r="D2473" s="817" t="s">
        <v>1357</v>
      </c>
      <c r="E2473" s="817" t="s">
        <v>870</v>
      </c>
      <c r="F2473" s="1705"/>
      <c r="G2473" s="1705"/>
      <c r="H2473" s="1705"/>
      <c r="I2473" s="1307" t="str">
        <f t="shared" si="480"/>
        <v>Add or End Customer</v>
      </c>
      <c r="J2473" s="1705" t="str">
        <f>IF(M2473&lt;&gt;"",Q$1&amp;M2473,"")</f>
        <v>F1544</v>
      </c>
      <c r="K2473" s="1705" t="str">
        <f t="shared" si="481"/>
        <v>Customer Inputs</v>
      </c>
      <c r="L2473" s="851" t="s">
        <v>1631</v>
      </c>
      <c r="M2473" s="1705">
        <v>1544</v>
      </c>
      <c r="N2473" s="1705"/>
    </row>
    <row r="2474" spans="1:15" s="1704" customFormat="1" x14ac:dyDescent="0.25">
      <c r="A2474" s="864" t="s">
        <v>1182</v>
      </c>
      <c r="B2474" s="817" t="str">
        <f ca="1">_xlfn.IFNA(_xlfn.CONCAT(SUBSTITUTE(ADDRESS(1,MATCH(A2474,INDIRECT("'"&amp;E2474&amp;"'"&amp;"!A5:Z5"),0),4),1,""),23),"")</f>
        <v>H23</v>
      </c>
      <c r="C2474" s="817" t="str">
        <f t="shared" ca="1" si="487"/>
        <v>H</v>
      </c>
      <c r="D2474" s="817" t="s">
        <v>1357</v>
      </c>
      <c r="E2474" s="817" t="s">
        <v>870</v>
      </c>
      <c r="F2474" s="1705"/>
      <c r="G2474" s="1705"/>
      <c r="H2474" s="1705"/>
      <c r="I2474" s="1307" t="str">
        <f t="shared" si="480"/>
        <v>Pyramid Segment</v>
      </c>
      <c r="J2474" s="1705" t="str">
        <f>IF(AND(P2511="",M2474&lt;&gt;""),Q$1&amp;M2474,"")</f>
        <v>F1555</v>
      </c>
      <c r="K2474" s="1705" t="str">
        <f t="shared" si="481"/>
        <v>Customer Inputs</v>
      </c>
      <c r="L2474" s="817" t="s">
        <v>1182</v>
      </c>
      <c r="M2474" s="1705">
        <v>1555</v>
      </c>
      <c r="N2474" s="1705"/>
    </row>
    <row r="2475" spans="1:15" s="1704" customFormat="1" x14ac:dyDescent="0.25">
      <c r="A2475" s="865" t="s">
        <v>1262</v>
      </c>
      <c r="B2475" s="817" t="str">
        <f t="shared" ref="B2475:B2483" ca="1" si="488">_xlfn.IFNA(_xlfn.CONCAT(SUBSTITUTE(ADDRESS(1,MATCH(A2475,INDIRECT("'"&amp;E2475&amp;"'"&amp;"!A5:Z5"),0),4),1,""),23),"")</f>
        <v>I23</v>
      </c>
      <c r="C2475" s="817" t="str">
        <f t="shared" ca="1" si="487"/>
        <v>I</v>
      </c>
      <c r="D2475" s="817" t="s">
        <v>1357</v>
      </c>
      <c r="E2475" s="817" t="s">
        <v>870</v>
      </c>
      <c r="F2475" s="1705"/>
      <c r="G2475" s="1705"/>
      <c r="H2475" s="1705"/>
      <c r="I2475" s="1307" t="str">
        <f t="shared" si="480"/>
        <v>Agreement Annual Purchase Commitment</v>
      </c>
      <c r="J2475" s="1705" t="str">
        <f>Q$1&amp;IF(Q2475&lt;&gt;"",M2475,M2477)</f>
        <v>F1559</v>
      </c>
      <c r="K2475" s="1705" t="str">
        <f t="shared" si="481"/>
        <v>Customer Inputs</v>
      </c>
      <c r="L2475" s="52" t="s">
        <v>1262</v>
      </c>
      <c r="M2475" s="1705">
        <v>1557</v>
      </c>
      <c r="N2475" s="1705"/>
    </row>
    <row r="2476" spans="1:15" s="1704" customFormat="1" ht="30" x14ac:dyDescent="0.25">
      <c r="A2476" s="864" t="s">
        <v>1263</v>
      </c>
      <c r="B2476" s="817" t="str">
        <f t="shared" ca="1" si="488"/>
        <v>J23</v>
      </c>
      <c r="C2476" s="817" t="str">
        <f t="shared" ca="1" si="487"/>
        <v>J</v>
      </c>
      <c r="D2476" s="817" t="s">
        <v>1357</v>
      </c>
      <c r="E2476" s="817" t="s">
        <v>870</v>
      </c>
      <c r="F2476" s="1705"/>
      <c r="G2476" s="1705"/>
      <c r="H2476" s="1705"/>
      <c r="I2476" s="1307" t="str">
        <f t="shared" si="480"/>
        <v>Agreement Deliveries Per Customer Unit Per Week</v>
      </c>
      <c r="J2476" s="1705" t="str">
        <f>Q$1&amp;IF(Q2476&lt;&gt;"",M2476,M2478)</f>
        <v>F1560</v>
      </c>
      <c r="K2476" s="1705" t="str">
        <f t="shared" si="481"/>
        <v>Customer Inputs</v>
      </c>
      <c r="L2476" s="817" t="s">
        <v>1263</v>
      </c>
      <c r="M2476" s="1705">
        <v>1558</v>
      </c>
      <c r="N2476" s="1705"/>
    </row>
    <row r="2477" spans="1:15" s="1704" customFormat="1" x14ac:dyDescent="0.25">
      <c r="A2477" s="864" t="s">
        <v>1185</v>
      </c>
      <c r="B2477" s="817" t="str">
        <f t="shared" ca="1" si="488"/>
        <v>P23</v>
      </c>
      <c r="C2477" s="817" t="str">
        <f ca="1">IFERROR(IF('Customer Inputs'!$U$13="Existing",IF('Customer Inputs'!P2374=0,SUBSTITUTE(ADDRESS(1,MATCH(O2477,INDIRECT("'"&amp;E2477&amp;"'"&amp;"!$A$5:$Z$5"),0),4),1,""),SUBSTITUTE(ADDRESS(1,MATCH(A2477,INDIRECT("'"&amp;E2477&amp;"'"&amp;"!A$5:Z$5"),0),4),1,"")),SUBSTITUTE(ADDRESS(1,MATCH(A2477,INDIRECT("'"&amp;E2477&amp;"'"&amp;"!A$5:Z$5"),0),4),1,"")),"")</f>
        <v>P</v>
      </c>
      <c r="D2477" s="817" t="s">
        <v>1357</v>
      </c>
      <c r="E2477" s="817" t="s">
        <v>870</v>
      </c>
      <c r="F2477" s="1705"/>
      <c r="G2477" s="1705"/>
      <c r="H2477" s="1705"/>
      <c r="I2477" s="1307" t="str">
        <f t="shared" si="480"/>
        <v/>
      </c>
      <c r="J2477" s="1705"/>
      <c r="K2477" s="1705" t="str">
        <f t="shared" si="481"/>
        <v/>
      </c>
      <c r="L2477" s="817" t="s">
        <v>1185</v>
      </c>
      <c r="M2477" s="1705">
        <v>1559</v>
      </c>
      <c r="N2477" s="1705"/>
      <c r="O2477" s="1704" t="s">
        <v>868</v>
      </c>
    </row>
    <row r="2478" spans="1:15" s="1704" customFormat="1" x14ac:dyDescent="0.25">
      <c r="A2478" s="866" t="s">
        <v>1186</v>
      </c>
      <c r="B2478" s="817" t="str">
        <f t="shared" ca="1" si="488"/>
        <v>Q23</v>
      </c>
      <c r="C2478" s="817" t="str">
        <f ca="1">IFERROR(IF('Customer Inputs'!$U$13="Existing",IF('Customer Inputs'!Q2374=0,SUBSTITUTE(ADDRESS(1,MATCH(O2478,INDIRECT("'"&amp;E2478&amp;"'"&amp;"!$A$5:$Z$5"),0),4),1,""),SUBSTITUTE(ADDRESS(1,MATCH(A2478,INDIRECT("'"&amp;E2478&amp;"'"&amp;"!A$5:Z$5"),0),4),1,"")),SUBSTITUTE(ADDRESS(1,MATCH(A2478,INDIRECT("'"&amp;E2478&amp;"'"&amp;"!A$5:Z$5"),0),4),1,"")),"")</f>
        <v>Q</v>
      </c>
      <c r="D2478" s="817" t="s">
        <v>1357</v>
      </c>
      <c r="E2478" s="817" t="s">
        <v>870</v>
      </c>
      <c r="F2478" s="1705"/>
      <c r="G2478" s="1705"/>
      <c r="H2478" s="1705"/>
      <c r="I2478" s="1307" t="str">
        <f t="shared" si="480"/>
        <v/>
      </c>
      <c r="J2478" s="1705"/>
      <c r="K2478" s="1705" t="str">
        <f t="shared" si="481"/>
        <v/>
      </c>
      <c r="L2478" s="851" t="s">
        <v>1186</v>
      </c>
      <c r="M2478" s="1705">
        <v>1560</v>
      </c>
      <c r="N2478" s="1705"/>
      <c r="O2478" s="1704" t="s">
        <v>1183</v>
      </c>
    </row>
    <row r="2479" spans="1:15" s="1704" customFormat="1" x14ac:dyDescent="0.25">
      <c r="A2479" s="866" t="s">
        <v>1187</v>
      </c>
      <c r="B2479" s="817" t="str">
        <f t="shared" ca="1" si="488"/>
        <v>R23</v>
      </c>
      <c r="C2479" s="817" t="str">
        <f ca="1">IFERROR(IF('Customer Inputs'!$U$13="Existing",IF('Customer Inputs'!R2374=0,SUBSTITUTE(ADDRESS(1,MATCH(O2479,INDIRECT("'"&amp;E2479&amp;"'"&amp;"!$A$5:$Z$5"),0),4),1,""),SUBSTITUTE(ADDRESS(1,MATCH(A2479,INDIRECT("'"&amp;E2479&amp;"'"&amp;"!A$5:Z$5"),0),4),1,"")),SUBSTITUTE(ADDRESS(1,MATCH(A2479,INDIRECT("'"&amp;E2479&amp;"'"&amp;"!A$5:Z$5"),0),4),1,"")),"")</f>
        <v>R</v>
      </c>
      <c r="D2479" s="817" t="s">
        <v>1357</v>
      </c>
      <c r="E2479" s="817" t="s">
        <v>870</v>
      </c>
      <c r="F2479" s="1705"/>
      <c r="G2479" s="1705"/>
      <c r="H2479" s="1705"/>
      <c r="I2479" s="1307" t="str">
        <f t="shared" si="480"/>
        <v/>
      </c>
      <c r="J2479" s="1705"/>
      <c r="K2479" s="1705" t="str">
        <f t="shared" si="481"/>
        <v/>
      </c>
      <c r="L2479" s="851" t="s">
        <v>1187</v>
      </c>
      <c r="M2479" s="1705">
        <v>1561</v>
      </c>
      <c r="N2479" s="1705"/>
      <c r="O2479" s="1704" t="s">
        <v>1190</v>
      </c>
    </row>
    <row r="2480" spans="1:15" s="1704" customFormat="1" x14ac:dyDescent="0.25">
      <c r="A2480" s="866" t="s">
        <v>1188</v>
      </c>
      <c r="B2480" s="817" t="str">
        <f t="shared" ca="1" si="488"/>
        <v>T23</v>
      </c>
      <c r="C2480" s="817" t="str">
        <f ca="1">IFERROR(IF('Customer Inputs'!$U$13="Existing",IF('Customer Inputs'!T2374=0,SUBSTITUTE(ADDRESS(1,MATCH(O2480,INDIRECT("'"&amp;E2480&amp;"'"&amp;"!$A$5:$Z$5"),0),4),1,""),SUBSTITUTE(ADDRESS(1,MATCH(A2480,INDIRECT("'"&amp;E2480&amp;"'"&amp;"!A$5:Z$5"),0),4),1,"")),SUBSTITUTE(ADDRESS(1,MATCH(A2480,INDIRECT("'"&amp;E2480&amp;"'"&amp;"!A$5:Z$5"),0),4),1,"")),"")</f>
        <v>T</v>
      </c>
      <c r="D2480" s="817" t="s">
        <v>1357</v>
      </c>
      <c r="E2480" s="817" t="s">
        <v>870</v>
      </c>
      <c r="F2480" s="1705"/>
      <c r="G2480" s="1705"/>
      <c r="H2480" s="1705"/>
      <c r="I2480" s="1307" t="str">
        <f t="shared" si="480"/>
        <v/>
      </c>
      <c r="J2480" s="1705"/>
      <c r="K2480" s="1705" t="str">
        <f t="shared" si="481"/>
        <v/>
      </c>
      <c r="L2480" s="851" t="s">
        <v>1188</v>
      </c>
      <c r="M2480" s="1705">
        <v>1562</v>
      </c>
      <c r="N2480" s="1705"/>
      <c r="O2480" s="1704" t="s">
        <v>1184</v>
      </c>
    </row>
    <row r="2481" spans="1:15" s="1704" customFormat="1" x14ac:dyDescent="0.25">
      <c r="A2481" s="866" t="s">
        <v>1189</v>
      </c>
      <c r="B2481" s="817" t="str">
        <f t="shared" ca="1" si="488"/>
        <v>U23</v>
      </c>
      <c r="C2481" s="817" t="str">
        <f t="shared" ref="C2481:C2486" ca="1" si="489">_xlfn.IFNA(SUBSTITUTE(ADDRESS(1,MATCH(A2481,INDIRECT("'"&amp;E2481&amp;"'"&amp;"!A5:Z5"),0),4),1,""),"")</f>
        <v>U</v>
      </c>
      <c r="D2481" s="817" t="s">
        <v>1357</v>
      </c>
      <c r="E2481" s="817" t="s">
        <v>870</v>
      </c>
      <c r="F2481" s="1705"/>
      <c r="G2481" s="1705"/>
      <c r="H2481" s="1705"/>
      <c r="I2481" s="1307" t="str">
        <f t="shared" si="480"/>
        <v/>
      </c>
      <c r="J2481" s="1705"/>
      <c r="K2481" s="1705" t="str">
        <f t="shared" si="481"/>
        <v/>
      </c>
      <c r="L2481" s="851" t="s">
        <v>1189</v>
      </c>
      <c r="M2481" s="1705">
        <v>1563</v>
      </c>
      <c r="N2481" s="1705"/>
    </row>
    <row r="2482" spans="1:15" s="1704" customFormat="1" x14ac:dyDescent="0.25">
      <c r="A2482" s="866" t="s">
        <v>1339</v>
      </c>
      <c r="B2482" s="817" t="str">
        <f t="shared" ca="1" si="488"/>
        <v>V23</v>
      </c>
      <c r="C2482" s="817" t="str">
        <f t="shared" ca="1" si="489"/>
        <v>V</v>
      </c>
      <c r="D2482" s="817" t="s">
        <v>1357</v>
      </c>
      <c r="E2482" s="817" t="s">
        <v>870</v>
      </c>
      <c r="F2482" s="1705"/>
      <c r="G2482" s="1705"/>
      <c r="H2482" s="1705"/>
      <c r="I2482" s="1307" t="str">
        <f t="shared" si="480"/>
        <v/>
      </c>
      <c r="J2482" s="1705"/>
      <c r="K2482" s="1705" t="str">
        <f t="shared" si="481"/>
        <v/>
      </c>
      <c r="L2482" s="851" t="s">
        <v>1428</v>
      </c>
      <c r="M2482" s="1705">
        <v>1564</v>
      </c>
      <c r="N2482" s="1705"/>
    </row>
    <row r="2483" spans="1:15" s="1704" customFormat="1" x14ac:dyDescent="0.25">
      <c r="A2483" s="866" t="s">
        <v>1631</v>
      </c>
      <c r="B2483" s="817" t="str">
        <f t="shared" ca="1" si="488"/>
        <v>W23</v>
      </c>
      <c r="C2483" s="817" t="str">
        <f t="shared" ca="1" si="489"/>
        <v>W</v>
      </c>
      <c r="D2483" s="817" t="s">
        <v>1357</v>
      </c>
      <c r="E2483" s="817" t="s">
        <v>870</v>
      </c>
      <c r="F2483" s="1705"/>
      <c r="G2483" s="1705"/>
      <c r="H2483" s="1705"/>
      <c r="I2483" s="1307" t="str">
        <f t="shared" si="480"/>
        <v>Add or End Customer</v>
      </c>
      <c r="J2483" s="1705" t="str">
        <f>IF(M2483&lt;&gt;"",Q$1&amp;M2483,"")</f>
        <v>F1565</v>
      </c>
      <c r="K2483" s="1705" t="str">
        <f t="shared" si="481"/>
        <v>Customer Inputs</v>
      </c>
      <c r="L2483" s="851" t="s">
        <v>1631</v>
      </c>
      <c r="M2483" s="1705">
        <v>1565</v>
      </c>
      <c r="N2483" s="1705"/>
    </row>
    <row r="2484" spans="1:15" s="1704" customFormat="1" x14ac:dyDescent="0.25">
      <c r="A2484" s="861" t="s">
        <v>1182</v>
      </c>
      <c r="B2484" s="817" t="str">
        <f ca="1">_xlfn.IFNA(_xlfn.CONCAT(SUBSTITUTE(ADDRESS(1,MATCH(A2484,INDIRECT("'"&amp;E2484&amp;"'"&amp;"!A5:Z5"),0),4),1,""),24),"")</f>
        <v>H24</v>
      </c>
      <c r="C2484" s="817" t="str">
        <f t="shared" ca="1" si="489"/>
        <v>H</v>
      </c>
      <c r="D2484" s="817" t="s">
        <v>1357</v>
      </c>
      <c r="E2484" s="817" t="s">
        <v>870</v>
      </c>
      <c r="F2484" s="1705"/>
      <c r="G2484" s="1705"/>
      <c r="H2484" s="1705"/>
      <c r="I2484" s="1307" t="str">
        <f t="shared" si="480"/>
        <v>Pyramid Segment</v>
      </c>
      <c r="J2484" s="1705" t="str">
        <f>IF(AND(P2512="",M2484&lt;&gt;""),Q$1&amp;M2484,"")</f>
        <v>F1576</v>
      </c>
      <c r="K2484" s="1705" t="str">
        <f t="shared" si="481"/>
        <v>Customer Inputs</v>
      </c>
      <c r="L2484" s="817" t="s">
        <v>1182</v>
      </c>
      <c r="M2484" s="1705">
        <v>1576</v>
      </c>
      <c r="N2484" s="1705"/>
    </row>
    <row r="2485" spans="1:15" s="1704" customFormat="1" x14ac:dyDescent="0.25">
      <c r="A2485" s="862" t="s">
        <v>1262</v>
      </c>
      <c r="B2485" s="817" t="str">
        <f t="shared" ref="B2485:B2493" ca="1" si="490">_xlfn.IFNA(_xlfn.CONCAT(SUBSTITUTE(ADDRESS(1,MATCH(A2485,INDIRECT("'"&amp;E2485&amp;"'"&amp;"!A5:Z5"),0),4),1,""),24),"")</f>
        <v>I24</v>
      </c>
      <c r="C2485" s="817" t="str">
        <f t="shared" ca="1" si="489"/>
        <v>I</v>
      </c>
      <c r="D2485" s="817" t="s">
        <v>1357</v>
      </c>
      <c r="E2485" s="817" t="s">
        <v>870</v>
      </c>
      <c r="F2485" s="1705"/>
      <c r="G2485" s="1705"/>
      <c r="H2485" s="1705"/>
      <c r="I2485" s="1307" t="str">
        <f t="shared" si="480"/>
        <v>Agreement Annual Purchase Commitment</v>
      </c>
      <c r="J2485" s="1705" t="str">
        <f>Q$1&amp;IF(Q2485&lt;&gt;"",M2485,M2487)</f>
        <v>F1580</v>
      </c>
      <c r="K2485" s="1705" t="str">
        <f t="shared" si="481"/>
        <v>Customer Inputs</v>
      </c>
      <c r="L2485" s="52" t="s">
        <v>1262</v>
      </c>
      <c r="M2485" s="1705">
        <v>1578</v>
      </c>
      <c r="N2485" s="1705"/>
    </row>
    <row r="2486" spans="1:15" s="1704" customFormat="1" ht="30" x14ac:dyDescent="0.25">
      <c r="A2486" s="861" t="s">
        <v>1263</v>
      </c>
      <c r="B2486" s="817" t="str">
        <f t="shared" ca="1" si="490"/>
        <v>J24</v>
      </c>
      <c r="C2486" s="817" t="str">
        <f t="shared" ca="1" si="489"/>
        <v>J</v>
      </c>
      <c r="D2486" s="817" t="s">
        <v>1357</v>
      </c>
      <c r="E2486" s="817" t="s">
        <v>870</v>
      </c>
      <c r="F2486" s="1705"/>
      <c r="G2486" s="1705"/>
      <c r="H2486" s="1705"/>
      <c r="I2486" s="1307" t="str">
        <f t="shared" si="480"/>
        <v>Agreement Deliveries Per Customer Unit Per Week</v>
      </c>
      <c r="J2486" s="1705" t="str">
        <f>Q$1&amp;IF(Q2486&lt;&gt;"",M2486,M2488)</f>
        <v>F1581</v>
      </c>
      <c r="K2486" s="1705" t="str">
        <f t="shared" si="481"/>
        <v>Customer Inputs</v>
      </c>
      <c r="L2486" s="817" t="s">
        <v>1263</v>
      </c>
      <c r="M2486" s="1705">
        <v>1579</v>
      </c>
      <c r="N2486" s="1705"/>
    </row>
    <row r="2487" spans="1:15" s="1704" customFormat="1" x14ac:dyDescent="0.25">
      <c r="A2487" s="861" t="s">
        <v>1185</v>
      </c>
      <c r="B2487" s="817" t="str">
        <f t="shared" ca="1" si="490"/>
        <v>P24</v>
      </c>
      <c r="C2487" s="817" t="str">
        <f ca="1">IFERROR(IF('Customer Inputs'!$U$14="Existing",IF('Customer Inputs'!P2375=0,SUBSTITUTE(ADDRESS(1,MATCH(O2487,INDIRECT("'"&amp;E2487&amp;"'"&amp;"!$A$5:$Z$5"),0),4),1,""),SUBSTITUTE(ADDRESS(1,MATCH(A2487,INDIRECT("'"&amp;E2487&amp;"'"&amp;"!A$5:Z$5"),0),4),1,"")),SUBSTITUTE(ADDRESS(1,MATCH(A2487,INDIRECT("'"&amp;E2487&amp;"'"&amp;"!A$5:Z$5"),0),4),1,"")),"")</f>
        <v>P</v>
      </c>
      <c r="D2487" s="817" t="s">
        <v>1357</v>
      </c>
      <c r="E2487" s="817" t="s">
        <v>870</v>
      </c>
      <c r="F2487" s="1705"/>
      <c r="G2487" s="1705"/>
      <c r="H2487" s="1705"/>
      <c r="I2487" s="1307" t="str">
        <f t="shared" si="480"/>
        <v/>
      </c>
      <c r="J2487" s="1705"/>
      <c r="K2487" s="1705" t="str">
        <f t="shared" si="481"/>
        <v/>
      </c>
      <c r="L2487" s="817" t="s">
        <v>1185</v>
      </c>
      <c r="M2487" s="1705">
        <v>1580</v>
      </c>
      <c r="N2487" s="1705"/>
      <c r="O2487" s="1704" t="s">
        <v>868</v>
      </c>
    </row>
    <row r="2488" spans="1:15" s="1704" customFormat="1" x14ac:dyDescent="0.25">
      <c r="A2488" s="863" t="s">
        <v>1186</v>
      </c>
      <c r="B2488" s="817" t="str">
        <f t="shared" ca="1" si="490"/>
        <v>Q24</v>
      </c>
      <c r="C2488" s="817" t="str">
        <f ca="1">IFERROR(IF('Customer Inputs'!$U$14="Existing",IF('Customer Inputs'!Q2375=0,SUBSTITUTE(ADDRESS(1,MATCH(O2488,INDIRECT("'"&amp;E2488&amp;"'"&amp;"!$A$5:$Z$5"),0),4),1,""),SUBSTITUTE(ADDRESS(1,MATCH(A2488,INDIRECT("'"&amp;E2488&amp;"'"&amp;"!A$5:Z$5"),0),4),1,"")),SUBSTITUTE(ADDRESS(1,MATCH(A2488,INDIRECT("'"&amp;E2488&amp;"'"&amp;"!A$5:Z$5"),0),4),1,"")),"")</f>
        <v>Q</v>
      </c>
      <c r="D2488" s="817" t="s">
        <v>1357</v>
      </c>
      <c r="E2488" s="817" t="s">
        <v>870</v>
      </c>
      <c r="F2488" s="1705"/>
      <c r="G2488" s="1705"/>
      <c r="H2488" s="1705"/>
      <c r="I2488" s="1307" t="str">
        <f t="shared" si="480"/>
        <v/>
      </c>
      <c r="J2488" s="1705"/>
      <c r="K2488" s="1705" t="str">
        <f t="shared" si="481"/>
        <v/>
      </c>
      <c r="L2488" s="851" t="s">
        <v>1186</v>
      </c>
      <c r="M2488" s="1705">
        <v>1581</v>
      </c>
      <c r="N2488" s="1705"/>
      <c r="O2488" s="1704" t="s">
        <v>1183</v>
      </c>
    </row>
    <row r="2489" spans="1:15" s="1704" customFormat="1" x14ac:dyDescent="0.25">
      <c r="A2489" s="863" t="s">
        <v>1187</v>
      </c>
      <c r="B2489" s="817" t="str">
        <f t="shared" ca="1" si="490"/>
        <v>R24</v>
      </c>
      <c r="C2489" s="817" t="str">
        <f ca="1">IFERROR(IF('Customer Inputs'!$U$14="Existing",IF('Customer Inputs'!R2375=0,SUBSTITUTE(ADDRESS(1,MATCH(O2489,INDIRECT("'"&amp;E2489&amp;"'"&amp;"!$A$5:$Z$5"),0),4),1,""),SUBSTITUTE(ADDRESS(1,MATCH(A2489,INDIRECT("'"&amp;E2489&amp;"'"&amp;"!A$5:Z$5"),0),4),1,"")),SUBSTITUTE(ADDRESS(1,MATCH(A2489,INDIRECT("'"&amp;E2489&amp;"'"&amp;"!A$5:Z$5"),0),4),1,"")),"")</f>
        <v>R</v>
      </c>
      <c r="D2489" s="817" t="s">
        <v>1357</v>
      </c>
      <c r="E2489" s="817" t="s">
        <v>870</v>
      </c>
      <c r="F2489" s="1705"/>
      <c r="G2489" s="1705"/>
      <c r="H2489" s="1705"/>
      <c r="I2489" s="1307" t="str">
        <f t="shared" si="480"/>
        <v/>
      </c>
      <c r="J2489" s="1705"/>
      <c r="K2489" s="1705" t="str">
        <f t="shared" si="481"/>
        <v/>
      </c>
      <c r="L2489" s="851" t="s">
        <v>1187</v>
      </c>
      <c r="M2489" s="1705">
        <v>1582</v>
      </c>
      <c r="N2489" s="1705"/>
      <c r="O2489" s="1704" t="s">
        <v>1190</v>
      </c>
    </row>
    <row r="2490" spans="1:15" s="1704" customFormat="1" x14ac:dyDescent="0.25">
      <c r="A2490" s="863" t="s">
        <v>1188</v>
      </c>
      <c r="B2490" s="817" t="str">
        <f t="shared" ca="1" si="490"/>
        <v>T24</v>
      </c>
      <c r="C2490" s="817" t="str">
        <f ca="1">IFERROR(IF('Customer Inputs'!$U$14="Existing",IF('Customer Inputs'!T2375=0,SUBSTITUTE(ADDRESS(1,MATCH(O2490,INDIRECT("'"&amp;E2490&amp;"'"&amp;"!$A$5:$Z$5"),0),4),1,""),SUBSTITUTE(ADDRESS(1,MATCH(A2490,INDIRECT("'"&amp;E2490&amp;"'"&amp;"!A$5:Z$5"),0),4),1,"")),SUBSTITUTE(ADDRESS(1,MATCH(A2490,INDIRECT("'"&amp;E2490&amp;"'"&amp;"!A$5:Z$5"),0),4),1,"")),"")</f>
        <v>T</v>
      </c>
      <c r="D2490" s="817" t="s">
        <v>1357</v>
      </c>
      <c r="E2490" s="817" t="s">
        <v>870</v>
      </c>
      <c r="F2490" s="1705"/>
      <c r="G2490" s="1705"/>
      <c r="H2490" s="1705"/>
      <c r="I2490" s="1307" t="str">
        <f t="shared" si="480"/>
        <v/>
      </c>
      <c r="J2490" s="1705"/>
      <c r="K2490" s="1705" t="str">
        <f t="shared" si="481"/>
        <v/>
      </c>
      <c r="L2490" s="851" t="s">
        <v>1188</v>
      </c>
      <c r="M2490" s="1705">
        <v>1583</v>
      </c>
      <c r="N2490" s="1705"/>
      <c r="O2490" s="1704" t="s">
        <v>1184</v>
      </c>
    </row>
    <row r="2491" spans="1:15" s="1704" customFormat="1" x14ac:dyDescent="0.25">
      <c r="A2491" s="863" t="s">
        <v>1189</v>
      </c>
      <c r="B2491" s="817" t="str">
        <f t="shared" ca="1" si="490"/>
        <v>U24</v>
      </c>
      <c r="C2491" s="817" t="str">
        <f t="shared" ref="C2491:C2496" ca="1" si="491">_xlfn.IFNA(SUBSTITUTE(ADDRESS(1,MATCH(A2491,INDIRECT("'"&amp;E2491&amp;"'"&amp;"!A5:Z5"),0),4),1,""),"")</f>
        <v>U</v>
      </c>
      <c r="D2491" s="817" t="s">
        <v>1357</v>
      </c>
      <c r="E2491" s="817" t="s">
        <v>870</v>
      </c>
      <c r="F2491" s="1705"/>
      <c r="G2491" s="1705"/>
      <c r="H2491" s="1705"/>
      <c r="I2491" s="1307" t="str">
        <f t="shared" si="480"/>
        <v/>
      </c>
      <c r="J2491" s="1705"/>
      <c r="K2491" s="1705" t="str">
        <f t="shared" si="481"/>
        <v/>
      </c>
      <c r="L2491" s="851" t="s">
        <v>1189</v>
      </c>
      <c r="M2491" s="1705">
        <v>1584</v>
      </c>
      <c r="N2491" s="1705"/>
    </row>
    <row r="2492" spans="1:15" s="1704" customFormat="1" x14ac:dyDescent="0.25">
      <c r="A2492" s="863" t="s">
        <v>1339</v>
      </c>
      <c r="B2492" s="817" t="str">
        <f t="shared" ca="1" si="490"/>
        <v>V24</v>
      </c>
      <c r="C2492" s="817" t="str">
        <f t="shared" ca="1" si="491"/>
        <v>V</v>
      </c>
      <c r="D2492" s="817" t="s">
        <v>1357</v>
      </c>
      <c r="E2492" s="817" t="s">
        <v>870</v>
      </c>
      <c r="F2492" s="1705"/>
      <c r="G2492" s="1705"/>
      <c r="H2492" s="1705"/>
      <c r="I2492" s="1307" t="str">
        <f t="shared" si="480"/>
        <v/>
      </c>
      <c r="J2492" s="1705"/>
      <c r="K2492" s="1705" t="str">
        <f t="shared" si="481"/>
        <v/>
      </c>
      <c r="L2492" s="851" t="s">
        <v>1428</v>
      </c>
      <c r="M2492" s="1705">
        <v>1585</v>
      </c>
      <c r="N2492" s="1705"/>
    </row>
    <row r="2493" spans="1:15" s="1704" customFormat="1" x14ac:dyDescent="0.25">
      <c r="A2493" s="863" t="s">
        <v>1631</v>
      </c>
      <c r="B2493" s="817" t="str">
        <f t="shared" ca="1" si="490"/>
        <v>W24</v>
      </c>
      <c r="C2493" s="817" t="str">
        <f t="shared" ca="1" si="491"/>
        <v>W</v>
      </c>
      <c r="D2493" s="817" t="s">
        <v>1357</v>
      </c>
      <c r="E2493" s="817" t="s">
        <v>870</v>
      </c>
      <c r="F2493" s="1705"/>
      <c r="G2493" s="1705"/>
      <c r="H2493" s="1705"/>
      <c r="I2493" s="1307" t="str">
        <f t="shared" si="480"/>
        <v>Add or End Customer</v>
      </c>
      <c r="J2493" s="1705" t="str">
        <f t="shared" ref="J2493" si="492">IF(M2493&lt;&gt;"",Q$1&amp;M2493,"")</f>
        <v>F1589</v>
      </c>
      <c r="K2493" s="1705" t="str">
        <f t="shared" si="481"/>
        <v>Customer Inputs</v>
      </c>
      <c r="L2493" s="851" t="s">
        <v>1631</v>
      </c>
      <c r="M2493" s="1705">
        <v>1589</v>
      </c>
      <c r="N2493" s="1705"/>
    </row>
    <row r="2494" spans="1:15" s="1704" customFormat="1" x14ac:dyDescent="0.25">
      <c r="A2494" s="864" t="s">
        <v>1182</v>
      </c>
      <c r="B2494" s="817" t="str">
        <f ca="1">_xlfn.IFNA(_xlfn.CONCAT(SUBSTITUTE(ADDRESS(1,MATCH(A2494,INDIRECT("'"&amp;E2494&amp;"'"&amp;"!A5:Z5"),0),4),1,""),25),"")</f>
        <v>H25</v>
      </c>
      <c r="C2494" s="817" t="str">
        <f t="shared" ca="1" si="491"/>
        <v>H</v>
      </c>
      <c r="D2494" s="817" t="s">
        <v>1357</v>
      </c>
      <c r="E2494" s="817" t="s">
        <v>870</v>
      </c>
      <c r="F2494" s="1705"/>
      <c r="G2494" s="1705"/>
      <c r="H2494" s="1705"/>
      <c r="I2494" s="1307" t="str">
        <f t="shared" si="480"/>
        <v>Pyramid Segment</v>
      </c>
      <c r="J2494" s="1705" t="str">
        <f>IF(AND(P2513="",M2494&lt;&gt;""),Q$1&amp;M2494,"")</f>
        <v>F1597</v>
      </c>
      <c r="K2494" s="1705" t="str">
        <f t="shared" si="481"/>
        <v>Customer Inputs</v>
      </c>
      <c r="L2494" s="817" t="s">
        <v>1182</v>
      </c>
      <c r="M2494" s="1705">
        <v>1597</v>
      </c>
      <c r="N2494" s="1705"/>
    </row>
    <row r="2495" spans="1:15" s="1704" customFormat="1" x14ac:dyDescent="0.25">
      <c r="A2495" s="865" t="s">
        <v>1262</v>
      </c>
      <c r="B2495" s="817" t="str">
        <f t="shared" ref="B2495:B2503" ca="1" si="493">_xlfn.IFNA(_xlfn.CONCAT(SUBSTITUTE(ADDRESS(1,MATCH(A2495,INDIRECT("'"&amp;E2495&amp;"'"&amp;"!A5:Z5"),0),4),1,""),25),"")</f>
        <v>I25</v>
      </c>
      <c r="C2495" s="817" t="str">
        <f t="shared" ca="1" si="491"/>
        <v>I</v>
      </c>
      <c r="D2495" s="817" t="s">
        <v>1357</v>
      </c>
      <c r="E2495" s="817" t="s">
        <v>870</v>
      </c>
      <c r="F2495" s="1705"/>
      <c r="G2495" s="1705"/>
      <c r="H2495" s="1705"/>
      <c r="I2495" s="1307" t="str">
        <f t="shared" si="480"/>
        <v>Agreement Annual Purchase Commitment</v>
      </c>
      <c r="J2495" s="1705" t="str">
        <f>Q$1&amp;IF(Q2495&lt;&gt;"",M2495,M2497)</f>
        <v>F1601</v>
      </c>
      <c r="K2495" s="1705" t="str">
        <f t="shared" si="481"/>
        <v>Customer Inputs</v>
      </c>
      <c r="L2495" s="52" t="s">
        <v>1262</v>
      </c>
      <c r="M2495" s="1705">
        <v>1599</v>
      </c>
      <c r="N2495" s="1705"/>
    </row>
    <row r="2496" spans="1:15" s="1704" customFormat="1" ht="30" x14ac:dyDescent="0.25">
      <c r="A2496" s="864" t="s">
        <v>1263</v>
      </c>
      <c r="B2496" s="817" t="str">
        <f t="shared" ca="1" si="493"/>
        <v>J25</v>
      </c>
      <c r="C2496" s="817" t="str">
        <f t="shared" ca="1" si="491"/>
        <v>J</v>
      </c>
      <c r="D2496" s="817" t="s">
        <v>1357</v>
      </c>
      <c r="E2496" s="817" t="s">
        <v>870</v>
      </c>
      <c r="F2496" s="1705"/>
      <c r="G2496" s="1705"/>
      <c r="H2496" s="1705"/>
      <c r="I2496" s="1307" t="str">
        <f t="shared" si="480"/>
        <v>Agreement Deliveries Per Customer Unit Per Week</v>
      </c>
      <c r="J2496" s="1705" t="str">
        <f>Q$1&amp;IF(Q2496&lt;&gt;"",M2496,M2498)</f>
        <v>F1602</v>
      </c>
      <c r="K2496" s="1705" t="str">
        <f t="shared" si="481"/>
        <v>Customer Inputs</v>
      </c>
      <c r="L2496" s="817" t="s">
        <v>1263</v>
      </c>
      <c r="M2496" s="1705">
        <v>1600</v>
      </c>
      <c r="N2496" s="1705"/>
    </row>
    <row r="2497" spans="1:16" s="1704" customFormat="1" x14ac:dyDescent="0.25">
      <c r="A2497" s="864" t="s">
        <v>1185</v>
      </c>
      <c r="B2497" s="817" t="str">
        <f t="shared" ca="1" si="493"/>
        <v>P25</v>
      </c>
      <c r="C2497" s="817" t="str">
        <f ca="1">IFERROR(IF('Customer Inputs'!$U$15="Existing",IF('Customer Inputs'!P2376=0,SUBSTITUTE(ADDRESS(1,MATCH(O2497,INDIRECT("'"&amp;E2497&amp;"'"&amp;"!$A$5:$Z$5"),0),4),1,""),SUBSTITUTE(ADDRESS(1,MATCH(A2497,INDIRECT("'"&amp;E2497&amp;"'"&amp;"!A$5:Z$5"),0),4),1,"")),SUBSTITUTE(ADDRESS(1,MATCH(A2497,INDIRECT("'"&amp;E2497&amp;"'"&amp;"!A$5:Z$5"),0),4),1,"")),"")</f>
        <v>P</v>
      </c>
      <c r="D2497" s="817" t="s">
        <v>1357</v>
      </c>
      <c r="E2497" s="817" t="s">
        <v>870</v>
      </c>
      <c r="F2497" s="1705"/>
      <c r="G2497" s="1705"/>
      <c r="H2497" s="1705"/>
      <c r="I2497" s="1307" t="str">
        <f t="shared" si="480"/>
        <v/>
      </c>
      <c r="J2497" s="1705"/>
      <c r="K2497" s="1705" t="str">
        <f t="shared" si="481"/>
        <v/>
      </c>
      <c r="L2497" s="817" t="s">
        <v>1185</v>
      </c>
      <c r="M2497" s="1705">
        <v>1601</v>
      </c>
      <c r="N2497" s="1705"/>
      <c r="O2497" s="1704" t="s">
        <v>868</v>
      </c>
    </row>
    <row r="2498" spans="1:16" s="1704" customFormat="1" x14ac:dyDescent="0.25">
      <c r="A2498" s="866" t="s">
        <v>1186</v>
      </c>
      <c r="B2498" s="817" t="str">
        <f t="shared" ca="1" si="493"/>
        <v>Q25</v>
      </c>
      <c r="C2498" s="817" t="str">
        <f ca="1">IFERROR(IF('Customer Inputs'!$U$15="Existing",IF('Customer Inputs'!Q2376=0,SUBSTITUTE(ADDRESS(1,MATCH(O2498,INDIRECT("'"&amp;E2498&amp;"'"&amp;"!$A$5:$Z$5"),0),4),1,""),SUBSTITUTE(ADDRESS(1,MATCH(A2498,INDIRECT("'"&amp;E2498&amp;"'"&amp;"!A$5:Z$5"),0),4),1,"")),SUBSTITUTE(ADDRESS(1,MATCH(A2498,INDIRECT("'"&amp;E2498&amp;"'"&amp;"!A$5:Z$5"),0),4),1,"")),"")</f>
        <v>Q</v>
      </c>
      <c r="D2498" s="817" t="s">
        <v>1357</v>
      </c>
      <c r="E2498" s="817" t="s">
        <v>870</v>
      </c>
      <c r="F2498" s="1705"/>
      <c r="G2498" s="1705"/>
      <c r="H2498" s="1705"/>
      <c r="I2498" s="1307" t="str">
        <f t="shared" si="480"/>
        <v/>
      </c>
      <c r="J2498" s="1705"/>
      <c r="K2498" s="1705" t="str">
        <f t="shared" si="481"/>
        <v/>
      </c>
      <c r="L2498" s="851" t="s">
        <v>1186</v>
      </c>
      <c r="M2498" s="1705">
        <v>1602</v>
      </c>
      <c r="N2498" s="1705"/>
      <c r="O2498" s="1704" t="s">
        <v>1183</v>
      </c>
    </row>
    <row r="2499" spans="1:16" s="1704" customFormat="1" x14ac:dyDescent="0.25">
      <c r="A2499" s="866" t="s">
        <v>1187</v>
      </c>
      <c r="B2499" s="817" t="str">
        <f t="shared" ca="1" si="493"/>
        <v>R25</v>
      </c>
      <c r="C2499" s="817" t="str">
        <f ca="1">IFERROR(IF('Customer Inputs'!$U$15="Existing",IF('Customer Inputs'!R2376=0,SUBSTITUTE(ADDRESS(1,MATCH(O2499,INDIRECT("'"&amp;E2499&amp;"'"&amp;"!$A$5:$Z$5"),0),4),1,""),SUBSTITUTE(ADDRESS(1,MATCH(A2499,INDIRECT("'"&amp;E2499&amp;"'"&amp;"!A$5:Z$5"),0),4),1,"")),SUBSTITUTE(ADDRESS(1,MATCH(A2499,INDIRECT("'"&amp;E2499&amp;"'"&amp;"!A$5:Z$5"),0),4),1,"")),"")</f>
        <v>R</v>
      </c>
      <c r="D2499" s="817" t="s">
        <v>1357</v>
      </c>
      <c r="E2499" s="817" t="s">
        <v>870</v>
      </c>
      <c r="F2499" s="1705"/>
      <c r="G2499" s="1705"/>
      <c r="H2499" s="1705"/>
      <c r="I2499" s="1307" t="str">
        <f t="shared" si="480"/>
        <v/>
      </c>
      <c r="J2499" s="1705"/>
      <c r="K2499" s="1705" t="str">
        <f t="shared" si="481"/>
        <v/>
      </c>
      <c r="L2499" s="851" t="s">
        <v>1187</v>
      </c>
      <c r="M2499" s="1705">
        <v>1603</v>
      </c>
      <c r="N2499" s="1705"/>
      <c r="O2499" s="1704" t="s">
        <v>1190</v>
      </c>
    </row>
    <row r="2500" spans="1:16" s="1704" customFormat="1" x14ac:dyDescent="0.25">
      <c r="A2500" s="866" t="s">
        <v>1188</v>
      </c>
      <c r="B2500" s="817" t="str">
        <f t="shared" ca="1" si="493"/>
        <v>T25</v>
      </c>
      <c r="C2500" s="817" t="str">
        <f ca="1">IFERROR(IF('Customer Inputs'!$U$15="Existing",IF('Customer Inputs'!T2376=0,SUBSTITUTE(ADDRESS(1,MATCH(O2500,INDIRECT("'"&amp;E2500&amp;"'"&amp;"!$A$5:$Z$5"),0),4),1,""),SUBSTITUTE(ADDRESS(1,MATCH(A2500,INDIRECT("'"&amp;E2500&amp;"'"&amp;"!A$5:Z$5"),0),4),1,"")),SUBSTITUTE(ADDRESS(1,MATCH(A2500,INDIRECT("'"&amp;E2500&amp;"'"&amp;"!A$5:Z$5"),0),4),1,"")),"")</f>
        <v>T</v>
      </c>
      <c r="D2500" s="817" t="s">
        <v>1357</v>
      </c>
      <c r="E2500" s="817" t="s">
        <v>870</v>
      </c>
      <c r="F2500" s="1705"/>
      <c r="G2500" s="1705"/>
      <c r="H2500" s="1705"/>
      <c r="I2500" s="1307" t="str">
        <f t="shared" si="480"/>
        <v/>
      </c>
      <c r="J2500" s="1705"/>
      <c r="K2500" s="1705" t="str">
        <f t="shared" si="481"/>
        <v/>
      </c>
      <c r="L2500" s="851" t="s">
        <v>1188</v>
      </c>
      <c r="M2500" s="1705">
        <v>1604</v>
      </c>
      <c r="N2500" s="1705"/>
      <c r="O2500" s="1704" t="s">
        <v>1184</v>
      </c>
    </row>
    <row r="2501" spans="1:16" s="1704" customFormat="1" x14ac:dyDescent="0.25">
      <c r="A2501" s="866" t="s">
        <v>1189</v>
      </c>
      <c r="B2501" s="817" t="str">
        <f t="shared" ca="1" si="493"/>
        <v>U25</v>
      </c>
      <c r="C2501" s="817" t="str">
        <f ca="1">_xlfn.IFNA(SUBSTITUTE(ADDRESS(1,MATCH(A2501,INDIRECT("'"&amp;E2501&amp;"'"&amp;"!A5:Z5"),0),4),1,""),"")</f>
        <v>U</v>
      </c>
      <c r="D2501" s="817" t="s">
        <v>1357</v>
      </c>
      <c r="E2501" s="817" t="s">
        <v>870</v>
      </c>
      <c r="F2501" s="1705"/>
      <c r="G2501" s="1705"/>
      <c r="H2501" s="1705"/>
      <c r="I2501" s="1307" t="str">
        <f t="shared" si="480"/>
        <v/>
      </c>
      <c r="J2501" s="1705"/>
      <c r="K2501" s="1705" t="str">
        <f t="shared" si="481"/>
        <v/>
      </c>
      <c r="L2501" s="851" t="s">
        <v>1189</v>
      </c>
      <c r="M2501" s="1705">
        <v>1605</v>
      </c>
      <c r="N2501" s="1705"/>
    </row>
    <row r="2502" spans="1:16" s="1704" customFormat="1" x14ac:dyDescent="0.25">
      <c r="A2502" s="866" t="s">
        <v>1339</v>
      </c>
      <c r="B2502" s="817" t="str">
        <f t="shared" ca="1" si="493"/>
        <v>V25</v>
      </c>
      <c r="C2502" s="817" t="str">
        <f ca="1">_xlfn.IFNA(SUBSTITUTE(ADDRESS(1,MATCH(A2502,INDIRECT("'"&amp;E2502&amp;"'"&amp;"!A5:Z5"),0),4),1,""),"")</f>
        <v>V</v>
      </c>
      <c r="D2502" s="817" t="s">
        <v>1357</v>
      </c>
      <c r="E2502" s="817" t="s">
        <v>870</v>
      </c>
      <c r="F2502" s="1705"/>
      <c r="G2502" s="1705"/>
      <c r="H2502" s="1705"/>
      <c r="I2502" s="1307" t="str">
        <f t="shared" si="480"/>
        <v/>
      </c>
      <c r="J2502" s="1705"/>
      <c r="K2502" s="1705" t="str">
        <f t="shared" si="481"/>
        <v/>
      </c>
      <c r="L2502" s="851" t="s">
        <v>1428</v>
      </c>
      <c r="M2502" s="1705">
        <v>1606</v>
      </c>
      <c r="N2502" s="1705"/>
    </row>
    <row r="2503" spans="1:16" s="1704" customFormat="1" x14ac:dyDescent="0.25">
      <c r="A2503" s="866" t="s">
        <v>1631</v>
      </c>
      <c r="B2503" s="817" t="str">
        <f t="shared" ca="1" si="493"/>
        <v>W25</v>
      </c>
      <c r="C2503" s="817" t="str">
        <f ca="1">_xlfn.IFNA(SUBSTITUTE(ADDRESS(1,MATCH(A2503,INDIRECT("'"&amp;E2503&amp;"'"&amp;"!A5:Z5"),0),4),1,""),"")</f>
        <v>W</v>
      </c>
      <c r="D2503" s="817" t="s">
        <v>1357</v>
      </c>
      <c r="E2503" s="817" t="s">
        <v>870</v>
      </c>
      <c r="F2503" s="1705"/>
      <c r="G2503" s="1705"/>
      <c r="H2503" s="1705"/>
      <c r="I2503" s="1307" t="str">
        <f t="shared" si="480"/>
        <v>Add or End Customer</v>
      </c>
      <c r="J2503" s="1705" t="str">
        <f t="shared" ref="J2503" si="494">IF(M2503&lt;&gt;"",Q$1&amp;M2503,"")</f>
        <v>F1607</v>
      </c>
      <c r="K2503" s="1705" t="str">
        <f t="shared" si="481"/>
        <v>Customer Inputs</v>
      </c>
      <c r="L2503" s="851" t="s">
        <v>1631</v>
      </c>
      <c r="M2503" s="1705">
        <v>1607</v>
      </c>
      <c r="N2503" s="1705"/>
    </row>
    <row r="2504" spans="1:16" s="1704" customFormat="1" x14ac:dyDescent="0.25">
      <c r="A2504" s="870" t="s">
        <v>1178</v>
      </c>
      <c r="B2504" s="817" t="str">
        <f ca="1">_xlfn.IFNA(_xlfn.CONCAT(SUBSTITUTE(ADDRESS(1,MATCH(A2504,INDIRECT("'"&amp;E2504&amp;"'"&amp;"!A5:Z5"),0),4),1,""),16),"")</f>
        <v>G16</v>
      </c>
      <c r="C2504" s="817" t="str">
        <f t="shared" ref="C2504:C2523" ca="1" si="495">_xlfn.IFNA(SUBSTITUTE(ADDRESS(1,MATCH(A2504,INDIRECT("'"&amp;E2504&amp;"'"&amp;"!A5:Z5"),0),4),1,""),"")</f>
        <v>G</v>
      </c>
      <c r="D2504" s="1705" t="s">
        <v>1357</v>
      </c>
      <c r="E2504" s="817" t="s">
        <v>870</v>
      </c>
      <c r="F2504" s="1705"/>
      <c r="G2504" s="1705"/>
      <c r="H2504" s="1705"/>
      <c r="I2504" s="1307" t="str">
        <f t="shared" si="480"/>
        <v>Shipping Location Number</v>
      </c>
      <c r="J2504" s="1705" t="str">
        <f>IFERROR(Q$1&amp;M1450,"")</f>
        <v>F</v>
      </c>
      <c r="K2504" s="1705" t="str">
        <f t="shared" si="481"/>
        <v>Customer Inputs</v>
      </c>
      <c r="L2504" s="1705"/>
      <c r="M2504" s="1705"/>
      <c r="N2504" s="1705"/>
      <c r="P2504" s="1705" t="str">
        <f>IFERROR(VLOOKUP(Q$2524,'Existing Customers'!$A:$F,1,FALSE),"")</f>
        <v/>
      </c>
    </row>
    <row r="2505" spans="1:16" s="1704" customFormat="1" x14ac:dyDescent="0.25">
      <c r="A2505" s="868" t="s">
        <v>1178</v>
      </c>
      <c r="B2505" s="817" t="str">
        <f ca="1">_xlfn.IFNA(_xlfn.CONCAT(SUBSTITUTE(ADDRESS(1,MATCH(A2505,INDIRECT("'"&amp;E2505&amp;"'"&amp;"!A5:Z5"),0),4),1,""),17),"")</f>
        <v>G17</v>
      </c>
      <c r="C2505" s="817" t="str">
        <f t="shared" ca="1" si="495"/>
        <v>G</v>
      </c>
      <c r="D2505" s="1705" t="s">
        <v>1357</v>
      </c>
      <c r="E2505" s="817" t="s">
        <v>870</v>
      </c>
      <c r="F2505" s="1705"/>
      <c r="G2505" s="1705"/>
      <c r="H2505" s="1705"/>
      <c r="I2505" s="1307" t="str">
        <f t="shared" si="480"/>
        <v>Shipping Location Number</v>
      </c>
      <c r="J2505" s="1705" t="str">
        <f>IFERROR(Q$1&amp;M1461,"")</f>
        <v>F</v>
      </c>
      <c r="K2505" s="1705" t="str">
        <f t="shared" si="481"/>
        <v>Customer Inputs</v>
      </c>
      <c r="L2505" s="1705"/>
      <c r="M2505" s="1705"/>
      <c r="N2505" s="1705"/>
      <c r="P2505" s="1705" t="str">
        <f>IFERROR(VLOOKUP(Q$2535,'Existing Customers'!$A:$F,1,FALSE),"")</f>
        <v/>
      </c>
    </row>
    <row r="2506" spans="1:16" s="1704" customFormat="1" x14ac:dyDescent="0.25">
      <c r="A2506" s="870" t="s">
        <v>1178</v>
      </c>
      <c r="B2506" s="817" t="str">
        <f ca="1">_xlfn.IFNA(_xlfn.CONCAT(SUBSTITUTE(ADDRESS(1,MATCH(A2506,INDIRECT("'"&amp;E2506&amp;"'"&amp;"!A5:Z5"),0),4),1,""),18),"")</f>
        <v>G18</v>
      </c>
      <c r="C2506" s="817" t="str">
        <f t="shared" ca="1" si="495"/>
        <v>G</v>
      </c>
      <c r="D2506" s="1705" t="s">
        <v>1357</v>
      </c>
      <c r="E2506" s="817" t="s">
        <v>870</v>
      </c>
      <c r="F2506" s="1705"/>
      <c r="G2506" s="1705"/>
      <c r="H2506" s="1705"/>
      <c r="I2506" s="1307" t="str">
        <f t="shared" si="480"/>
        <v>Shipping Location Number</v>
      </c>
      <c r="J2506" s="1705" t="str">
        <f>IFERROR(Q$1&amp;M1472,"")</f>
        <v>F</v>
      </c>
      <c r="K2506" s="1705" t="str">
        <f t="shared" si="481"/>
        <v>Customer Inputs</v>
      </c>
      <c r="L2506" s="1705"/>
      <c r="M2506" s="1705"/>
      <c r="N2506" s="1705"/>
      <c r="P2506" s="1705" t="str">
        <f>IFERROR(VLOOKUP(Q$2546,'Existing Customers'!$A:$F,1,FALSE),"")</f>
        <v/>
      </c>
    </row>
    <row r="2507" spans="1:16" s="1704" customFormat="1" x14ac:dyDescent="0.25">
      <c r="A2507" s="868" t="s">
        <v>1178</v>
      </c>
      <c r="B2507" s="817" t="str">
        <f ca="1">_xlfn.IFNA(_xlfn.CONCAT(SUBSTITUTE(ADDRESS(1,MATCH(A2507,INDIRECT("'"&amp;E2507&amp;"'"&amp;"!A5:Z5"),0),4),1,""),19),"")</f>
        <v>G19</v>
      </c>
      <c r="C2507" s="817" t="str">
        <f t="shared" ca="1" si="495"/>
        <v>G</v>
      </c>
      <c r="D2507" s="1705" t="s">
        <v>1357</v>
      </c>
      <c r="E2507" s="817" t="s">
        <v>870</v>
      </c>
      <c r="F2507" s="1705"/>
      <c r="G2507" s="1705"/>
      <c r="H2507" s="1705"/>
      <c r="I2507" s="1307" t="str">
        <f t="shared" si="480"/>
        <v>Shipping Location Number</v>
      </c>
      <c r="J2507" s="1705" t="str">
        <f>IFERROR(Q$1&amp;M1483,"")</f>
        <v>F</v>
      </c>
      <c r="K2507" s="1705" t="str">
        <f t="shared" si="481"/>
        <v>Customer Inputs</v>
      </c>
      <c r="L2507" s="1705"/>
      <c r="M2507" s="1705"/>
      <c r="N2507" s="1705"/>
      <c r="P2507" s="1705" t="str">
        <f>IFERROR(VLOOKUP(Q$2557,'Existing Customers'!$A:$F,1,FALSE),"")</f>
        <v/>
      </c>
    </row>
    <row r="2508" spans="1:16" s="1704" customFormat="1" x14ac:dyDescent="0.25">
      <c r="A2508" s="870" t="s">
        <v>1178</v>
      </c>
      <c r="B2508" s="817" t="str">
        <f ca="1">_xlfn.IFNA(_xlfn.CONCAT(SUBSTITUTE(ADDRESS(1,MATCH(A2508,INDIRECT("'"&amp;E2508&amp;"'"&amp;"!A5:Z5"),0),4),1,""),20),"")</f>
        <v>G20</v>
      </c>
      <c r="C2508" s="817" t="str">
        <f t="shared" ca="1" si="495"/>
        <v>G</v>
      </c>
      <c r="D2508" s="1705" t="s">
        <v>1357</v>
      </c>
      <c r="E2508" s="817" t="s">
        <v>870</v>
      </c>
      <c r="F2508" s="1705"/>
      <c r="G2508" s="1705"/>
      <c r="H2508" s="1705"/>
      <c r="I2508" s="1307" t="str">
        <f t="shared" ref="I2508:I2571" si="496">IF(J2508&lt;&gt;"",A2508,"")</f>
        <v>Shipping Location Number</v>
      </c>
      <c r="J2508" s="1705" t="str">
        <f>IFERROR(Q$1&amp;M1494,"")</f>
        <v>F</v>
      </c>
      <c r="K2508" s="1705" t="str">
        <f t="shared" ref="K2508:K2571" si="497">IF(J2508&lt;&gt;"",E2508,"")</f>
        <v>Customer Inputs</v>
      </c>
      <c r="L2508" s="1705"/>
      <c r="M2508" s="1705"/>
      <c r="N2508" s="1705"/>
      <c r="P2508" s="1705" t="str">
        <f>IFERROR(VLOOKUP(Q$2568,'Existing Customers'!$A:$F,1,FALSE),"")</f>
        <v/>
      </c>
    </row>
    <row r="2509" spans="1:16" s="1704" customFormat="1" x14ac:dyDescent="0.25">
      <c r="A2509" s="868" t="s">
        <v>1178</v>
      </c>
      <c r="B2509" s="817" t="str">
        <f ca="1">_xlfn.IFNA(_xlfn.CONCAT(SUBSTITUTE(ADDRESS(1,MATCH(A2509,INDIRECT("'"&amp;E2509&amp;"'"&amp;"!A5:Z5"),0),4),1,""),21),"")</f>
        <v>G21</v>
      </c>
      <c r="C2509" s="817" t="str">
        <f t="shared" ca="1" si="495"/>
        <v>G</v>
      </c>
      <c r="D2509" s="1705" t="s">
        <v>1357</v>
      </c>
      <c r="E2509" s="817" t="s">
        <v>870</v>
      </c>
      <c r="F2509" s="1705"/>
      <c r="G2509" s="1705"/>
      <c r="H2509" s="1705"/>
      <c r="I2509" s="1307" t="str">
        <f t="shared" si="496"/>
        <v>Shipping Location Number</v>
      </c>
      <c r="J2509" s="1705" t="str">
        <f>IFERROR(Q$1&amp;M1505,"")</f>
        <v>F</v>
      </c>
      <c r="K2509" s="1705" t="str">
        <f t="shared" si="497"/>
        <v>Customer Inputs</v>
      </c>
      <c r="L2509" s="1705"/>
      <c r="M2509" s="1705"/>
      <c r="N2509" s="1705"/>
      <c r="P2509" s="1705" t="str">
        <f>IFERROR(VLOOKUP(Q$2579,'Existing Customers'!$A:$F,1,FALSE),"")</f>
        <v/>
      </c>
    </row>
    <row r="2510" spans="1:16" s="1704" customFormat="1" x14ac:dyDescent="0.25">
      <c r="A2510" s="870" t="s">
        <v>1178</v>
      </c>
      <c r="B2510" s="817" t="str">
        <f ca="1">_xlfn.IFNA(_xlfn.CONCAT(SUBSTITUTE(ADDRESS(1,MATCH(A2510,INDIRECT("'"&amp;E2510&amp;"'"&amp;"!A5:Z5"),0),4),1,""),22),"")</f>
        <v>G22</v>
      </c>
      <c r="C2510" s="817" t="str">
        <f t="shared" ca="1" si="495"/>
        <v>G</v>
      </c>
      <c r="D2510" s="1705" t="s">
        <v>1357</v>
      </c>
      <c r="E2510" s="817" t="s">
        <v>870</v>
      </c>
      <c r="F2510" s="1705"/>
      <c r="G2510" s="1705"/>
      <c r="H2510" s="1705"/>
      <c r="I2510" s="1307" t="str">
        <f t="shared" si="496"/>
        <v>Shipping Location Number</v>
      </c>
      <c r="J2510" s="1705" t="str">
        <f>IFERROR(Q$1&amp;M1516,"")</f>
        <v>F</v>
      </c>
      <c r="K2510" s="1705" t="str">
        <f t="shared" si="497"/>
        <v>Customer Inputs</v>
      </c>
      <c r="L2510" s="1705"/>
      <c r="M2510" s="1705"/>
      <c r="N2510" s="1705"/>
      <c r="P2510" s="1705" t="str">
        <f>IFERROR(VLOOKUP(Q$2590,'Existing Customers'!$A:$F,1,FALSE),"")</f>
        <v/>
      </c>
    </row>
    <row r="2511" spans="1:16" s="1704" customFormat="1" x14ac:dyDescent="0.25">
      <c r="A2511" s="868" t="s">
        <v>1178</v>
      </c>
      <c r="B2511" s="817" t="str">
        <f ca="1">_xlfn.IFNA(_xlfn.CONCAT(SUBSTITUTE(ADDRESS(1,MATCH(A2511,INDIRECT("'"&amp;E2511&amp;"'"&amp;"!A5:Z5"),0),4),1,""),23),"")</f>
        <v>G23</v>
      </c>
      <c r="C2511" s="817" t="str">
        <f t="shared" ca="1" si="495"/>
        <v>G</v>
      </c>
      <c r="D2511" s="1705" t="s">
        <v>1357</v>
      </c>
      <c r="E2511" s="817" t="s">
        <v>870</v>
      </c>
      <c r="F2511" s="1705"/>
      <c r="G2511" s="1705"/>
      <c r="H2511" s="1705"/>
      <c r="I2511" s="1307" t="str">
        <f t="shared" si="496"/>
        <v>Shipping Location Number</v>
      </c>
      <c r="J2511" s="1705" t="str">
        <f>IFERROR(Q$1&amp;M1527,"")</f>
        <v>F</v>
      </c>
      <c r="K2511" s="1705" t="str">
        <f t="shared" si="497"/>
        <v>Customer Inputs</v>
      </c>
      <c r="L2511" s="1705"/>
      <c r="M2511" s="1705"/>
      <c r="N2511" s="1705"/>
      <c r="P2511" s="1705" t="str">
        <f>IFERROR(VLOOKUP(Q$2601,'Existing Customers'!$A:$F,1,FALSE),"")</f>
        <v/>
      </c>
    </row>
    <row r="2512" spans="1:16" s="1704" customFormat="1" x14ac:dyDescent="0.25">
      <c r="A2512" s="870" t="s">
        <v>1178</v>
      </c>
      <c r="B2512" s="817" t="str">
        <f ca="1">_xlfn.IFNA(_xlfn.CONCAT(SUBSTITUTE(ADDRESS(1,MATCH(A2512,INDIRECT("'"&amp;E2512&amp;"'"&amp;"!A5:Z5"),0),4),1,""),24),"")</f>
        <v>G24</v>
      </c>
      <c r="C2512" s="817" t="str">
        <f t="shared" ca="1" si="495"/>
        <v>G</v>
      </c>
      <c r="D2512" s="1705" t="s">
        <v>1357</v>
      </c>
      <c r="E2512" s="817" t="s">
        <v>870</v>
      </c>
      <c r="F2512" s="1705"/>
      <c r="G2512" s="1705"/>
      <c r="H2512" s="1705"/>
      <c r="I2512" s="1307" t="str">
        <f t="shared" si="496"/>
        <v>Shipping Location Number</v>
      </c>
      <c r="J2512" s="1705" t="str">
        <f>IFERROR(Q$1&amp;M1538,"")</f>
        <v>F</v>
      </c>
      <c r="K2512" s="1705" t="str">
        <f t="shared" si="497"/>
        <v>Customer Inputs</v>
      </c>
      <c r="L2512" s="1705"/>
      <c r="M2512" s="1705"/>
      <c r="N2512" s="1705"/>
      <c r="P2512" s="1705" t="str">
        <f>IFERROR(VLOOKUP(Q$2612,'Existing Customers'!$A:$F,1,FALSE),"")</f>
        <v/>
      </c>
    </row>
    <row r="2513" spans="1:17" s="1704" customFormat="1" x14ac:dyDescent="0.25">
      <c r="A2513" s="868" t="s">
        <v>1178</v>
      </c>
      <c r="B2513" s="817" t="str">
        <f ca="1">_xlfn.IFNA(_xlfn.CONCAT(SUBSTITUTE(ADDRESS(1,MATCH(A2513,INDIRECT("'"&amp;E2513&amp;"'"&amp;"!A5:Z5"),0),4),1,""),25),"")</f>
        <v>G25</v>
      </c>
      <c r="C2513" s="817" t="str">
        <f t="shared" ca="1" si="495"/>
        <v>G</v>
      </c>
      <c r="D2513" s="1705" t="s">
        <v>1357</v>
      </c>
      <c r="E2513" s="817" t="s">
        <v>870</v>
      </c>
      <c r="F2513" s="1705"/>
      <c r="G2513" s="1705"/>
      <c r="H2513" s="1705"/>
      <c r="I2513" s="1307" t="str">
        <f t="shared" si="496"/>
        <v>Shipping Location Number</v>
      </c>
      <c r="J2513" s="1705" t="str">
        <f>IFERROR(Q$1&amp;M1549,"")</f>
        <v>F</v>
      </c>
      <c r="K2513" s="1705" t="str">
        <f t="shared" si="497"/>
        <v>Customer Inputs</v>
      </c>
      <c r="L2513" s="1705"/>
      <c r="M2513" s="1705"/>
      <c r="N2513" s="1705"/>
      <c r="P2513" s="1705" t="str">
        <f>IFERROR(VLOOKUP(Q$2623,'Existing Customers'!$A:$F,1,FALSE),"")</f>
        <v/>
      </c>
    </row>
    <row r="2514" spans="1:17" s="1704" customFormat="1" x14ac:dyDescent="0.25">
      <c r="A2514" s="871" t="s">
        <v>204</v>
      </c>
      <c r="B2514" s="817" t="str">
        <f ca="1">_xlfn.IFNA(_xlfn.CONCAT(SUBSTITUTE(ADDRESS(1,MATCH(A2514,INDIRECT("'"&amp;E2514&amp;"'"&amp;"!A5:Z5"),0),4),1,""),16),"")</f>
        <v>S16</v>
      </c>
      <c r="C2514" s="817" t="str">
        <f t="shared" ca="1" si="495"/>
        <v>S</v>
      </c>
      <c r="D2514" s="1705" t="s">
        <v>1357</v>
      </c>
      <c r="E2514" s="817" t="s">
        <v>870</v>
      </c>
      <c r="F2514" s="1705"/>
      <c r="G2514" s="1705"/>
      <c r="H2514" s="1705"/>
      <c r="I2514" s="1307" t="str">
        <f t="shared" si="496"/>
        <v>Zip Code</v>
      </c>
      <c r="J2514" s="1705" t="str">
        <f>IF(P2504="",Q$1&amp;M1460,"")</f>
        <v>F</v>
      </c>
      <c r="K2514" s="1705" t="str">
        <f t="shared" si="497"/>
        <v>Customer Inputs</v>
      </c>
      <c r="L2514" s="1705"/>
      <c r="M2514" s="1705"/>
      <c r="N2514" s="1705"/>
    </row>
    <row r="2515" spans="1:17" s="1704" customFormat="1" x14ac:dyDescent="0.25">
      <c r="A2515" s="868" t="s">
        <v>204</v>
      </c>
      <c r="B2515" s="817" t="str">
        <f ca="1">_xlfn.IFNA(_xlfn.CONCAT(SUBSTITUTE(ADDRESS(1,MATCH(A2515,INDIRECT("'"&amp;E2515&amp;"'"&amp;"!A5:Z5"),0),4),1,""),17),"")</f>
        <v>S17</v>
      </c>
      <c r="C2515" s="817" t="str">
        <f t="shared" ca="1" si="495"/>
        <v>S</v>
      </c>
      <c r="D2515" s="1705" t="s">
        <v>1357</v>
      </c>
      <c r="E2515" s="817" t="s">
        <v>870</v>
      </c>
      <c r="F2515" s="1705"/>
      <c r="G2515" s="1705"/>
      <c r="H2515" s="1705"/>
      <c r="I2515" s="1307" t="str">
        <f t="shared" si="496"/>
        <v>Zip Code</v>
      </c>
      <c r="J2515" s="1705" t="str">
        <f>IF(P2505="",Q$1&amp;M1471,"")</f>
        <v>F</v>
      </c>
      <c r="K2515" s="1705" t="str">
        <f t="shared" si="497"/>
        <v>Customer Inputs</v>
      </c>
      <c r="L2515" s="1705"/>
      <c r="M2515" s="1705"/>
      <c r="N2515" s="1705"/>
    </row>
    <row r="2516" spans="1:17" s="1704" customFormat="1" x14ac:dyDescent="0.25">
      <c r="A2516" s="871" t="s">
        <v>204</v>
      </c>
      <c r="B2516" s="817" t="str">
        <f ca="1">_xlfn.IFNA(_xlfn.CONCAT(SUBSTITUTE(ADDRESS(1,MATCH(A2516,INDIRECT("'"&amp;E2516&amp;"'"&amp;"!A5:Z5"),0),4),1,""),18),"")</f>
        <v>S18</v>
      </c>
      <c r="C2516" s="817" t="str">
        <f t="shared" ca="1" si="495"/>
        <v>S</v>
      </c>
      <c r="D2516" s="1705" t="s">
        <v>1357</v>
      </c>
      <c r="E2516" s="817" t="s">
        <v>870</v>
      </c>
      <c r="F2516" s="1705"/>
      <c r="G2516" s="1705"/>
      <c r="H2516" s="1705"/>
      <c r="I2516" s="1307" t="str">
        <f t="shared" si="496"/>
        <v>Zip Code</v>
      </c>
      <c r="J2516" s="1705" t="str">
        <f>IF(P2506="",Q$1&amp;M1482,"")</f>
        <v>F</v>
      </c>
      <c r="K2516" s="1705" t="str">
        <f t="shared" si="497"/>
        <v>Customer Inputs</v>
      </c>
      <c r="L2516" s="1705"/>
      <c r="M2516" s="1705"/>
      <c r="N2516" s="1705"/>
    </row>
    <row r="2517" spans="1:17" s="1704" customFormat="1" x14ac:dyDescent="0.25">
      <c r="A2517" s="868" t="s">
        <v>204</v>
      </c>
      <c r="B2517" s="817" t="str">
        <f ca="1">_xlfn.IFNA(_xlfn.CONCAT(SUBSTITUTE(ADDRESS(1,MATCH(A2517,INDIRECT("'"&amp;E2517&amp;"'"&amp;"!A5:Z5"),0),4),1,""),19),"")</f>
        <v>S19</v>
      </c>
      <c r="C2517" s="817" t="str">
        <f t="shared" ca="1" si="495"/>
        <v>S</v>
      </c>
      <c r="D2517" s="1705" t="s">
        <v>1357</v>
      </c>
      <c r="E2517" s="817" t="s">
        <v>870</v>
      </c>
      <c r="F2517" s="1705"/>
      <c r="G2517" s="1705"/>
      <c r="H2517" s="1705"/>
      <c r="I2517" s="1307" t="str">
        <f t="shared" si="496"/>
        <v>Zip Code</v>
      </c>
      <c r="J2517" s="1705" t="str">
        <f>IF(P2507="",Q$1&amp;M1493,"")</f>
        <v>F</v>
      </c>
      <c r="K2517" s="1705" t="str">
        <f t="shared" si="497"/>
        <v>Customer Inputs</v>
      </c>
      <c r="L2517" s="1705"/>
      <c r="M2517" s="1705"/>
      <c r="N2517" s="1705"/>
    </row>
    <row r="2518" spans="1:17" s="1704" customFormat="1" x14ac:dyDescent="0.25">
      <c r="A2518" s="871" t="s">
        <v>204</v>
      </c>
      <c r="B2518" s="817" t="str">
        <f ca="1">_xlfn.IFNA(_xlfn.CONCAT(SUBSTITUTE(ADDRESS(1,MATCH(A2518,INDIRECT("'"&amp;E2518&amp;"'"&amp;"!A5:Z5"),0),4),1,""),20),"")</f>
        <v>S20</v>
      </c>
      <c r="C2518" s="817" t="str">
        <f t="shared" ca="1" si="495"/>
        <v>S</v>
      </c>
      <c r="D2518" s="1705" t="s">
        <v>1357</v>
      </c>
      <c r="E2518" s="817" t="s">
        <v>870</v>
      </c>
      <c r="F2518" s="1705"/>
      <c r="G2518" s="1705"/>
      <c r="H2518" s="1705"/>
      <c r="I2518" s="1307" t="str">
        <f t="shared" si="496"/>
        <v>Zip Code</v>
      </c>
      <c r="J2518" s="1705" t="str">
        <f>IF(P2508="",Q$1&amp;M1504,"")</f>
        <v>F</v>
      </c>
      <c r="K2518" s="1705" t="str">
        <f t="shared" si="497"/>
        <v>Customer Inputs</v>
      </c>
      <c r="L2518" s="1705"/>
      <c r="M2518" s="1705"/>
      <c r="N2518" s="1705"/>
    </row>
    <row r="2519" spans="1:17" s="1704" customFormat="1" x14ac:dyDescent="0.25">
      <c r="A2519" s="868" t="s">
        <v>204</v>
      </c>
      <c r="B2519" s="817" t="str">
        <f ca="1">_xlfn.IFNA(_xlfn.CONCAT(SUBSTITUTE(ADDRESS(1,MATCH(A2519,INDIRECT("'"&amp;E2519&amp;"'"&amp;"!A5:Z5"),0),4),1,""),21),"")</f>
        <v>S21</v>
      </c>
      <c r="C2519" s="817" t="str">
        <f t="shared" ca="1" si="495"/>
        <v>S</v>
      </c>
      <c r="D2519" s="1705" t="s">
        <v>1357</v>
      </c>
      <c r="E2519" s="817" t="s">
        <v>870</v>
      </c>
      <c r="F2519" s="1705"/>
      <c r="G2519" s="1705"/>
      <c r="H2519" s="1705"/>
      <c r="I2519" s="1307" t="str">
        <f t="shared" si="496"/>
        <v>Zip Code</v>
      </c>
      <c r="J2519" s="1705" t="str">
        <f>IF(P2509="",Q$1&amp;M1515,"")</f>
        <v>F</v>
      </c>
      <c r="K2519" s="1705" t="str">
        <f t="shared" si="497"/>
        <v>Customer Inputs</v>
      </c>
      <c r="L2519" s="1705"/>
      <c r="M2519" s="1705"/>
      <c r="N2519" s="1705"/>
    </row>
    <row r="2520" spans="1:17" s="1704" customFormat="1" x14ac:dyDescent="0.25">
      <c r="A2520" s="871" t="s">
        <v>204</v>
      </c>
      <c r="B2520" s="817" t="str">
        <f ca="1">_xlfn.IFNA(_xlfn.CONCAT(SUBSTITUTE(ADDRESS(1,MATCH(A2520,INDIRECT("'"&amp;E2520&amp;"'"&amp;"!A5:Z5"),0),4),1,""),22),"")</f>
        <v>S22</v>
      </c>
      <c r="C2520" s="817" t="str">
        <f t="shared" ca="1" si="495"/>
        <v>S</v>
      </c>
      <c r="D2520" s="1705" t="s">
        <v>1357</v>
      </c>
      <c r="E2520" s="817" t="s">
        <v>870</v>
      </c>
      <c r="F2520" s="1705"/>
      <c r="G2520" s="1705"/>
      <c r="H2520" s="1705"/>
      <c r="I2520" s="1307" t="str">
        <f t="shared" si="496"/>
        <v>Zip Code</v>
      </c>
      <c r="J2520" s="1705" t="str">
        <f>IF(P2510="",Q$1&amp;M1526,"")</f>
        <v>F</v>
      </c>
      <c r="K2520" s="1705" t="str">
        <f t="shared" si="497"/>
        <v>Customer Inputs</v>
      </c>
      <c r="L2520" s="1705"/>
      <c r="M2520" s="1705"/>
      <c r="N2520" s="1705"/>
    </row>
    <row r="2521" spans="1:17" s="1704" customFormat="1" x14ac:dyDescent="0.25">
      <c r="A2521" s="868" t="s">
        <v>204</v>
      </c>
      <c r="B2521" s="817" t="str">
        <f ca="1">_xlfn.IFNA(_xlfn.CONCAT(SUBSTITUTE(ADDRESS(1,MATCH(A2521,INDIRECT("'"&amp;E2521&amp;"'"&amp;"!A5:Z5"),0),4),1,""),23),"")</f>
        <v>S23</v>
      </c>
      <c r="C2521" s="817" t="str">
        <f t="shared" ca="1" si="495"/>
        <v>S</v>
      </c>
      <c r="D2521" s="1705" t="s">
        <v>1357</v>
      </c>
      <c r="E2521" s="817" t="s">
        <v>870</v>
      </c>
      <c r="F2521" s="1705"/>
      <c r="G2521" s="1705"/>
      <c r="H2521" s="1705"/>
      <c r="I2521" s="1307" t="str">
        <f t="shared" si="496"/>
        <v>Zip Code</v>
      </c>
      <c r="J2521" s="1705" t="str">
        <f>IF(P2511="",Q$1&amp;M1537,"")</f>
        <v>F</v>
      </c>
      <c r="K2521" s="1705" t="str">
        <f t="shared" si="497"/>
        <v>Customer Inputs</v>
      </c>
      <c r="L2521" s="1705"/>
      <c r="M2521" s="1705"/>
      <c r="N2521" s="1705"/>
    </row>
    <row r="2522" spans="1:17" s="1704" customFormat="1" x14ac:dyDescent="0.25">
      <c r="A2522" s="871" t="s">
        <v>204</v>
      </c>
      <c r="B2522" s="817" t="str">
        <f ca="1">_xlfn.IFNA(_xlfn.CONCAT(SUBSTITUTE(ADDRESS(1,MATCH(A2522,INDIRECT("'"&amp;E2522&amp;"'"&amp;"!A5:Z5"),0),4),1,""),24),"")</f>
        <v>S24</v>
      </c>
      <c r="C2522" s="817" t="str">
        <f t="shared" ca="1" si="495"/>
        <v>S</v>
      </c>
      <c r="D2522" s="1705" t="s">
        <v>1357</v>
      </c>
      <c r="E2522" s="817" t="s">
        <v>870</v>
      </c>
      <c r="F2522" s="1705"/>
      <c r="G2522" s="1705"/>
      <c r="H2522" s="1705"/>
      <c r="I2522" s="1307" t="str">
        <f t="shared" si="496"/>
        <v>Zip Code</v>
      </c>
      <c r="J2522" s="1705" t="str">
        <f>IF(P2512="",Q$1&amp;M1548,"")</f>
        <v>F</v>
      </c>
      <c r="K2522" s="1705" t="str">
        <f t="shared" si="497"/>
        <v>Customer Inputs</v>
      </c>
      <c r="L2522" s="1705"/>
      <c r="M2522" s="1705"/>
      <c r="N2522" s="1705"/>
    </row>
    <row r="2523" spans="1:17" s="1704" customFormat="1" x14ac:dyDescent="0.25">
      <c r="A2523" s="868" t="s">
        <v>204</v>
      </c>
      <c r="B2523" s="817" t="str">
        <f ca="1">_xlfn.IFNA(_xlfn.CONCAT(SUBSTITUTE(ADDRESS(1,MATCH(A2523,INDIRECT("'"&amp;E2523&amp;"'"&amp;"!A5:Z5"),0),4),1,""),25),"")</f>
        <v>S25</v>
      </c>
      <c r="C2523" s="817" t="str">
        <f t="shared" ca="1" si="495"/>
        <v>S</v>
      </c>
      <c r="D2523" s="1705" t="s">
        <v>1357</v>
      </c>
      <c r="E2523" s="817" t="s">
        <v>870</v>
      </c>
      <c r="F2523" s="1705"/>
      <c r="G2523" s="1705"/>
      <c r="H2523" s="1705"/>
      <c r="I2523" s="1307" t="str">
        <f t="shared" si="496"/>
        <v>Zip Code</v>
      </c>
      <c r="J2523" s="1705" t="str">
        <f>IF(P2513="",Q$1&amp;M1559,"")</f>
        <v>F</v>
      </c>
      <c r="K2523" s="1705" t="str">
        <f t="shared" si="497"/>
        <v>Customer Inputs</v>
      </c>
      <c r="L2523" s="1705"/>
      <c r="M2523" s="1705"/>
      <c r="N2523" s="1705"/>
    </row>
    <row r="2524" spans="1:17" s="1704" customFormat="1" x14ac:dyDescent="0.25">
      <c r="A2524" s="868" t="s">
        <v>1178</v>
      </c>
      <c r="B2524" s="817" t="str">
        <f ca="1">_xlfn.IFNA(_xlfn.CONCAT(SUBSTITUTE(ADDRESS(1,MATCH(A2524,INDIRECT("'"&amp;E2524&amp;"'"&amp;"!A22:Z22"),0),4),1,""),33),"")</f>
        <v>E33</v>
      </c>
      <c r="C2524" s="817" t="str">
        <f ca="1">_xlfn.IFNA(SUBSTITUTE(ADDRESS(1,MATCH(A2524,INDIRECT("'"&amp;E2524&amp;"'"&amp;"!A22:Z22"),0),4),1,""),"")</f>
        <v>E</v>
      </c>
      <c r="D2524" s="1705" t="s">
        <v>1357</v>
      </c>
      <c r="E2524" s="817" t="s">
        <v>1358</v>
      </c>
      <c r="F2524" s="1705"/>
      <c r="G2524" s="1705"/>
      <c r="H2524" s="1705"/>
      <c r="I2524" s="1307" t="str">
        <f t="shared" si="496"/>
        <v/>
      </c>
      <c r="J2524" s="1705"/>
      <c r="K2524" s="1705" t="str">
        <f t="shared" si="497"/>
        <v/>
      </c>
      <c r="L2524" s="850" t="s">
        <v>1178</v>
      </c>
      <c r="M2524" s="1705">
        <v>1407</v>
      </c>
      <c r="N2524" s="1705"/>
      <c r="P2524" s="1705" t="str">
        <f>IFERROR(VLOOKUP(Q$2524,'Existing Customers'!$A:$F,1,FALSE),"")</f>
        <v/>
      </c>
      <c r="Q2524" s="1705"/>
    </row>
    <row r="2525" spans="1:17" s="1704" customFormat="1" x14ac:dyDescent="0.25">
      <c r="A2525" s="869" t="s">
        <v>766</v>
      </c>
      <c r="B2525" s="817" t="str">
        <f t="shared" ref="B2525:B2534" ca="1" si="498">_xlfn.IFNA(_xlfn.CONCAT(SUBSTITUTE(ADDRESS(1,MATCH(A2525,INDIRECT("'"&amp;E2525&amp;"'"&amp;"!A22:Z22"),0),4),1,""),33),"")</f>
        <v>F33</v>
      </c>
      <c r="C2525" s="817" t="str">
        <f t="shared" ref="C2525:C2588" ca="1" si="499">_xlfn.IFNA(SUBSTITUTE(ADDRESS(1,MATCH(A2525,INDIRECT("'"&amp;E2525&amp;"'"&amp;"!A22:Z22"),0),4),1,""),"")</f>
        <v>F</v>
      </c>
      <c r="D2525" s="1705" t="s">
        <v>1357</v>
      </c>
      <c r="E2525" s="817" t="s">
        <v>1358</v>
      </c>
      <c r="F2525" s="1705"/>
      <c r="G2525" s="1705"/>
      <c r="H2525" s="1705"/>
      <c r="I2525" s="1307" t="str">
        <f t="shared" si="496"/>
        <v>Name</v>
      </c>
      <c r="J2525" s="1705" t="str">
        <f>IF(P2524="",Q$1&amp;M2525,"")</f>
        <v>F1409</v>
      </c>
      <c r="K2525" s="1705" t="str">
        <f t="shared" si="497"/>
        <v>Required Info to Submit</v>
      </c>
      <c r="L2525" s="850" t="s">
        <v>766</v>
      </c>
      <c r="M2525" s="1705">
        <v>1409</v>
      </c>
      <c r="N2525" s="1705"/>
    </row>
    <row r="2526" spans="1:17" s="1704" customFormat="1" x14ac:dyDescent="0.25">
      <c r="A2526" s="869" t="s">
        <v>765</v>
      </c>
      <c r="B2526" s="817" t="str">
        <f t="shared" ca="1" si="498"/>
        <v>K33</v>
      </c>
      <c r="C2526" s="817" t="str">
        <f t="shared" ca="1" si="499"/>
        <v>K</v>
      </c>
      <c r="D2526" s="1705" t="s">
        <v>1357</v>
      </c>
      <c r="E2526" s="817" t="s">
        <v>1358</v>
      </c>
      <c r="F2526" s="1705"/>
      <c r="G2526" s="1705"/>
      <c r="H2526" s="1705"/>
      <c r="I2526" s="1307" t="str">
        <f t="shared" si="496"/>
        <v/>
      </c>
      <c r="J2526" s="1705"/>
      <c r="K2526" s="1705" t="str">
        <f t="shared" si="497"/>
        <v/>
      </c>
      <c r="L2526" s="850" t="s">
        <v>765</v>
      </c>
      <c r="M2526" s="1705">
        <v>1419</v>
      </c>
      <c r="N2526" s="1705"/>
    </row>
    <row r="2527" spans="1:17" s="1704" customFormat="1" x14ac:dyDescent="0.25">
      <c r="A2527" s="869" t="s">
        <v>1179</v>
      </c>
      <c r="B2527" s="817" t="str">
        <f t="shared" ca="1" si="498"/>
        <v>L33</v>
      </c>
      <c r="C2527" s="817" t="str">
        <f t="shared" ca="1" si="499"/>
        <v>L</v>
      </c>
      <c r="D2527" s="1705" t="s">
        <v>1357</v>
      </c>
      <c r="E2527" s="817" t="s">
        <v>1358</v>
      </c>
      <c r="F2527" s="1705"/>
      <c r="G2527" s="1705"/>
      <c r="H2527" s="1705"/>
      <c r="I2527" s="1307" t="str">
        <f t="shared" si="496"/>
        <v/>
      </c>
      <c r="J2527" s="1705"/>
      <c r="K2527" s="1705" t="str">
        <f t="shared" si="497"/>
        <v/>
      </c>
      <c r="L2527" s="850" t="s">
        <v>1179</v>
      </c>
      <c r="M2527" s="1705">
        <v>1420</v>
      </c>
      <c r="N2527" s="1705"/>
    </row>
    <row r="2528" spans="1:17" s="1704" customFormat="1" x14ac:dyDescent="0.25">
      <c r="A2528" s="869" t="s">
        <v>1180</v>
      </c>
      <c r="B2528" s="817" t="str">
        <f t="shared" ca="1" si="498"/>
        <v>M33</v>
      </c>
      <c r="C2528" s="817" t="str">
        <f t="shared" ca="1" si="499"/>
        <v>M</v>
      </c>
      <c r="D2528" s="1705" t="s">
        <v>1357</v>
      </c>
      <c r="E2528" s="817" t="s">
        <v>1358</v>
      </c>
      <c r="F2528" s="1705"/>
      <c r="G2528" s="1705"/>
      <c r="H2528" s="1705"/>
      <c r="I2528" s="1307" t="str">
        <f t="shared" si="496"/>
        <v>Secondary or Internal Customer</v>
      </c>
      <c r="J2528" s="1705" t="str">
        <f>IF(M2528&lt;&gt;"",Q$1&amp;M2528,"")</f>
        <v>F1421</v>
      </c>
      <c r="K2528" s="1705" t="str">
        <f t="shared" si="497"/>
        <v>Required Info to Submit</v>
      </c>
      <c r="L2528" s="850" t="s">
        <v>1180</v>
      </c>
      <c r="M2528" s="1705">
        <v>1421</v>
      </c>
      <c r="N2528" s="1705"/>
    </row>
    <row r="2529" spans="1:17" s="1704" customFormat="1" x14ac:dyDescent="0.25">
      <c r="A2529" s="869" t="s">
        <v>1181</v>
      </c>
      <c r="B2529" s="817" t="str">
        <f t="shared" ca="1" si="498"/>
        <v>N33</v>
      </c>
      <c r="C2529" s="817" t="str">
        <f t="shared" ca="1" si="499"/>
        <v>N</v>
      </c>
      <c r="D2529" s="1705" t="s">
        <v>1357</v>
      </c>
      <c r="E2529" s="817" t="s">
        <v>1358</v>
      </c>
      <c r="F2529" s="1705"/>
      <c r="G2529" s="1705"/>
      <c r="H2529" s="1705"/>
      <c r="I2529" s="1307" t="str">
        <f t="shared" si="496"/>
        <v>Fuel Surcharge Applied</v>
      </c>
      <c r="J2529" s="1705" t="str">
        <f>IF(M2529&lt;&gt;"",Q$1&amp;M2529,"")</f>
        <v>F1422</v>
      </c>
      <c r="K2529" s="1705" t="str">
        <f t="shared" si="497"/>
        <v>Required Info to Submit</v>
      </c>
      <c r="L2529" s="850" t="s">
        <v>1367</v>
      </c>
      <c r="M2529" s="1705">
        <v>1422</v>
      </c>
      <c r="N2529" s="1705"/>
    </row>
    <row r="2530" spans="1:17" s="1704" customFormat="1" x14ac:dyDescent="0.25">
      <c r="A2530" s="869" t="s">
        <v>1297</v>
      </c>
      <c r="B2530" s="817" t="str">
        <f t="shared" ca="1" si="498"/>
        <v>O33</v>
      </c>
      <c r="C2530" s="817" t="str">
        <f t="shared" ca="1" si="499"/>
        <v>O</v>
      </c>
      <c r="D2530" s="1705" t="s">
        <v>1357</v>
      </c>
      <c r="E2530" s="817" t="s">
        <v>1358</v>
      </c>
      <c r="F2530" s="1705"/>
      <c r="G2530" s="1705"/>
      <c r="H2530" s="1705"/>
      <c r="I2530" s="1307" t="str">
        <f t="shared" si="496"/>
        <v>Minimum Delivery Charge Applied Flag</v>
      </c>
      <c r="J2530" s="1705" t="str">
        <f>IF(M2530&lt;&gt;"",Q$1&amp;M2530,"")</f>
        <v>F1423</v>
      </c>
      <c r="K2530" s="1705" t="str">
        <f t="shared" si="497"/>
        <v>Required Info to Submit</v>
      </c>
      <c r="L2530" s="850" t="s">
        <v>1297</v>
      </c>
      <c r="M2530" s="1705">
        <v>1423</v>
      </c>
      <c r="N2530" s="1705"/>
    </row>
    <row r="2531" spans="1:17" s="1704" customFormat="1" x14ac:dyDescent="0.25">
      <c r="A2531" s="869" t="s">
        <v>767</v>
      </c>
      <c r="B2531" s="817" t="str">
        <f t="shared" ca="1" si="498"/>
        <v>G33</v>
      </c>
      <c r="C2531" s="817" t="str">
        <f t="shared" ca="1" si="499"/>
        <v>G</v>
      </c>
      <c r="D2531" s="1705" t="s">
        <v>1357</v>
      </c>
      <c r="E2531" s="817" t="s">
        <v>1358</v>
      </c>
      <c r="F2531" s="1705"/>
      <c r="G2531" s="1705"/>
      <c r="H2531" s="1705"/>
      <c r="I2531" s="1307" t="str">
        <f t="shared" si="496"/>
        <v>Address</v>
      </c>
      <c r="J2531" s="1705" t="str">
        <f>IF(P2524="",Q$1&amp;M2531,"")</f>
        <v>F1424</v>
      </c>
      <c r="K2531" s="1705" t="str">
        <f t="shared" si="497"/>
        <v>Required Info to Submit</v>
      </c>
      <c r="L2531" s="850" t="s">
        <v>767</v>
      </c>
      <c r="M2531" s="1705">
        <v>1424</v>
      </c>
      <c r="N2531" s="1705"/>
    </row>
    <row r="2532" spans="1:17" s="1704" customFormat="1" x14ac:dyDescent="0.25">
      <c r="A2532" s="869" t="s">
        <v>768</v>
      </c>
      <c r="B2532" s="817" t="str">
        <f t="shared" ca="1" si="498"/>
        <v>H33</v>
      </c>
      <c r="C2532" s="817" t="str">
        <f t="shared" ca="1" si="499"/>
        <v>H</v>
      </c>
      <c r="D2532" s="1705" t="s">
        <v>1357</v>
      </c>
      <c r="E2532" s="817" t="s">
        <v>1358</v>
      </c>
      <c r="F2532" s="1705"/>
      <c r="G2532" s="1705"/>
      <c r="H2532" s="1705"/>
      <c r="I2532" s="1307" t="str">
        <f t="shared" si="496"/>
        <v>City</v>
      </c>
      <c r="J2532" s="1705" t="str">
        <f>IF(P2524="",Q$1&amp;M2532,"")</f>
        <v>F1425</v>
      </c>
      <c r="K2532" s="1705" t="str">
        <f t="shared" si="497"/>
        <v>Required Info to Submit</v>
      </c>
      <c r="L2532" s="850" t="s">
        <v>768</v>
      </c>
      <c r="M2532" s="1705">
        <v>1425</v>
      </c>
      <c r="N2532" s="1705"/>
    </row>
    <row r="2533" spans="1:17" s="1704" customFormat="1" x14ac:dyDescent="0.25">
      <c r="A2533" s="869" t="s">
        <v>769</v>
      </c>
      <c r="B2533" s="817" t="str">
        <f t="shared" ca="1" si="498"/>
        <v>I33</v>
      </c>
      <c r="C2533" s="817" t="str">
        <f t="shared" ca="1" si="499"/>
        <v>I</v>
      </c>
      <c r="D2533" s="1705" t="s">
        <v>1357</v>
      </c>
      <c r="E2533" s="817" t="s">
        <v>1358</v>
      </c>
      <c r="F2533" s="1705"/>
      <c r="G2533" s="1705"/>
      <c r="H2533" s="1705"/>
      <c r="I2533" s="1307" t="str">
        <f t="shared" si="496"/>
        <v>State</v>
      </c>
      <c r="J2533" s="1705" t="str">
        <f>IF(P2524="",Q$1&amp;M2533,"")</f>
        <v>F1426</v>
      </c>
      <c r="K2533" s="1705" t="str">
        <f t="shared" si="497"/>
        <v>Required Info to Submit</v>
      </c>
      <c r="L2533" s="850" t="s">
        <v>769</v>
      </c>
      <c r="M2533" s="1705">
        <v>1426</v>
      </c>
      <c r="N2533" s="1705"/>
    </row>
    <row r="2534" spans="1:17" s="1704" customFormat="1" x14ac:dyDescent="0.25">
      <c r="A2534" s="869" t="s">
        <v>204</v>
      </c>
      <c r="B2534" s="817" t="str">
        <f t="shared" ca="1" si="498"/>
        <v>J33</v>
      </c>
      <c r="C2534" s="817" t="str">
        <f t="shared" ca="1" si="499"/>
        <v>J</v>
      </c>
      <c r="D2534" s="1705" t="s">
        <v>1357</v>
      </c>
      <c r="E2534" s="817" t="s">
        <v>1358</v>
      </c>
      <c r="F2534" s="1705"/>
      <c r="G2534" s="1705"/>
      <c r="H2534" s="1705"/>
      <c r="I2534" s="1307" t="str">
        <f t="shared" si="496"/>
        <v>Zip Code</v>
      </c>
      <c r="J2534" s="1705" t="str">
        <f>IF(P2524="",Q$1&amp;M2534,"")</f>
        <v>F1427</v>
      </c>
      <c r="K2534" s="1705" t="str">
        <f t="shared" si="497"/>
        <v>Required Info to Submit</v>
      </c>
      <c r="L2534" s="850" t="s">
        <v>204</v>
      </c>
      <c r="M2534" s="1705">
        <v>1427</v>
      </c>
      <c r="N2534" s="1705"/>
    </row>
    <row r="2535" spans="1:17" s="1704" customFormat="1" x14ac:dyDescent="0.25">
      <c r="A2535" s="870" t="s">
        <v>1178</v>
      </c>
      <c r="B2535" s="817" t="str">
        <f ca="1">_xlfn.IFNA(_xlfn.CONCAT(SUBSTITUTE(ADDRESS(1,MATCH(A2535,INDIRECT("'"&amp;E2535&amp;"'"&amp;"!A22:Z22"),0),4),1,""),34),"")</f>
        <v>E34</v>
      </c>
      <c r="C2535" s="817" t="str">
        <f t="shared" ca="1" si="499"/>
        <v>E</v>
      </c>
      <c r="D2535" s="1705" t="s">
        <v>1357</v>
      </c>
      <c r="E2535" s="817" t="s">
        <v>1358</v>
      </c>
      <c r="F2535" s="1705"/>
      <c r="G2535" s="1705"/>
      <c r="H2535" s="1705"/>
      <c r="I2535" s="1307" t="str">
        <f t="shared" si="496"/>
        <v/>
      </c>
      <c r="J2535" s="1705"/>
      <c r="K2535" s="1705" t="str">
        <f t="shared" si="497"/>
        <v/>
      </c>
      <c r="L2535" s="850" t="s">
        <v>1178</v>
      </c>
      <c r="M2535" s="1705">
        <v>1428</v>
      </c>
      <c r="N2535" s="1705"/>
      <c r="P2535" s="1705" t="str">
        <f>IFERROR(VLOOKUP(Q$2535,'Existing Customers'!$A:$F,1,FALSE),"")</f>
        <v/>
      </c>
      <c r="Q2535" s="1705"/>
    </row>
    <row r="2536" spans="1:17" s="1704" customFormat="1" x14ac:dyDescent="0.25">
      <c r="A2536" s="871" t="s">
        <v>766</v>
      </c>
      <c r="B2536" s="817" t="str">
        <f t="shared" ref="B2536:B2545" ca="1" si="500">_xlfn.IFNA(_xlfn.CONCAT(SUBSTITUTE(ADDRESS(1,MATCH(A2536,INDIRECT("'"&amp;E2536&amp;"'"&amp;"!A22:Z22"),0),4),1,""),34),"")</f>
        <v>F34</v>
      </c>
      <c r="C2536" s="817" t="str">
        <f t="shared" ca="1" si="499"/>
        <v>F</v>
      </c>
      <c r="D2536" s="1705" t="s">
        <v>1357</v>
      </c>
      <c r="E2536" s="817" t="s">
        <v>1358</v>
      </c>
      <c r="F2536" s="1705"/>
      <c r="G2536" s="1705"/>
      <c r="H2536" s="1705"/>
      <c r="I2536" s="1307" t="str">
        <f t="shared" si="496"/>
        <v>Name</v>
      </c>
      <c r="J2536" s="1705" t="str">
        <f>IF(P2535="",Q$1&amp;M2536,"")</f>
        <v>F1430</v>
      </c>
      <c r="K2536" s="1705" t="str">
        <f t="shared" si="497"/>
        <v>Required Info to Submit</v>
      </c>
      <c r="L2536" s="850" t="s">
        <v>766</v>
      </c>
      <c r="M2536" s="1705">
        <v>1430</v>
      </c>
      <c r="N2536" s="1705"/>
    </row>
    <row r="2537" spans="1:17" s="1704" customFormat="1" x14ac:dyDescent="0.25">
      <c r="A2537" s="871" t="s">
        <v>765</v>
      </c>
      <c r="B2537" s="817" t="str">
        <f t="shared" ca="1" si="500"/>
        <v>K34</v>
      </c>
      <c r="C2537" s="817" t="str">
        <f t="shared" ca="1" si="499"/>
        <v>K</v>
      </c>
      <c r="D2537" s="1705" t="s">
        <v>1357</v>
      </c>
      <c r="E2537" s="817" t="s">
        <v>1358</v>
      </c>
      <c r="F2537" s="1705"/>
      <c r="G2537" s="1705"/>
      <c r="H2537" s="1705"/>
      <c r="I2537" s="1307" t="str">
        <f t="shared" si="496"/>
        <v/>
      </c>
      <c r="J2537" s="1705"/>
      <c r="K2537" s="1705" t="str">
        <f t="shared" si="497"/>
        <v/>
      </c>
      <c r="L2537" s="850" t="s">
        <v>765</v>
      </c>
      <c r="M2537" s="1705">
        <v>1440</v>
      </c>
      <c r="N2537" s="1705"/>
    </row>
    <row r="2538" spans="1:17" s="1704" customFormat="1" x14ac:dyDescent="0.25">
      <c r="A2538" s="871" t="s">
        <v>1179</v>
      </c>
      <c r="B2538" s="817" t="str">
        <f t="shared" ca="1" si="500"/>
        <v>L34</v>
      </c>
      <c r="C2538" s="817" t="str">
        <f t="shared" ca="1" si="499"/>
        <v>L</v>
      </c>
      <c r="D2538" s="1705" t="s">
        <v>1357</v>
      </c>
      <c r="E2538" s="817" t="s">
        <v>1358</v>
      </c>
      <c r="F2538" s="1705"/>
      <c r="G2538" s="1705"/>
      <c r="H2538" s="1705"/>
      <c r="I2538" s="1307" t="str">
        <f t="shared" si="496"/>
        <v/>
      </c>
      <c r="J2538" s="1705"/>
      <c r="K2538" s="1705" t="str">
        <f t="shared" si="497"/>
        <v/>
      </c>
      <c r="L2538" s="850" t="s">
        <v>1179</v>
      </c>
      <c r="M2538" s="1705">
        <v>1441</v>
      </c>
      <c r="N2538" s="1705"/>
    </row>
    <row r="2539" spans="1:17" s="1704" customFormat="1" x14ac:dyDescent="0.25">
      <c r="A2539" s="871" t="s">
        <v>1180</v>
      </c>
      <c r="B2539" s="817" t="str">
        <f t="shared" ca="1" si="500"/>
        <v>M34</v>
      </c>
      <c r="C2539" s="817" t="str">
        <f t="shared" ca="1" si="499"/>
        <v>M</v>
      </c>
      <c r="D2539" s="1705" t="s">
        <v>1357</v>
      </c>
      <c r="E2539" s="817" t="s">
        <v>1358</v>
      </c>
      <c r="F2539" s="1705"/>
      <c r="G2539" s="1705"/>
      <c r="H2539" s="1705"/>
      <c r="I2539" s="1307" t="str">
        <f t="shared" si="496"/>
        <v>Secondary or Internal Customer</v>
      </c>
      <c r="J2539" s="1705" t="str">
        <f>IF(M2539&lt;&gt;"",Q$1&amp;M2539,"")</f>
        <v>F1442</v>
      </c>
      <c r="K2539" s="1705" t="str">
        <f t="shared" si="497"/>
        <v>Required Info to Submit</v>
      </c>
      <c r="L2539" s="850" t="s">
        <v>1180</v>
      </c>
      <c r="M2539" s="1705">
        <v>1442</v>
      </c>
      <c r="N2539" s="1705"/>
    </row>
    <row r="2540" spans="1:17" s="1704" customFormat="1" x14ac:dyDescent="0.25">
      <c r="A2540" s="871" t="s">
        <v>1181</v>
      </c>
      <c r="B2540" s="817" t="str">
        <f t="shared" ca="1" si="500"/>
        <v>N34</v>
      </c>
      <c r="C2540" s="817" t="str">
        <f t="shared" ca="1" si="499"/>
        <v>N</v>
      </c>
      <c r="D2540" s="1705" t="s">
        <v>1357</v>
      </c>
      <c r="E2540" s="817" t="s">
        <v>1358</v>
      </c>
      <c r="F2540" s="1705"/>
      <c r="G2540" s="1705"/>
      <c r="H2540" s="1705"/>
      <c r="I2540" s="1307" t="str">
        <f t="shared" si="496"/>
        <v>Fuel Surcharge Applied</v>
      </c>
      <c r="J2540" s="1705" t="str">
        <f>IF(M2540&lt;&gt;"",Q$1&amp;M2540,"")</f>
        <v>F1443</v>
      </c>
      <c r="K2540" s="1705" t="str">
        <f t="shared" si="497"/>
        <v>Required Info to Submit</v>
      </c>
      <c r="L2540" s="850" t="s">
        <v>1367</v>
      </c>
      <c r="M2540" s="1705">
        <v>1443</v>
      </c>
      <c r="N2540" s="1705"/>
    </row>
    <row r="2541" spans="1:17" s="1704" customFormat="1" x14ac:dyDescent="0.25">
      <c r="A2541" s="871" t="s">
        <v>1297</v>
      </c>
      <c r="B2541" s="817" t="str">
        <f t="shared" ca="1" si="500"/>
        <v>O34</v>
      </c>
      <c r="C2541" s="817" t="str">
        <f t="shared" ca="1" si="499"/>
        <v>O</v>
      </c>
      <c r="D2541" s="1705" t="s">
        <v>1357</v>
      </c>
      <c r="E2541" s="817" t="s">
        <v>1358</v>
      </c>
      <c r="F2541" s="1705"/>
      <c r="G2541" s="1705"/>
      <c r="H2541" s="1705"/>
      <c r="I2541" s="1307" t="str">
        <f t="shared" si="496"/>
        <v>Minimum Delivery Charge Applied Flag</v>
      </c>
      <c r="J2541" s="1705" t="str">
        <f>IF(M2541&lt;&gt;"",Q$1&amp;M2541,"")</f>
        <v>F1444</v>
      </c>
      <c r="K2541" s="1705" t="str">
        <f t="shared" si="497"/>
        <v>Required Info to Submit</v>
      </c>
      <c r="L2541" s="850" t="s">
        <v>1297</v>
      </c>
      <c r="M2541" s="1705">
        <v>1444</v>
      </c>
      <c r="N2541" s="1705"/>
    </row>
    <row r="2542" spans="1:17" s="1704" customFormat="1" x14ac:dyDescent="0.25">
      <c r="A2542" s="871" t="s">
        <v>767</v>
      </c>
      <c r="B2542" s="817" t="str">
        <f t="shared" ca="1" si="500"/>
        <v>G34</v>
      </c>
      <c r="C2542" s="817" t="str">
        <f t="shared" ca="1" si="499"/>
        <v>G</v>
      </c>
      <c r="D2542" s="1705" t="s">
        <v>1357</v>
      </c>
      <c r="E2542" s="817" t="s">
        <v>1358</v>
      </c>
      <c r="F2542" s="1705"/>
      <c r="G2542" s="1705"/>
      <c r="H2542" s="1705"/>
      <c r="I2542" s="1307" t="str">
        <f t="shared" si="496"/>
        <v>Address</v>
      </c>
      <c r="J2542" s="1705" t="str">
        <f>IF(P2535="",Q$1&amp;M2542,"")</f>
        <v>F1445</v>
      </c>
      <c r="K2542" s="1705" t="str">
        <f t="shared" si="497"/>
        <v>Required Info to Submit</v>
      </c>
      <c r="L2542" s="850" t="s">
        <v>767</v>
      </c>
      <c r="M2542" s="1705">
        <v>1445</v>
      </c>
      <c r="N2542" s="1705"/>
    </row>
    <row r="2543" spans="1:17" s="1704" customFormat="1" x14ac:dyDescent="0.25">
      <c r="A2543" s="871" t="s">
        <v>768</v>
      </c>
      <c r="B2543" s="817" t="str">
        <f t="shared" ca="1" si="500"/>
        <v>H34</v>
      </c>
      <c r="C2543" s="817" t="str">
        <f t="shared" ca="1" si="499"/>
        <v>H</v>
      </c>
      <c r="D2543" s="1705" t="s">
        <v>1357</v>
      </c>
      <c r="E2543" s="817" t="s">
        <v>1358</v>
      </c>
      <c r="F2543" s="1705"/>
      <c r="G2543" s="1705"/>
      <c r="H2543" s="1705"/>
      <c r="I2543" s="1307" t="str">
        <f t="shared" si="496"/>
        <v>City</v>
      </c>
      <c r="J2543" s="1705" t="str">
        <f>IF(P2535="",Q$1&amp;M2543,"")</f>
        <v>F1446</v>
      </c>
      <c r="K2543" s="1705" t="str">
        <f t="shared" si="497"/>
        <v>Required Info to Submit</v>
      </c>
      <c r="L2543" s="850" t="s">
        <v>768</v>
      </c>
      <c r="M2543" s="1705">
        <v>1446</v>
      </c>
      <c r="N2543" s="1705"/>
    </row>
    <row r="2544" spans="1:17" s="1704" customFormat="1" x14ac:dyDescent="0.25">
      <c r="A2544" s="871" t="s">
        <v>769</v>
      </c>
      <c r="B2544" s="817" t="str">
        <f t="shared" ca="1" si="500"/>
        <v>I34</v>
      </c>
      <c r="C2544" s="817" t="str">
        <f t="shared" ca="1" si="499"/>
        <v>I</v>
      </c>
      <c r="D2544" s="1705" t="s">
        <v>1357</v>
      </c>
      <c r="E2544" s="817" t="s">
        <v>1358</v>
      </c>
      <c r="F2544" s="1705"/>
      <c r="G2544" s="1705"/>
      <c r="H2544" s="1705"/>
      <c r="I2544" s="1307" t="str">
        <f t="shared" si="496"/>
        <v>State</v>
      </c>
      <c r="J2544" s="1705" t="str">
        <f>IF(P2535="",Q$1&amp;M2544,"")</f>
        <v>F1447</v>
      </c>
      <c r="K2544" s="1705" t="str">
        <f t="shared" si="497"/>
        <v>Required Info to Submit</v>
      </c>
      <c r="L2544" s="850" t="s">
        <v>769</v>
      </c>
      <c r="M2544" s="1705">
        <v>1447</v>
      </c>
      <c r="N2544" s="1705"/>
    </row>
    <row r="2545" spans="1:17" s="1704" customFormat="1" x14ac:dyDescent="0.25">
      <c r="A2545" s="871" t="s">
        <v>204</v>
      </c>
      <c r="B2545" s="817" t="str">
        <f t="shared" ca="1" si="500"/>
        <v>J34</v>
      </c>
      <c r="C2545" s="817" t="str">
        <f t="shared" ca="1" si="499"/>
        <v>J</v>
      </c>
      <c r="D2545" s="1705" t="s">
        <v>1357</v>
      </c>
      <c r="E2545" s="817" t="s">
        <v>1358</v>
      </c>
      <c r="F2545" s="1705"/>
      <c r="G2545" s="1705"/>
      <c r="H2545" s="1705"/>
      <c r="I2545" s="1307" t="str">
        <f t="shared" si="496"/>
        <v>Zip Code</v>
      </c>
      <c r="J2545" s="1705" t="str">
        <f>IF(P2535="",Q$1&amp;M2545,"")</f>
        <v>F1448</v>
      </c>
      <c r="K2545" s="1705" t="str">
        <f t="shared" si="497"/>
        <v>Required Info to Submit</v>
      </c>
      <c r="L2545" s="850" t="s">
        <v>204</v>
      </c>
      <c r="M2545" s="1705">
        <v>1448</v>
      </c>
      <c r="N2545" s="1705"/>
    </row>
    <row r="2546" spans="1:17" s="1704" customFormat="1" x14ac:dyDescent="0.25">
      <c r="A2546" s="868" t="s">
        <v>1178</v>
      </c>
      <c r="B2546" s="817" t="str">
        <f ca="1">_xlfn.IFNA(_xlfn.CONCAT(SUBSTITUTE(ADDRESS(1,MATCH(A2546,INDIRECT("'"&amp;E2546&amp;"'"&amp;"!A22:Z22"),0),4),1,""),35),"")</f>
        <v>E35</v>
      </c>
      <c r="C2546" s="817" t="str">
        <f t="shared" ca="1" si="499"/>
        <v>E</v>
      </c>
      <c r="D2546" s="1705" t="s">
        <v>1357</v>
      </c>
      <c r="E2546" s="817" t="s">
        <v>1358</v>
      </c>
      <c r="F2546" s="1705"/>
      <c r="G2546" s="1705"/>
      <c r="H2546" s="1705"/>
      <c r="I2546" s="1307" t="str">
        <f t="shared" si="496"/>
        <v/>
      </c>
      <c r="J2546" s="1705"/>
      <c r="K2546" s="1705" t="str">
        <f t="shared" si="497"/>
        <v/>
      </c>
      <c r="L2546" s="850" t="s">
        <v>1178</v>
      </c>
      <c r="M2546" s="1705">
        <v>1449</v>
      </c>
      <c r="N2546" s="1705"/>
      <c r="P2546" s="1705" t="str">
        <f>IFERROR(VLOOKUP(Q$2546,'Existing Customers'!$A:$F,1,FALSE),"")</f>
        <v/>
      </c>
      <c r="Q2546" s="1705"/>
    </row>
    <row r="2547" spans="1:17" s="1704" customFormat="1" x14ac:dyDescent="0.25">
      <c r="A2547" s="869" t="s">
        <v>766</v>
      </c>
      <c r="B2547" s="817" t="str">
        <f t="shared" ref="B2547:B2556" ca="1" si="501">_xlfn.IFNA(_xlfn.CONCAT(SUBSTITUTE(ADDRESS(1,MATCH(A2547,INDIRECT("'"&amp;E2547&amp;"'"&amp;"!A22:Z22"),0),4),1,""),35),"")</f>
        <v>F35</v>
      </c>
      <c r="C2547" s="817" t="str">
        <f t="shared" ca="1" si="499"/>
        <v>F</v>
      </c>
      <c r="D2547" s="1705" t="s">
        <v>1357</v>
      </c>
      <c r="E2547" s="817" t="s">
        <v>1358</v>
      </c>
      <c r="F2547" s="1705"/>
      <c r="G2547" s="1705"/>
      <c r="H2547" s="1705"/>
      <c r="I2547" s="1307" t="str">
        <f t="shared" si="496"/>
        <v>Name</v>
      </c>
      <c r="J2547" s="1705" t="str">
        <f>IF(P2546="",Q$1&amp;M2547,"")</f>
        <v>F1459</v>
      </c>
      <c r="K2547" s="1705" t="str">
        <f t="shared" si="497"/>
        <v>Required Info to Submit</v>
      </c>
      <c r="L2547" s="850" t="s">
        <v>766</v>
      </c>
      <c r="M2547" s="1705">
        <v>1459</v>
      </c>
      <c r="N2547" s="1705"/>
    </row>
    <row r="2548" spans="1:17" s="1704" customFormat="1" x14ac:dyDescent="0.25">
      <c r="A2548" s="869" t="s">
        <v>765</v>
      </c>
      <c r="B2548" s="817" t="str">
        <f t="shared" ca="1" si="501"/>
        <v>K35</v>
      </c>
      <c r="C2548" s="817" t="str">
        <f t="shared" ca="1" si="499"/>
        <v>K</v>
      </c>
      <c r="D2548" s="1705" t="s">
        <v>1357</v>
      </c>
      <c r="E2548" s="817" t="s">
        <v>1358</v>
      </c>
      <c r="F2548" s="1705"/>
      <c r="G2548" s="1705"/>
      <c r="H2548" s="1705"/>
      <c r="I2548" s="1307" t="str">
        <f t="shared" si="496"/>
        <v/>
      </c>
      <c r="J2548" s="1705"/>
      <c r="K2548" s="1705" t="str">
        <f t="shared" si="497"/>
        <v/>
      </c>
      <c r="L2548" s="850" t="s">
        <v>765</v>
      </c>
      <c r="M2548" s="1705">
        <v>1461</v>
      </c>
      <c r="N2548" s="1705"/>
    </row>
    <row r="2549" spans="1:17" s="1704" customFormat="1" x14ac:dyDescent="0.25">
      <c r="A2549" s="869" t="s">
        <v>1179</v>
      </c>
      <c r="B2549" s="817" t="str">
        <f t="shared" ca="1" si="501"/>
        <v>L35</v>
      </c>
      <c r="C2549" s="817" t="str">
        <f t="shared" ca="1" si="499"/>
        <v>L</v>
      </c>
      <c r="D2549" s="1705" t="s">
        <v>1357</v>
      </c>
      <c r="E2549" s="817" t="s">
        <v>1358</v>
      </c>
      <c r="F2549" s="1705"/>
      <c r="G2549" s="1705"/>
      <c r="H2549" s="1705"/>
      <c r="I2549" s="1307" t="str">
        <f t="shared" si="496"/>
        <v/>
      </c>
      <c r="J2549" s="1705"/>
      <c r="K2549" s="1705" t="str">
        <f t="shared" si="497"/>
        <v/>
      </c>
      <c r="L2549" s="850" t="s">
        <v>1179</v>
      </c>
      <c r="M2549" s="1705">
        <v>1462</v>
      </c>
      <c r="N2549" s="1705"/>
    </row>
    <row r="2550" spans="1:17" s="1704" customFormat="1" x14ac:dyDescent="0.25">
      <c r="A2550" s="869" t="s">
        <v>1180</v>
      </c>
      <c r="B2550" s="817" t="str">
        <f t="shared" ca="1" si="501"/>
        <v>M35</v>
      </c>
      <c r="C2550" s="817" t="str">
        <f t="shared" ca="1" si="499"/>
        <v>M</v>
      </c>
      <c r="D2550" s="1705" t="s">
        <v>1357</v>
      </c>
      <c r="E2550" s="817" t="s">
        <v>1358</v>
      </c>
      <c r="F2550" s="1705"/>
      <c r="G2550" s="1705"/>
      <c r="H2550" s="1705"/>
      <c r="I2550" s="1307" t="str">
        <f t="shared" si="496"/>
        <v>Secondary or Internal Customer</v>
      </c>
      <c r="J2550" s="1705" t="str">
        <f>IF(M2550&lt;&gt;"",Q$1&amp;M2550,"")</f>
        <v>F1463</v>
      </c>
      <c r="K2550" s="1705" t="str">
        <f t="shared" si="497"/>
        <v>Required Info to Submit</v>
      </c>
      <c r="L2550" s="850" t="s">
        <v>1180</v>
      </c>
      <c r="M2550" s="1705">
        <v>1463</v>
      </c>
      <c r="N2550" s="1705"/>
    </row>
    <row r="2551" spans="1:17" s="1704" customFormat="1" x14ac:dyDescent="0.25">
      <c r="A2551" s="869" t="s">
        <v>1181</v>
      </c>
      <c r="B2551" s="817" t="str">
        <f t="shared" ca="1" si="501"/>
        <v>N35</v>
      </c>
      <c r="C2551" s="817" t="str">
        <f t="shared" ca="1" si="499"/>
        <v>N</v>
      </c>
      <c r="D2551" s="1705" t="s">
        <v>1357</v>
      </c>
      <c r="E2551" s="817" t="s">
        <v>1358</v>
      </c>
      <c r="F2551" s="1705"/>
      <c r="G2551" s="1705"/>
      <c r="H2551" s="1705"/>
      <c r="I2551" s="1307" t="str">
        <f t="shared" si="496"/>
        <v>Fuel Surcharge Applied</v>
      </c>
      <c r="J2551" s="1705" t="str">
        <f>IF(M2551&lt;&gt;"",Q$1&amp;M2551,"")</f>
        <v>F1464</v>
      </c>
      <c r="K2551" s="1705" t="str">
        <f t="shared" si="497"/>
        <v>Required Info to Submit</v>
      </c>
      <c r="L2551" s="850" t="s">
        <v>1367</v>
      </c>
      <c r="M2551" s="1705">
        <v>1464</v>
      </c>
      <c r="N2551" s="1705"/>
    </row>
    <row r="2552" spans="1:17" s="1704" customFormat="1" x14ac:dyDescent="0.25">
      <c r="A2552" s="869" t="s">
        <v>1297</v>
      </c>
      <c r="B2552" s="817" t="str">
        <f t="shared" ca="1" si="501"/>
        <v>O35</v>
      </c>
      <c r="C2552" s="817" t="str">
        <f t="shared" ca="1" si="499"/>
        <v>O</v>
      </c>
      <c r="D2552" s="1705" t="s">
        <v>1357</v>
      </c>
      <c r="E2552" s="817" t="s">
        <v>1358</v>
      </c>
      <c r="F2552" s="1705"/>
      <c r="G2552" s="1705"/>
      <c r="H2552" s="1705"/>
      <c r="I2552" s="1307" t="str">
        <f t="shared" si="496"/>
        <v>Minimum Delivery Charge Applied Flag</v>
      </c>
      <c r="J2552" s="1705" t="str">
        <f>IF(M2552&lt;&gt;"",Q$1&amp;M2552,"")</f>
        <v>F1465</v>
      </c>
      <c r="K2552" s="1705" t="str">
        <f t="shared" si="497"/>
        <v>Required Info to Submit</v>
      </c>
      <c r="L2552" s="850" t="s">
        <v>1297</v>
      </c>
      <c r="M2552" s="1705">
        <v>1465</v>
      </c>
      <c r="N2552" s="1705"/>
    </row>
    <row r="2553" spans="1:17" s="1704" customFormat="1" x14ac:dyDescent="0.25">
      <c r="A2553" s="869" t="s">
        <v>767</v>
      </c>
      <c r="B2553" s="817" t="str">
        <f t="shared" ca="1" si="501"/>
        <v>G35</v>
      </c>
      <c r="C2553" s="817" t="str">
        <f t="shared" ca="1" si="499"/>
        <v>G</v>
      </c>
      <c r="D2553" s="1705" t="s">
        <v>1357</v>
      </c>
      <c r="E2553" s="817" t="s">
        <v>1358</v>
      </c>
      <c r="F2553" s="1705"/>
      <c r="G2553" s="1705"/>
      <c r="H2553" s="1705"/>
      <c r="I2553" s="1307" t="str">
        <f t="shared" si="496"/>
        <v>Address</v>
      </c>
      <c r="J2553" s="1705" t="str">
        <f>IF(P2546="",Q$1&amp;M2553,"")</f>
        <v>F1466</v>
      </c>
      <c r="K2553" s="1705" t="str">
        <f t="shared" si="497"/>
        <v>Required Info to Submit</v>
      </c>
      <c r="L2553" s="850" t="s">
        <v>767</v>
      </c>
      <c r="M2553" s="1705">
        <v>1466</v>
      </c>
      <c r="N2553" s="1705"/>
    </row>
    <row r="2554" spans="1:17" s="1704" customFormat="1" x14ac:dyDescent="0.25">
      <c r="A2554" s="869" t="s">
        <v>768</v>
      </c>
      <c r="B2554" s="817" t="str">
        <f t="shared" ca="1" si="501"/>
        <v>H35</v>
      </c>
      <c r="C2554" s="817" t="str">
        <f t="shared" ca="1" si="499"/>
        <v>H</v>
      </c>
      <c r="D2554" s="1705" t="s">
        <v>1357</v>
      </c>
      <c r="E2554" s="817" t="s">
        <v>1358</v>
      </c>
      <c r="F2554" s="1705"/>
      <c r="G2554" s="1705"/>
      <c r="H2554" s="1705"/>
      <c r="I2554" s="1307" t="str">
        <f t="shared" si="496"/>
        <v>City</v>
      </c>
      <c r="J2554" s="1705" t="str">
        <f>IF(P2546="",Q$1&amp;M2554,"")</f>
        <v>F1467</v>
      </c>
      <c r="K2554" s="1705" t="str">
        <f t="shared" si="497"/>
        <v>Required Info to Submit</v>
      </c>
      <c r="L2554" s="850" t="s">
        <v>768</v>
      </c>
      <c r="M2554" s="1705">
        <v>1467</v>
      </c>
      <c r="N2554" s="1705"/>
    </row>
    <row r="2555" spans="1:17" s="1704" customFormat="1" x14ac:dyDescent="0.25">
      <c r="A2555" s="869" t="s">
        <v>769</v>
      </c>
      <c r="B2555" s="817" t="str">
        <f t="shared" ca="1" si="501"/>
        <v>I35</v>
      </c>
      <c r="C2555" s="817" t="str">
        <f t="shared" ca="1" si="499"/>
        <v>I</v>
      </c>
      <c r="D2555" s="1705" t="s">
        <v>1357</v>
      </c>
      <c r="E2555" s="817" t="s">
        <v>1358</v>
      </c>
      <c r="F2555" s="1705"/>
      <c r="G2555" s="1705"/>
      <c r="H2555" s="1705"/>
      <c r="I2555" s="1307" t="str">
        <f t="shared" si="496"/>
        <v>State</v>
      </c>
      <c r="J2555" s="1705" t="str">
        <f>IF(P2546="",Q$1&amp;M2555,"")</f>
        <v>F1468</v>
      </c>
      <c r="K2555" s="1705" t="str">
        <f t="shared" si="497"/>
        <v>Required Info to Submit</v>
      </c>
      <c r="L2555" s="850" t="s">
        <v>769</v>
      </c>
      <c r="M2555" s="1705">
        <v>1468</v>
      </c>
      <c r="N2555" s="1705"/>
    </row>
    <row r="2556" spans="1:17" s="1704" customFormat="1" x14ac:dyDescent="0.25">
      <c r="A2556" s="869" t="s">
        <v>204</v>
      </c>
      <c r="B2556" s="817" t="str">
        <f t="shared" ca="1" si="501"/>
        <v>J35</v>
      </c>
      <c r="C2556" s="817" t="str">
        <f t="shared" ca="1" si="499"/>
        <v>J</v>
      </c>
      <c r="D2556" s="1705" t="s">
        <v>1357</v>
      </c>
      <c r="E2556" s="817" t="s">
        <v>1358</v>
      </c>
      <c r="F2556" s="1705"/>
      <c r="G2556" s="1705"/>
      <c r="H2556" s="1705"/>
      <c r="I2556" s="1307" t="str">
        <f t="shared" si="496"/>
        <v>Zip Code</v>
      </c>
      <c r="J2556" s="1705" t="str">
        <f>IF(P2546="",Q$1&amp;M2556,"")</f>
        <v>F1469</v>
      </c>
      <c r="K2556" s="1705" t="str">
        <f t="shared" si="497"/>
        <v>Required Info to Submit</v>
      </c>
      <c r="L2556" s="850" t="s">
        <v>204</v>
      </c>
      <c r="M2556" s="1705">
        <v>1469</v>
      </c>
      <c r="N2556" s="1705"/>
    </row>
    <row r="2557" spans="1:17" s="1704" customFormat="1" x14ac:dyDescent="0.25">
      <c r="A2557" s="870" t="s">
        <v>1178</v>
      </c>
      <c r="B2557" s="817" t="str">
        <f ca="1">_xlfn.IFNA(_xlfn.CONCAT(SUBSTITUTE(ADDRESS(1,MATCH(A2557,INDIRECT("'"&amp;E2557&amp;"'"&amp;"!A22:Z22"),0),4),1,""),36),"")</f>
        <v>E36</v>
      </c>
      <c r="C2557" s="817" t="str">
        <f t="shared" ca="1" si="499"/>
        <v>E</v>
      </c>
      <c r="D2557" s="1705" t="s">
        <v>1357</v>
      </c>
      <c r="E2557" s="817" t="s">
        <v>1358</v>
      </c>
      <c r="F2557" s="1705"/>
      <c r="G2557" s="1705"/>
      <c r="H2557" s="1705"/>
      <c r="I2557" s="1307" t="str">
        <f t="shared" si="496"/>
        <v/>
      </c>
      <c r="J2557" s="1705"/>
      <c r="K2557" s="1705" t="str">
        <f t="shared" si="497"/>
        <v/>
      </c>
      <c r="L2557" s="850" t="s">
        <v>1178</v>
      </c>
      <c r="M2557" s="1705">
        <v>1470</v>
      </c>
      <c r="N2557" s="1705"/>
      <c r="P2557" s="1705" t="str">
        <f>IFERROR(VLOOKUP(Q$2557,'Existing Customers'!$A:$F,1,FALSE),"")</f>
        <v/>
      </c>
      <c r="Q2557" s="1705"/>
    </row>
    <row r="2558" spans="1:17" s="1704" customFormat="1" x14ac:dyDescent="0.25">
      <c r="A2558" s="871" t="s">
        <v>766</v>
      </c>
      <c r="B2558" s="817" t="str">
        <f t="shared" ref="B2558:B2567" ca="1" si="502">_xlfn.IFNA(_xlfn.CONCAT(SUBSTITUTE(ADDRESS(1,MATCH(A2558,INDIRECT("'"&amp;E2558&amp;"'"&amp;"!A22:Z22"),0),4),1,""),36),"")</f>
        <v>F36</v>
      </c>
      <c r="C2558" s="817" t="str">
        <f t="shared" ca="1" si="499"/>
        <v>F</v>
      </c>
      <c r="D2558" s="1705" t="s">
        <v>1357</v>
      </c>
      <c r="E2558" s="817" t="s">
        <v>1358</v>
      </c>
      <c r="F2558" s="1705"/>
      <c r="G2558" s="1705"/>
      <c r="H2558" s="1705"/>
      <c r="I2558" s="1307" t="str">
        <f t="shared" si="496"/>
        <v>Name</v>
      </c>
      <c r="J2558" s="1705" t="str">
        <f>IF(P2557="",Q$1&amp;M2558,"")</f>
        <v>F1472</v>
      </c>
      <c r="K2558" s="1705" t="str">
        <f t="shared" si="497"/>
        <v>Required Info to Submit</v>
      </c>
      <c r="L2558" s="850" t="s">
        <v>766</v>
      </c>
      <c r="M2558" s="1705">
        <v>1472</v>
      </c>
      <c r="N2558" s="1705"/>
    </row>
    <row r="2559" spans="1:17" s="1704" customFormat="1" x14ac:dyDescent="0.25">
      <c r="A2559" s="871" t="s">
        <v>765</v>
      </c>
      <c r="B2559" s="817" t="str">
        <f t="shared" ca="1" si="502"/>
        <v>K36</v>
      </c>
      <c r="C2559" s="817" t="str">
        <f t="shared" ca="1" si="499"/>
        <v>K</v>
      </c>
      <c r="D2559" s="1705" t="s">
        <v>1357</v>
      </c>
      <c r="E2559" s="817" t="s">
        <v>1358</v>
      </c>
      <c r="F2559" s="1705"/>
      <c r="G2559" s="1705"/>
      <c r="H2559" s="1705"/>
      <c r="I2559" s="1307" t="str">
        <f t="shared" si="496"/>
        <v/>
      </c>
      <c r="J2559" s="1705"/>
      <c r="K2559" s="1705" t="str">
        <f t="shared" si="497"/>
        <v/>
      </c>
      <c r="L2559" s="850" t="s">
        <v>765</v>
      </c>
      <c r="M2559" s="1705">
        <v>1482</v>
      </c>
      <c r="N2559" s="1705"/>
    </row>
    <row r="2560" spans="1:17" s="1704" customFormat="1" x14ac:dyDescent="0.25">
      <c r="A2560" s="871" t="s">
        <v>1179</v>
      </c>
      <c r="B2560" s="817" t="str">
        <f t="shared" ca="1" si="502"/>
        <v>L36</v>
      </c>
      <c r="C2560" s="817" t="str">
        <f t="shared" ca="1" si="499"/>
        <v>L</v>
      </c>
      <c r="D2560" s="1705" t="s">
        <v>1357</v>
      </c>
      <c r="E2560" s="817" t="s">
        <v>1358</v>
      </c>
      <c r="F2560" s="1705"/>
      <c r="G2560" s="1705"/>
      <c r="H2560" s="1705"/>
      <c r="I2560" s="1307" t="str">
        <f t="shared" si="496"/>
        <v/>
      </c>
      <c r="J2560" s="1705"/>
      <c r="K2560" s="1705" t="str">
        <f t="shared" si="497"/>
        <v/>
      </c>
      <c r="L2560" s="850" t="s">
        <v>1179</v>
      </c>
      <c r="M2560" s="1705">
        <v>1483</v>
      </c>
      <c r="N2560" s="1705"/>
    </row>
    <row r="2561" spans="1:17" s="1704" customFormat="1" x14ac:dyDescent="0.25">
      <c r="A2561" s="871" t="s">
        <v>1180</v>
      </c>
      <c r="B2561" s="817" t="str">
        <f t="shared" ca="1" si="502"/>
        <v>M36</v>
      </c>
      <c r="C2561" s="817" t="str">
        <f t="shared" ca="1" si="499"/>
        <v>M</v>
      </c>
      <c r="D2561" s="1705" t="s">
        <v>1357</v>
      </c>
      <c r="E2561" s="817" t="s">
        <v>1358</v>
      </c>
      <c r="F2561" s="1705"/>
      <c r="G2561" s="1705"/>
      <c r="H2561" s="1705"/>
      <c r="I2561" s="1307" t="str">
        <f t="shared" si="496"/>
        <v>Secondary or Internal Customer</v>
      </c>
      <c r="J2561" s="1705" t="str">
        <f>IF(M2561&lt;&gt;"",Q$1&amp;M2561,"")</f>
        <v>F1484</v>
      </c>
      <c r="K2561" s="1705" t="str">
        <f t="shared" si="497"/>
        <v>Required Info to Submit</v>
      </c>
      <c r="L2561" s="850" t="s">
        <v>1180</v>
      </c>
      <c r="M2561" s="1705">
        <v>1484</v>
      </c>
      <c r="N2561" s="1705"/>
    </row>
    <row r="2562" spans="1:17" s="1704" customFormat="1" x14ac:dyDescent="0.25">
      <c r="A2562" s="871" t="s">
        <v>1181</v>
      </c>
      <c r="B2562" s="817" t="str">
        <f t="shared" ca="1" si="502"/>
        <v>N36</v>
      </c>
      <c r="C2562" s="817" t="str">
        <f t="shared" ca="1" si="499"/>
        <v>N</v>
      </c>
      <c r="D2562" s="1705" t="s">
        <v>1357</v>
      </c>
      <c r="E2562" s="817" t="s">
        <v>1358</v>
      </c>
      <c r="F2562" s="1705"/>
      <c r="G2562" s="1705"/>
      <c r="H2562" s="1705"/>
      <c r="I2562" s="1307" t="str">
        <f t="shared" si="496"/>
        <v>Fuel Surcharge Applied</v>
      </c>
      <c r="J2562" s="1705" t="str">
        <f>IF(M2562&lt;&gt;"",Q$1&amp;M2562,"")</f>
        <v>F1485</v>
      </c>
      <c r="K2562" s="1705" t="str">
        <f t="shared" si="497"/>
        <v>Required Info to Submit</v>
      </c>
      <c r="L2562" s="850" t="s">
        <v>1367</v>
      </c>
      <c r="M2562" s="1705">
        <v>1485</v>
      </c>
      <c r="N2562" s="1705"/>
    </row>
    <row r="2563" spans="1:17" s="1704" customFormat="1" x14ac:dyDescent="0.25">
      <c r="A2563" s="871" t="s">
        <v>1297</v>
      </c>
      <c r="B2563" s="817" t="str">
        <f t="shared" ca="1" si="502"/>
        <v>O36</v>
      </c>
      <c r="C2563" s="817" t="str">
        <f t="shared" ca="1" si="499"/>
        <v>O</v>
      </c>
      <c r="D2563" s="1705" t="s">
        <v>1357</v>
      </c>
      <c r="E2563" s="817" t="s">
        <v>1358</v>
      </c>
      <c r="F2563" s="1705"/>
      <c r="G2563" s="1705"/>
      <c r="H2563" s="1705"/>
      <c r="I2563" s="1307" t="str">
        <f t="shared" si="496"/>
        <v>Minimum Delivery Charge Applied Flag</v>
      </c>
      <c r="J2563" s="1705" t="str">
        <f>IF(M2563&lt;&gt;"",Q$1&amp;M2563,"")</f>
        <v>F1486</v>
      </c>
      <c r="K2563" s="1705" t="str">
        <f t="shared" si="497"/>
        <v>Required Info to Submit</v>
      </c>
      <c r="L2563" s="850" t="s">
        <v>1297</v>
      </c>
      <c r="M2563" s="1705">
        <v>1486</v>
      </c>
      <c r="N2563" s="1705"/>
    </row>
    <row r="2564" spans="1:17" s="1704" customFormat="1" x14ac:dyDescent="0.25">
      <c r="A2564" s="871" t="s">
        <v>767</v>
      </c>
      <c r="B2564" s="817" t="str">
        <f t="shared" ca="1" si="502"/>
        <v>G36</v>
      </c>
      <c r="C2564" s="817" t="str">
        <f t="shared" ca="1" si="499"/>
        <v>G</v>
      </c>
      <c r="D2564" s="1705" t="s">
        <v>1357</v>
      </c>
      <c r="E2564" s="817" t="s">
        <v>1358</v>
      </c>
      <c r="F2564" s="1705"/>
      <c r="G2564" s="1705"/>
      <c r="H2564" s="1705"/>
      <c r="I2564" s="1307" t="str">
        <f t="shared" si="496"/>
        <v>Address</v>
      </c>
      <c r="J2564" s="1705" t="str">
        <f>IF(P2557="",Q$1&amp;M2564,"")</f>
        <v>F1487</v>
      </c>
      <c r="K2564" s="1705" t="str">
        <f t="shared" si="497"/>
        <v>Required Info to Submit</v>
      </c>
      <c r="L2564" s="850" t="s">
        <v>767</v>
      </c>
      <c r="M2564" s="1705">
        <v>1487</v>
      </c>
      <c r="N2564" s="1705"/>
    </row>
    <row r="2565" spans="1:17" s="1704" customFormat="1" x14ac:dyDescent="0.25">
      <c r="A2565" s="871" t="s">
        <v>768</v>
      </c>
      <c r="B2565" s="817" t="str">
        <f t="shared" ca="1" si="502"/>
        <v>H36</v>
      </c>
      <c r="C2565" s="817" t="str">
        <f t="shared" ca="1" si="499"/>
        <v>H</v>
      </c>
      <c r="D2565" s="1705" t="s">
        <v>1357</v>
      </c>
      <c r="E2565" s="817" t="s">
        <v>1358</v>
      </c>
      <c r="F2565" s="1705"/>
      <c r="G2565" s="1705"/>
      <c r="H2565" s="1705"/>
      <c r="I2565" s="1307" t="str">
        <f t="shared" si="496"/>
        <v>City</v>
      </c>
      <c r="J2565" s="1705" t="str">
        <f>IF(P2557="",Q$1&amp;M2565,"")</f>
        <v>F1488</v>
      </c>
      <c r="K2565" s="1705" t="str">
        <f t="shared" si="497"/>
        <v>Required Info to Submit</v>
      </c>
      <c r="L2565" s="850" t="s">
        <v>768</v>
      </c>
      <c r="M2565" s="1705">
        <v>1488</v>
      </c>
      <c r="N2565" s="1705"/>
    </row>
    <row r="2566" spans="1:17" s="1704" customFormat="1" x14ac:dyDescent="0.25">
      <c r="A2566" s="871" t="s">
        <v>769</v>
      </c>
      <c r="B2566" s="817" t="str">
        <f t="shared" ca="1" si="502"/>
        <v>I36</v>
      </c>
      <c r="C2566" s="817" t="str">
        <f t="shared" ca="1" si="499"/>
        <v>I</v>
      </c>
      <c r="D2566" s="1705" t="s">
        <v>1357</v>
      </c>
      <c r="E2566" s="817" t="s">
        <v>1358</v>
      </c>
      <c r="F2566" s="1705"/>
      <c r="G2566" s="1705"/>
      <c r="H2566" s="1705"/>
      <c r="I2566" s="1307" t="str">
        <f t="shared" si="496"/>
        <v>State</v>
      </c>
      <c r="J2566" s="1705" t="str">
        <f>IF(P2557="",Q$1&amp;M2566,"")</f>
        <v>F1489</v>
      </c>
      <c r="K2566" s="1705" t="str">
        <f t="shared" si="497"/>
        <v>Required Info to Submit</v>
      </c>
      <c r="L2566" s="850" t="s">
        <v>769</v>
      </c>
      <c r="M2566" s="1705">
        <v>1489</v>
      </c>
      <c r="N2566" s="1705"/>
    </row>
    <row r="2567" spans="1:17" s="1704" customFormat="1" x14ac:dyDescent="0.25">
      <c r="A2567" s="871" t="s">
        <v>204</v>
      </c>
      <c r="B2567" s="817" t="str">
        <f t="shared" ca="1" si="502"/>
        <v>J36</v>
      </c>
      <c r="C2567" s="817" t="str">
        <f t="shared" ca="1" si="499"/>
        <v>J</v>
      </c>
      <c r="D2567" s="1705" t="s">
        <v>1357</v>
      </c>
      <c r="E2567" s="817" t="s">
        <v>1358</v>
      </c>
      <c r="F2567" s="1705"/>
      <c r="G2567" s="1705"/>
      <c r="H2567" s="1705"/>
      <c r="I2567" s="1307" t="str">
        <f t="shared" si="496"/>
        <v>Zip Code</v>
      </c>
      <c r="J2567" s="1705" t="str">
        <f>IF(P2557="",Q$1&amp;M2567,"")</f>
        <v>F1490</v>
      </c>
      <c r="K2567" s="1705" t="str">
        <f t="shared" si="497"/>
        <v>Required Info to Submit</v>
      </c>
      <c r="L2567" s="850" t="s">
        <v>204</v>
      </c>
      <c r="M2567" s="1705">
        <v>1490</v>
      </c>
      <c r="N2567" s="1705"/>
    </row>
    <row r="2568" spans="1:17" s="1704" customFormat="1" x14ac:dyDescent="0.25">
      <c r="A2568" s="868" t="s">
        <v>1178</v>
      </c>
      <c r="B2568" s="817" t="str">
        <f ca="1">_xlfn.IFNA(_xlfn.CONCAT(SUBSTITUTE(ADDRESS(1,MATCH(A2568,INDIRECT("'"&amp;E2568&amp;"'"&amp;"!A22:Z22"),0),4),1,""),37),"")</f>
        <v>E37</v>
      </c>
      <c r="C2568" s="817" t="str">
        <f t="shared" ca="1" si="499"/>
        <v>E</v>
      </c>
      <c r="D2568" s="1705" t="s">
        <v>1357</v>
      </c>
      <c r="E2568" s="817" t="s">
        <v>1358</v>
      </c>
      <c r="F2568" s="1705"/>
      <c r="G2568" s="1705"/>
      <c r="H2568" s="1705"/>
      <c r="I2568" s="1307" t="str">
        <f t="shared" si="496"/>
        <v/>
      </c>
      <c r="J2568" s="1705"/>
      <c r="K2568" s="1705" t="str">
        <f t="shared" si="497"/>
        <v/>
      </c>
      <c r="L2568" s="850" t="s">
        <v>1178</v>
      </c>
      <c r="M2568" s="1705">
        <v>1491</v>
      </c>
      <c r="N2568" s="1705"/>
      <c r="P2568" s="1705" t="str">
        <f>IFERROR(VLOOKUP(Q$2568,'Existing Customers'!$A:$F,1,FALSE),"")</f>
        <v/>
      </c>
      <c r="Q2568" s="1705"/>
    </row>
    <row r="2569" spans="1:17" s="1704" customFormat="1" x14ac:dyDescent="0.25">
      <c r="A2569" s="869" t="s">
        <v>766</v>
      </c>
      <c r="B2569" s="817" t="str">
        <f t="shared" ref="B2569:B2578" ca="1" si="503">_xlfn.IFNA(_xlfn.CONCAT(SUBSTITUTE(ADDRESS(1,MATCH(A2569,INDIRECT("'"&amp;E2569&amp;"'"&amp;"!A22:Z22"),0),4),1,""),37),"")</f>
        <v>F37</v>
      </c>
      <c r="C2569" s="817" t="str">
        <f t="shared" ca="1" si="499"/>
        <v>F</v>
      </c>
      <c r="D2569" s="1705" t="s">
        <v>1357</v>
      </c>
      <c r="E2569" s="817" t="s">
        <v>1358</v>
      </c>
      <c r="F2569" s="1705"/>
      <c r="G2569" s="1705"/>
      <c r="H2569" s="1705"/>
      <c r="I2569" s="1307" t="str">
        <f t="shared" si="496"/>
        <v>Name</v>
      </c>
      <c r="J2569" s="1705" t="str">
        <f>IF(P2568="",Q$1&amp;M2569,"")</f>
        <v>F1493</v>
      </c>
      <c r="K2569" s="1705" t="str">
        <f t="shared" si="497"/>
        <v>Required Info to Submit</v>
      </c>
      <c r="L2569" s="850" t="s">
        <v>766</v>
      </c>
      <c r="M2569" s="1705">
        <v>1493</v>
      </c>
      <c r="N2569" s="1705"/>
    </row>
    <row r="2570" spans="1:17" s="1704" customFormat="1" x14ac:dyDescent="0.25">
      <c r="A2570" s="869" t="s">
        <v>765</v>
      </c>
      <c r="B2570" s="817" t="str">
        <f t="shared" ca="1" si="503"/>
        <v>K37</v>
      </c>
      <c r="C2570" s="817" t="str">
        <f t="shared" ca="1" si="499"/>
        <v>K</v>
      </c>
      <c r="D2570" s="1705" t="s">
        <v>1357</v>
      </c>
      <c r="E2570" s="817" t="s">
        <v>1358</v>
      </c>
      <c r="F2570" s="1705"/>
      <c r="G2570" s="1705"/>
      <c r="H2570" s="1705"/>
      <c r="I2570" s="1307" t="str">
        <f t="shared" si="496"/>
        <v/>
      </c>
      <c r="J2570" s="1705"/>
      <c r="K2570" s="1705" t="str">
        <f t="shared" si="497"/>
        <v/>
      </c>
      <c r="L2570" s="850" t="s">
        <v>765</v>
      </c>
      <c r="M2570" s="1705">
        <v>1503</v>
      </c>
      <c r="N2570" s="1705"/>
    </row>
    <row r="2571" spans="1:17" s="1704" customFormat="1" x14ac:dyDescent="0.25">
      <c r="A2571" s="869" t="s">
        <v>1179</v>
      </c>
      <c r="B2571" s="817" t="str">
        <f t="shared" ca="1" si="503"/>
        <v>L37</v>
      </c>
      <c r="C2571" s="817" t="str">
        <f t="shared" ca="1" si="499"/>
        <v>L</v>
      </c>
      <c r="D2571" s="1705" t="s">
        <v>1357</v>
      </c>
      <c r="E2571" s="817" t="s">
        <v>1358</v>
      </c>
      <c r="F2571" s="1705"/>
      <c r="G2571" s="1705"/>
      <c r="H2571" s="1705"/>
      <c r="I2571" s="1307" t="str">
        <f t="shared" si="496"/>
        <v/>
      </c>
      <c r="J2571" s="1705"/>
      <c r="K2571" s="1705" t="str">
        <f t="shared" si="497"/>
        <v/>
      </c>
      <c r="L2571" s="850" t="s">
        <v>1179</v>
      </c>
      <c r="M2571" s="1705">
        <v>1504</v>
      </c>
      <c r="N2571" s="1705"/>
    </row>
    <row r="2572" spans="1:17" s="1704" customFormat="1" x14ac:dyDescent="0.25">
      <c r="A2572" s="869" t="s">
        <v>1180</v>
      </c>
      <c r="B2572" s="817" t="str">
        <f t="shared" ca="1" si="503"/>
        <v>M37</v>
      </c>
      <c r="C2572" s="817" t="str">
        <f t="shared" ca="1" si="499"/>
        <v>M</v>
      </c>
      <c r="D2572" s="1705" t="s">
        <v>1357</v>
      </c>
      <c r="E2572" s="817" t="s">
        <v>1358</v>
      </c>
      <c r="F2572" s="1705"/>
      <c r="G2572" s="1705"/>
      <c r="H2572" s="1705"/>
      <c r="I2572" s="1307" t="str">
        <f t="shared" ref="I2572:I2633" si="504">IF(J2572&lt;&gt;"",A2572,"")</f>
        <v>Secondary or Internal Customer</v>
      </c>
      <c r="J2572" s="1705" t="str">
        <f>IF(M2572&lt;&gt;"",Q$1&amp;M2572,"")</f>
        <v>F1505</v>
      </c>
      <c r="K2572" s="1705" t="str">
        <f t="shared" ref="K2572:K2633" si="505">IF(J2572&lt;&gt;"",E2572,"")</f>
        <v>Required Info to Submit</v>
      </c>
      <c r="L2572" s="850" t="s">
        <v>1180</v>
      </c>
      <c r="M2572" s="1705">
        <v>1505</v>
      </c>
      <c r="N2572" s="1705"/>
    </row>
    <row r="2573" spans="1:17" s="1704" customFormat="1" x14ac:dyDescent="0.25">
      <c r="A2573" s="869" t="s">
        <v>1181</v>
      </c>
      <c r="B2573" s="817" t="str">
        <f t="shared" ca="1" si="503"/>
        <v>N37</v>
      </c>
      <c r="C2573" s="817" t="str">
        <f t="shared" ca="1" si="499"/>
        <v>N</v>
      </c>
      <c r="D2573" s="1705" t="s">
        <v>1357</v>
      </c>
      <c r="E2573" s="817" t="s">
        <v>1358</v>
      </c>
      <c r="F2573" s="1705"/>
      <c r="G2573" s="1705"/>
      <c r="H2573" s="1705"/>
      <c r="I2573" s="1307" t="str">
        <f t="shared" si="504"/>
        <v>Fuel Surcharge Applied</v>
      </c>
      <c r="J2573" s="1705" t="str">
        <f>IF(M2573&lt;&gt;"",Q$1&amp;M2573,"")</f>
        <v>F1506</v>
      </c>
      <c r="K2573" s="1705" t="str">
        <f t="shared" si="505"/>
        <v>Required Info to Submit</v>
      </c>
      <c r="L2573" s="850" t="s">
        <v>1367</v>
      </c>
      <c r="M2573" s="1705">
        <v>1506</v>
      </c>
      <c r="N2573" s="1705"/>
    </row>
    <row r="2574" spans="1:17" s="1704" customFormat="1" x14ac:dyDescent="0.25">
      <c r="A2574" s="869" t="s">
        <v>1297</v>
      </c>
      <c r="B2574" s="817" t="str">
        <f t="shared" ca="1" si="503"/>
        <v>O37</v>
      </c>
      <c r="C2574" s="817" t="str">
        <f t="shared" ca="1" si="499"/>
        <v>O</v>
      </c>
      <c r="D2574" s="1705" t="s">
        <v>1357</v>
      </c>
      <c r="E2574" s="817" t="s">
        <v>1358</v>
      </c>
      <c r="F2574" s="1705"/>
      <c r="G2574" s="1705"/>
      <c r="H2574" s="1705"/>
      <c r="I2574" s="1307" t="str">
        <f t="shared" si="504"/>
        <v>Minimum Delivery Charge Applied Flag</v>
      </c>
      <c r="J2574" s="1705" t="str">
        <f>IF(M2574&lt;&gt;"",Q$1&amp;M2574,"")</f>
        <v>F1507</v>
      </c>
      <c r="K2574" s="1705" t="str">
        <f t="shared" si="505"/>
        <v>Required Info to Submit</v>
      </c>
      <c r="L2574" s="850" t="s">
        <v>1297</v>
      </c>
      <c r="M2574" s="1705">
        <v>1507</v>
      </c>
      <c r="N2574" s="1705"/>
    </row>
    <row r="2575" spans="1:17" s="1704" customFormat="1" x14ac:dyDescent="0.25">
      <c r="A2575" s="869" t="s">
        <v>767</v>
      </c>
      <c r="B2575" s="817" t="str">
        <f t="shared" ca="1" si="503"/>
        <v>G37</v>
      </c>
      <c r="C2575" s="817" t="str">
        <f t="shared" ca="1" si="499"/>
        <v>G</v>
      </c>
      <c r="D2575" s="1705" t="s">
        <v>1357</v>
      </c>
      <c r="E2575" s="817" t="s">
        <v>1358</v>
      </c>
      <c r="F2575" s="1705"/>
      <c r="G2575" s="1705"/>
      <c r="H2575" s="1705"/>
      <c r="I2575" s="1307" t="str">
        <f t="shared" si="504"/>
        <v>Address</v>
      </c>
      <c r="J2575" s="1705" t="str">
        <f>IF(P2568="",Q$1&amp;M2575,"")</f>
        <v>F1508</v>
      </c>
      <c r="K2575" s="1705" t="str">
        <f t="shared" si="505"/>
        <v>Required Info to Submit</v>
      </c>
      <c r="L2575" s="850" t="s">
        <v>767</v>
      </c>
      <c r="M2575" s="1705">
        <v>1508</v>
      </c>
      <c r="N2575" s="1705"/>
    </row>
    <row r="2576" spans="1:17" s="1704" customFormat="1" x14ac:dyDescent="0.25">
      <c r="A2576" s="869" t="s">
        <v>768</v>
      </c>
      <c r="B2576" s="817" t="str">
        <f t="shared" ca="1" si="503"/>
        <v>H37</v>
      </c>
      <c r="C2576" s="817" t="str">
        <f t="shared" ca="1" si="499"/>
        <v>H</v>
      </c>
      <c r="D2576" s="1705" t="s">
        <v>1357</v>
      </c>
      <c r="E2576" s="817" t="s">
        <v>1358</v>
      </c>
      <c r="F2576" s="1705"/>
      <c r="G2576" s="1705"/>
      <c r="H2576" s="1705"/>
      <c r="I2576" s="1307" t="str">
        <f t="shared" si="504"/>
        <v>City</v>
      </c>
      <c r="J2576" s="1705" t="str">
        <f>IF(P2568="",Q$1&amp;M2576,"")</f>
        <v>F1509</v>
      </c>
      <c r="K2576" s="1705" t="str">
        <f t="shared" si="505"/>
        <v>Required Info to Submit</v>
      </c>
      <c r="L2576" s="850" t="s">
        <v>768</v>
      </c>
      <c r="M2576" s="1705">
        <v>1509</v>
      </c>
      <c r="N2576" s="1705"/>
    </row>
    <row r="2577" spans="1:17" s="1704" customFormat="1" x14ac:dyDescent="0.25">
      <c r="A2577" s="869" t="s">
        <v>769</v>
      </c>
      <c r="B2577" s="817" t="str">
        <f t="shared" ca="1" si="503"/>
        <v>I37</v>
      </c>
      <c r="C2577" s="817" t="str">
        <f t="shared" ca="1" si="499"/>
        <v>I</v>
      </c>
      <c r="D2577" s="1705" t="s">
        <v>1357</v>
      </c>
      <c r="E2577" s="817" t="s">
        <v>1358</v>
      </c>
      <c r="F2577" s="1705"/>
      <c r="G2577" s="1705"/>
      <c r="H2577" s="1705"/>
      <c r="I2577" s="1307" t="str">
        <f t="shared" si="504"/>
        <v>State</v>
      </c>
      <c r="J2577" s="1705" t="str">
        <f>IF(P2568="",Q$1&amp;M2577,"")</f>
        <v>F1510</v>
      </c>
      <c r="K2577" s="1705" t="str">
        <f t="shared" si="505"/>
        <v>Required Info to Submit</v>
      </c>
      <c r="L2577" s="850" t="s">
        <v>769</v>
      </c>
      <c r="M2577" s="1705">
        <v>1510</v>
      </c>
      <c r="N2577" s="1705"/>
    </row>
    <row r="2578" spans="1:17" s="1704" customFormat="1" x14ac:dyDescent="0.25">
      <c r="A2578" s="869" t="s">
        <v>204</v>
      </c>
      <c r="B2578" s="817" t="str">
        <f t="shared" ca="1" si="503"/>
        <v>J37</v>
      </c>
      <c r="C2578" s="817" t="str">
        <f t="shared" ca="1" si="499"/>
        <v>J</v>
      </c>
      <c r="D2578" s="1705" t="s">
        <v>1357</v>
      </c>
      <c r="E2578" s="817" t="s">
        <v>1358</v>
      </c>
      <c r="F2578" s="1705"/>
      <c r="G2578" s="1705"/>
      <c r="H2578" s="1705"/>
      <c r="I2578" s="1307" t="str">
        <f t="shared" si="504"/>
        <v>Zip Code</v>
      </c>
      <c r="J2578" s="1705" t="str">
        <f>IF(P2568="",Q$1&amp;M2578,"")</f>
        <v>F1511</v>
      </c>
      <c r="K2578" s="1705" t="str">
        <f t="shared" si="505"/>
        <v>Required Info to Submit</v>
      </c>
      <c r="L2578" s="850" t="s">
        <v>204</v>
      </c>
      <c r="M2578" s="1705">
        <v>1511</v>
      </c>
      <c r="N2578" s="1705"/>
    </row>
    <row r="2579" spans="1:17" s="1704" customFormat="1" x14ac:dyDescent="0.25">
      <c r="A2579" s="870" t="s">
        <v>1178</v>
      </c>
      <c r="B2579" s="817" t="str">
        <f ca="1">_xlfn.IFNA(_xlfn.CONCAT(SUBSTITUTE(ADDRESS(1,MATCH(A2579,INDIRECT("'"&amp;E2579&amp;"'"&amp;"!A22:Z22"),0),4),1,""),38),"")</f>
        <v>E38</v>
      </c>
      <c r="C2579" s="817" t="str">
        <f t="shared" ca="1" si="499"/>
        <v>E</v>
      </c>
      <c r="D2579" s="1705" t="s">
        <v>1357</v>
      </c>
      <c r="E2579" s="817" t="s">
        <v>1358</v>
      </c>
      <c r="F2579" s="1705"/>
      <c r="G2579" s="1705"/>
      <c r="H2579" s="1705"/>
      <c r="I2579" s="1307" t="str">
        <f t="shared" si="504"/>
        <v/>
      </c>
      <c r="J2579" s="1705"/>
      <c r="K2579" s="1705" t="str">
        <f t="shared" si="505"/>
        <v/>
      </c>
      <c r="L2579" s="850" t="s">
        <v>1178</v>
      </c>
      <c r="M2579" s="1705">
        <v>1512</v>
      </c>
      <c r="N2579" s="1705"/>
      <c r="P2579" s="1705" t="str">
        <f>IFERROR(VLOOKUP(Q$2579,'Existing Customers'!$A:$F,1,FALSE),"")</f>
        <v/>
      </c>
      <c r="Q2579" s="1705"/>
    </row>
    <row r="2580" spans="1:17" s="1704" customFormat="1" x14ac:dyDescent="0.25">
      <c r="A2580" s="871" t="s">
        <v>766</v>
      </c>
      <c r="B2580" s="817" t="str">
        <f t="shared" ref="B2580:B2589" ca="1" si="506">_xlfn.IFNA(_xlfn.CONCAT(SUBSTITUTE(ADDRESS(1,MATCH(A2580,INDIRECT("'"&amp;E2580&amp;"'"&amp;"!A22:Z22"),0),4),1,""),38),"")</f>
        <v>F38</v>
      </c>
      <c r="C2580" s="817" t="str">
        <f t="shared" ca="1" si="499"/>
        <v>F</v>
      </c>
      <c r="D2580" s="1705" t="s">
        <v>1357</v>
      </c>
      <c r="E2580" s="817" t="s">
        <v>1358</v>
      </c>
      <c r="F2580" s="1705"/>
      <c r="G2580" s="1705"/>
      <c r="H2580" s="1705"/>
      <c r="I2580" s="1307" t="str">
        <f t="shared" si="504"/>
        <v>Name</v>
      </c>
      <c r="J2580" s="1705" t="str">
        <f>IF(P2579="",Q$1&amp;M2580,"")</f>
        <v>F1514</v>
      </c>
      <c r="K2580" s="1705" t="str">
        <f t="shared" si="505"/>
        <v>Required Info to Submit</v>
      </c>
      <c r="L2580" s="850" t="s">
        <v>766</v>
      </c>
      <c r="M2580" s="1705">
        <v>1514</v>
      </c>
      <c r="N2580" s="1705"/>
    </row>
    <row r="2581" spans="1:17" s="1704" customFormat="1" x14ac:dyDescent="0.25">
      <c r="A2581" s="871" t="s">
        <v>765</v>
      </c>
      <c r="B2581" s="817" t="str">
        <f t="shared" ca="1" si="506"/>
        <v>K38</v>
      </c>
      <c r="C2581" s="817" t="str">
        <f t="shared" ca="1" si="499"/>
        <v>K</v>
      </c>
      <c r="D2581" s="1705" t="s">
        <v>1357</v>
      </c>
      <c r="E2581" s="817" t="s">
        <v>1358</v>
      </c>
      <c r="F2581" s="1705"/>
      <c r="G2581" s="1705"/>
      <c r="H2581" s="1705"/>
      <c r="I2581" s="1307" t="str">
        <f t="shared" si="504"/>
        <v/>
      </c>
      <c r="J2581" s="1705"/>
      <c r="K2581" s="1705" t="str">
        <f t="shared" si="505"/>
        <v/>
      </c>
      <c r="L2581" s="850" t="s">
        <v>765</v>
      </c>
      <c r="M2581" s="1705">
        <v>1524</v>
      </c>
      <c r="N2581" s="1705"/>
    </row>
    <row r="2582" spans="1:17" s="1704" customFormat="1" x14ac:dyDescent="0.25">
      <c r="A2582" s="871" t="s">
        <v>1179</v>
      </c>
      <c r="B2582" s="817" t="str">
        <f t="shared" ca="1" si="506"/>
        <v>L38</v>
      </c>
      <c r="C2582" s="817" t="str">
        <f t="shared" ca="1" si="499"/>
        <v>L</v>
      </c>
      <c r="D2582" s="1705" t="s">
        <v>1357</v>
      </c>
      <c r="E2582" s="817" t="s">
        <v>1358</v>
      </c>
      <c r="F2582" s="1705"/>
      <c r="G2582" s="1705"/>
      <c r="H2582" s="1705"/>
      <c r="I2582" s="1307" t="str">
        <f t="shared" si="504"/>
        <v/>
      </c>
      <c r="J2582" s="1705"/>
      <c r="K2582" s="1705" t="str">
        <f t="shared" si="505"/>
        <v/>
      </c>
      <c r="L2582" s="850" t="s">
        <v>1179</v>
      </c>
      <c r="M2582" s="1705">
        <v>1525</v>
      </c>
      <c r="N2582" s="1705"/>
    </row>
    <row r="2583" spans="1:17" s="1704" customFormat="1" x14ac:dyDescent="0.25">
      <c r="A2583" s="871" t="s">
        <v>1180</v>
      </c>
      <c r="B2583" s="817" t="str">
        <f t="shared" ca="1" si="506"/>
        <v>M38</v>
      </c>
      <c r="C2583" s="817" t="str">
        <f t="shared" ca="1" si="499"/>
        <v>M</v>
      </c>
      <c r="D2583" s="1705" t="s">
        <v>1357</v>
      </c>
      <c r="E2583" s="817" t="s">
        <v>1358</v>
      </c>
      <c r="F2583" s="1705"/>
      <c r="G2583" s="1705"/>
      <c r="H2583" s="1705"/>
      <c r="I2583" s="1307" t="str">
        <f t="shared" si="504"/>
        <v>Secondary or Internal Customer</v>
      </c>
      <c r="J2583" s="1705" t="str">
        <f>IF(M2583&lt;&gt;"",Q$1&amp;M2583,"")</f>
        <v>F1526</v>
      </c>
      <c r="K2583" s="1705" t="str">
        <f t="shared" si="505"/>
        <v>Required Info to Submit</v>
      </c>
      <c r="L2583" s="850" t="s">
        <v>1180</v>
      </c>
      <c r="M2583" s="1705">
        <v>1526</v>
      </c>
      <c r="N2583" s="1705"/>
    </row>
    <row r="2584" spans="1:17" s="1704" customFormat="1" x14ac:dyDescent="0.25">
      <c r="A2584" s="871" t="s">
        <v>1181</v>
      </c>
      <c r="B2584" s="817" t="str">
        <f t="shared" ca="1" si="506"/>
        <v>N38</v>
      </c>
      <c r="C2584" s="817" t="str">
        <f t="shared" ca="1" si="499"/>
        <v>N</v>
      </c>
      <c r="D2584" s="1705" t="s">
        <v>1357</v>
      </c>
      <c r="E2584" s="817" t="s">
        <v>1358</v>
      </c>
      <c r="F2584" s="1705"/>
      <c r="G2584" s="1705"/>
      <c r="H2584" s="1705"/>
      <c r="I2584" s="1307" t="str">
        <f t="shared" si="504"/>
        <v>Fuel Surcharge Applied</v>
      </c>
      <c r="J2584" s="1705" t="str">
        <f>IF(M2584&lt;&gt;"",Q$1&amp;M2584,"")</f>
        <v>F1527</v>
      </c>
      <c r="K2584" s="1705" t="str">
        <f t="shared" si="505"/>
        <v>Required Info to Submit</v>
      </c>
      <c r="L2584" s="850" t="s">
        <v>1367</v>
      </c>
      <c r="M2584" s="1705">
        <v>1527</v>
      </c>
      <c r="N2584" s="1705"/>
    </row>
    <row r="2585" spans="1:17" s="1704" customFormat="1" x14ac:dyDescent="0.25">
      <c r="A2585" s="871" t="s">
        <v>1297</v>
      </c>
      <c r="B2585" s="817" t="str">
        <f t="shared" ca="1" si="506"/>
        <v>O38</v>
      </c>
      <c r="C2585" s="817" t="str">
        <f t="shared" ca="1" si="499"/>
        <v>O</v>
      </c>
      <c r="D2585" s="1705" t="s">
        <v>1357</v>
      </c>
      <c r="E2585" s="817" t="s">
        <v>1358</v>
      </c>
      <c r="F2585" s="1705"/>
      <c r="G2585" s="1705"/>
      <c r="H2585" s="1705"/>
      <c r="I2585" s="1307" t="str">
        <f t="shared" si="504"/>
        <v>Minimum Delivery Charge Applied Flag</v>
      </c>
      <c r="J2585" s="1705" t="str">
        <f>IF(M2585&lt;&gt;"",Q$1&amp;M2585,"")</f>
        <v>F1528</v>
      </c>
      <c r="K2585" s="1705" t="str">
        <f t="shared" si="505"/>
        <v>Required Info to Submit</v>
      </c>
      <c r="L2585" s="850" t="s">
        <v>1297</v>
      </c>
      <c r="M2585" s="1705">
        <v>1528</v>
      </c>
      <c r="N2585" s="1705"/>
    </row>
    <row r="2586" spans="1:17" s="1704" customFormat="1" x14ac:dyDescent="0.25">
      <c r="A2586" s="871" t="s">
        <v>767</v>
      </c>
      <c r="B2586" s="817" t="str">
        <f t="shared" ca="1" si="506"/>
        <v>G38</v>
      </c>
      <c r="C2586" s="817" t="str">
        <f t="shared" ca="1" si="499"/>
        <v>G</v>
      </c>
      <c r="D2586" s="1705" t="s">
        <v>1357</v>
      </c>
      <c r="E2586" s="817" t="s">
        <v>1358</v>
      </c>
      <c r="F2586" s="1705"/>
      <c r="G2586" s="1705"/>
      <c r="H2586" s="1705"/>
      <c r="I2586" s="1307" t="str">
        <f t="shared" si="504"/>
        <v>Address</v>
      </c>
      <c r="J2586" s="1705" t="str">
        <f>IF(P2579="",Q$1&amp;M2586,"")</f>
        <v>F1529</v>
      </c>
      <c r="K2586" s="1705" t="str">
        <f t="shared" si="505"/>
        <v>Required Info to Submit</v>
      </c>
      <c r="L2586" s="850" t="s">
        <v>767</v>
      </c>
      <c r="M2586" s="1705">
        <v>1529</v>
      </c>
      <c r="N2586" s="1705"/>
    </row>
    <row r="2587" spans="1:17" s="1704" customFormat="1" x14ac:dyDescent="0.25">
      <c r="A2587" s="871" t="s">
        <v>768</v>
      </c>
      <c r="B2587" s="817" t="str">
        <f t="shared" ca="1" si="506"/>
        <v>H38</v>
      </c>
      <c r="C2587" s="817" t="str">
        <f t="shared" ca="1" si="499"/>
        <v>H</v>
      </c>
      <c r="D2587" s="1705" t="s">
        <v>1357</v>
      </c>
      <c r="E2587" s="817" t="s">
        <v>1358</v>
      </c>
      <c r="F2587" s="1705"/>
      <c r="G2587" s="1705"/>
      <c r="H2587" s="1705"/>
      <c r="I2587" s="1307" t="str">
        <f t="shared" si="504"/>
        <v>City</v>
      </c>
      <c r="J2587" s="1705" t="str">
        <f>IF(P2579="",Q$1&amp;M2587,"")</f>
        <v>F1530</v>
      </c>
      <c r="K2587" s="1705" t="str">
        <f t="shared" si="505"/>
        <v>Required Info to Submit</v>
      </c>
      <c r="L2587" s="850" t="s">
        <v>768</v>
      </c>
      <c r="M2587" s="1705">
        <v>1530</v>
      </c>
      <c r="N2587" s="1705"/>
    </row>
    <row r="2588" spans="1:17" s="1704" customFormat="1" x14ac:dyDescent="0.25">
      <c r="A2588" s="871" t="s">
        <v>769</v>
      </c>
      <c r="B2588" s="817" t="str">
        <f t="shared" ca="1" si="506"/>
        <v>I38</v>
      </c>
      <c r="C2588" s="817" t="str">
        <f t="shared" ca="1" si="499"/>
        <v>I</v>
      </c>
      <c r="D2588" s="1705" t="s">
        <v>1357</v>
      </c>
      <c r="E2588" s="817" t="s">
        <v>1358</v>
      </c>
      <c r="F2588" s="1705"/>
      <c r="G2588" s="1705"/>
      <c r="H2588" s="1705"/>
      <c r="I2588" s="1307" t="str">
        <f t="shared" si="504"/>
        <v>State</v>
      </c>
      <c r="J2588" s="1705" t="str">
        <f>IF(P2579="",Q$1&amp;M2588,"")</f>
        <v>F1531</v>
      </c>
      <c r="K2588" s="1705" t="str">
        <f t="shared" si="505"/>
        <v>Required Info to Submit</v>
      </c>
      <c r="L2588" s="850" t="s">
        <v>769</v>
      </c>
      <c r="M2588" s="1705">
        <v>1531</v>
      </c>
      <c r="N2588" s="1705"/>
    </row>
    <row r="2589" spans="1:17" s="1704" customFormat="1" x14ac:dyDescent="0.25">
      <c r="A2589" s="871" t="s">
        <v>204</v>
      </c>
      <c r="B2589" s="817" t="str">
        <f t="shared" ca="1" si="506"/>
        <v>J38</v>
      </c>
      <c r="C2589" s="817" t="str">
        <f t="shared" ref="C2589:C2633" ca="1" si="507">_xlfn.IFNA(SUBSTITUTE(ADDRESS(1,MATCH(A2589,INDIRECT("'"&amp;E2589&amp;"'"&amp;"!A22:Z22"),0),4),1,""),"")</f>
        <v>J</v>
      </c>
      <c r="D2589" s="1705" t="s">
        <v>1357</v>
      </c>
      <c r="E2589" s="817" t="s">
        <v>1358</v>
      </c>
      <c r="F2589" s="1705"/>
      <c r="G2589" s="1705"/>
      <c r="H2589" s="1705"/>
      <c r="I2589" s="1307" t="str">
        <f t="shared" si="504"/>
        <v>Zip Code</v>
      </c>
      <c r="J2589" s="1705" t="str">
        <f>IF(P2579="",Q$1&amp;M2589,"")</f>
        <v>F1532</v>
      </c>
      <c r="K2589" s="1705" t="str">
        <f t="shared" si="505"/>
        <v>Required Info to Submit</v>
      </c>
      <c r="L2589" s="850" t="s">
        <v>204</v>
      </c>
      <c r="M2589" s="1705">
        <v>1532</v>
      </c>
      <c r="N2589" s="1705"/>
    </row>
    <row r="2590" spans="1:17" s="1704" customFormat="1" x14ac:dyDescent="0.25">
      <c r="A2590" s="868" t="s">
        <v>1178</v>
      </c>
      <c r="B2590" s="817" t="str">
        <f ca="1">_xlfn.IFNA(_xlfn.CONCAT(SUBSTITUTE(ADDRESS(1,MATCH(A2590,INDIRECT("'"&amp;E2590&amp;"'"&amp;"!A22:Z22"),0),4),1,""),39),"")</f>
        <v>E39</v>
      </c>
      <c r="C2590" s="817" t="str">
        <f t="shared" ca="1" si="507"/>
        <v>E</v>
      </c>
      <c r="D2590" s="1705" t="s">
        <v>1357</v>
      </c>
      <c r="E2590" s="817" t="s">
        <v>1358</v>
      </c>
      <c r="F2590" s="1705"/>
      <c r="G2590" s="1705"/>
      <c r="H2590" s="1705"/>
      <c r="I2590" s="1307" t="str">
        <f t="shared" si="504"/>
        <v/>
      </c>
      <c r="J2590" s="1705"/>
      <c r="K2590" s="1705" t="str">
        <f t="shared" si="505"/>
        <v/>
      </c>
      <c r="L2590" s="850" t="s">
        <v>1178</v>
      </c>
      <c r="M2590" s="1705">
        <v>1533</v>
      </c>
      <c r="N2590" s="1705"/>
      <c r="P2590" s="1705" t="str">
        <f>IFERROR(VLOOKUP(Q$2590,'Existing Customers'!$A:$F,1,FALSE),"")</f>
        <v/>
      </c>
      <c r="Q2590" s="1705"/>
    </row>
    <row r="2591" spans="1:17" s="1704" customFormat="1" x14ac:dyDescent="0.25">
      <c r="A2591" s="869" t="s">
        <v>766</v>
      </c>
      <c r="B2591" s="817" t="str">
        <f t="shared" ref="B2591:B2599" ca="1" si="508">_xlfn.IFNA(_xlfn.CONCAT(SUBSTITUTE(ADDRESS(1,MATCH(A2591,INDIRECT("'"&amp;E2591&amp;"'"&amp;"!A22:Z22"),0),4),1,""),39),"")</f>
        <v>F39</v>
      </c>
      <c r="C2591" s="817" t="str">
        <f t="shared" ca="1" si="507"/>
        <v>F</v>
      </c>
      <c r="D2591" s="1705" t="s">
        <v>1357</v>
      </c>
      <c r="E2591" s="817" t="s">
        <v>1358</v>
      </c>
      <c r="F2591" s="1705"/>
      <c r="G2591" s="1705"/>
      <c r="H2591" s="1705"/>
      <c r="I2591" s="1307" t="str">
        <f t="shared" si="504"/>
        <v>Name</v>
      </c>
      <c r="J2591" s="1705" t="str">
        <f>IF(P2590="",Q$1&amp;M2591,"")</f>
        <v>F1535</v>
      </c>
      <c r="K2591" s="1705" t="str">
        <f t="shared" si="505"/>
        <v>Required Info to Submit</v>
      </c>
      <c r="L2591" s="850" t="s">
        <v>766</v>
      </c>
      <c r="M2591" s="1705">
        <v>1535</v>
      </c>
      <c r="N2591" s="1705"/>
    </row>
    <row r="2592" spans="1:17" s="1704" customFormat="1" x14ac:dyDescent="0.25">
      <c r="A2592" s="869" t="s">
        <v>765</v>
      </c>
      <c r="B2592" s="817" t="str">
        <f t="shared" ca="1" si="508"/>
        <v>K39</v>
      </c>
      <c r="C2592" s="817" t="str">
        <f t="shared" ca="1" si="507"/>
        <v>K</v>
      </c>
      <c r="D2592" s="1705" t="s">
        <v>1357</v>
      </c>
      <c r="E2592" s="817" t="s">
        <v>1358</v>
      </c>
      <c r="F2592" s="1705"/>
      <c r="G2592" s="1705"/>
      <c r="H2592" s="1705"/>
      <c r="I2592" s="1307" t="str">
        <f t="shared" si="504"/>
        <v/>
      </c>
      <c r="J2592" s="1705"/>
      <c r="K2592" s="1705" t="str">
        <f t="shared" si="505"/>
        <v/>
      </c>
      <c r="L2592" s="850" t="s">
        <v>765</v>
      </c>
      <c r="M2592" s="1705">
        <v>1545</v>
      </c>
      <c r="N2592" s="1705"/>
    </row>
    <row r="2593" spans="1:17" s="1704" customFormat="1" x14ac:dyDescent="0.25">
      <c r="A2593" s="869" t="s">
        <v>1179</v>
      </c>
      <c r="B2593" s="817" t="str">
        <f t="shared" ca="1" si="508"/>
        <v>L39</v>
      </c>
      <c r="C2593" s="817" t="str">
        <f t="shared" ca="1" si="507"/>
        <v>L</v>
      </c>
      <c r="D2593" s="1705" t="s">
        <v>1357</v>
      </c>
      <c r="E2593" s="817" t="s">
        <v>1358</v>
      </c>
      <c r="F2593" s="1705"/>
      <c r="G2593" s="1705"/>
      <c r="H2593" s="1705"/>
      <c r="I2593" s="1307" t="str">
        <f t="shared" si="504"/>
        <v/>
      </c>
      <c r="J2593" s="1705"/>
      <c r="K2593" s="1705" t="str">
        <f t="shared" si="505"/>
        <v/>
      </c>
      <c r="L2593" s="850" t="s">
        <v>1179</v>
      </c>
      <c r="M2593" s="1705">
        <v>1546</v>
      </c>
      <c r="N2593" s="1705"/>
    </row>
    <row r="2594" spans="1:17" s="1704" customFormat="1" x14ac:dyDescent="0.25">
      <c r="A2594" s="869" t="s">
        <v>1180</v>
      </c>
      <c r="B2594" s="817" t="str">
        <f t="shared" ca="1" si="508"/>
        <v>M39</v>
      </c>
      <c r="C2594" s="817" t="str">
        <f t="shared" ca="1" si="507"/>
        <v>M</v>
      </c>
      <c r="D2594" s="1705" t="s">
        <v>1357</v>
      </c>
      <c r="E2594" s="817" t="s">
        <v>1358</v>
      </c>
      <c r="F2594" s="1705"/>
      <c r="G2594" s="1705"/>
      <c r="H2594" s="1705"/>
      <c r="I2594" s="1307" t="str">
        <f t="shared" si="504"/>
        <v>Secondary or Internal Customer</v>
      </c>
      <c r="J2594" s="1705" t="str">
        <f>IF(M2594&lt;&gt;"",Q$1&amp;M2594,"")</f>
        <v>F1547</v>
      </c>
      <c r="K2594" s="1705" t="str">
        <f t="shared" si="505"/>
        <v>Required Info to Submit</v>
      </c>
      <c r="L2594" s="850" t="s">
        <v>1180</v>
      </c>
      <c r="M2594" s="1705">
        <v>1547</v>
      </c>
      <c r="N2594" s="1705"/>
    </row>
    <row r="2595" spans="1:17" s="1704" customFormat="1" x14ac:dyDescent="0.25">
      <c r="A2595" s="869" t="s">
        <v>1181</v>
      </c>
      <c r="B2595" s="817" t="str">
        <f t="shared" ca="1" si="508"/>
        <v>N39</v>
      </c>
      <c r="C2595" s="817" t="str">
        <f t="shared" ca="1" si="507"/>
        <v>N</v>
      </c>
      <c r="D2595" s="1705" t="s">
        <v>1357</v>
      </c>
      <c r="E2595" s="817" t="s">
        <v>1358</v>
      </c>
      <c r="F2595" s="1705"/>
      <c r="G2595" s="1705"/>
      <c r="H2595" s="1705"/>
      <c r="I2595" s="1307" t="str">
        <f t="shared" si="504"/>
        <v>Fuel Surcharge Applied</v>
      </c>
      <c r="J2595" s="1705" t="str">
        <f>IF(M2595&lt;&gt;"",Q$1&amp;M2595,"")</f>
        <v>F1548</v>
      </c>
      <c r="K2595" s="1705" t="str">
        <f t="shared" si="505"/>
        <v>Required Info to Submit</v>
      </c>
      <c r="L2595" s="850" t="s">
        <v>1367</v>
      </c>
      <c r="M2595" s="1705">
        <v>1548</v>
      </c>
      <c r="N2595" s="1705"/>
    </row>
    <row r="2596" spans="1:17" s="1704" customFormat="1" x14ac:dyDescent="0.25">
      <c r="A2596" s="869" t="s">
        <v>1297</v>
      </c>
      <c r="B2596" s="817" t="str">
        <f t="shared" ca="1" si="508"/>
        <v>O39</v>
      </c>
      <c r="C2596" s="817" t="str">
        <f t="shared" ca="1" si="507"/>
        <v>O</v>
      </c>
      <c r="D2596" s="1705" t="s">
        <v>1357</v>
      </c>
      <c r="E2596" s="817" t="s">
        <v>1358</v>
      </c>
      <c r="F2596" s="1705"/>
      <c r="G2596" s="1705"/>
      <c r="H2596" s="1705"/>
      <c r="I2596" s="1307" t="str">
        <f t="shared" si="504"/>
        <v>Minimum Delivery Charge Applied Flag</v>
      </c>
      <c r="J2596" s="1705" t="str">
        <f>IF(M2596&lt;&gt;"",Q$1&amp;M2596,"")</f>
        <v>F1549</v>
      </c>
      <c r="K2596" s="1705" t="str">
        <f t="shared" si="505"/>
        <v>Required Info to Submit</v>
      </c>
      <c r="L2596" s="850" t="s">
        <v>1297</v>
      </c>
      <c r="M2596" s="1705">
        <v>1549</v>
      </c>
      <c r="N2596" s="1705"/>
    </row>
    <row r="2597" spans="1:17" s="1704" customFormat="1" x14ac:dyDescent="0.25">
      <c r="A2597" s="869" t="s">
        <v>767</v>
      </c>
      <c r="B2597" s="817" t="str">
        <f t="shared" ca="1" si="508"/>
        <v>G39</v>
      </c>
      <c r="C2597" s="817" t="str">
        <f t="shared" ca="1" si="507"/>
        <v>G</v>
      </c>
      <c r="D2597" s="1705" t="s">
        <v>1357</v>
      </c>
      <c r="E2597" s="817" t="s">
        <v>1358</v>
      </c>
      <c r="F2597" s="1705"/>
      <c r="G2597" s="1705"/>
      <c r="H2597" s="1705"/>
      <c r="I2597" s="1307" t="str">
        <f t="shared" si="504"/>
        <v>Address</v>
      </c>
      <c r="J2597" s="1705" t="str">
        <f>IF(P2590="",Q$1&amp;M2597,"")</f>
        <v>F1550</v>
      </c>
      <c r="K2597" s="1705" t="str">
        <f t="shared" si="505"/>
        <v>Required Info to Submit</v>
      </c>
      <c r="L2597" s="850" t="s">
        <v>767</v>
      </c>
      <c r="M2597" s="1705">
        <v>1550</v>
      </c>
      <c r="N2597" s="1705"/>
    </row>
    <row r="2598" spans="1:17" s="1704" customFormat="1" x14ac:dyDescent="0.25">
      <c r="A2598" s="869" t="s">
        <v>768</v>
      </c>
      <c r="B2598" s="817" t="str">
        <f t="shared" ca="1" si="508"/>
        <v>H39</v>
      </c>
      <c r="C2598" s="817" t="str">
        <f t="shared" ca="1" si="507"/>
        <v>H</v>
      </c>
      <c r="D2598" s="1705" t="s">
        <v>1357</v>
      </c>
      <c r="E2598" s="817" t="s">
        <v>1358</v>
      </c>
      <c r="F2598" s="1705"/>
      <c r="G2598" s="1705"/>
      <c r="H2598" s="1705"/>
      <c r="I2598" s="1307" t="str">
        <f t="shared" si="504"/>
        <v>City</v>
      </c>
      <c r="J2598" s="1705" t="str">
        <f>IF(P2590="",Q$1&amp;M2598,"")</f>
        <v>F1551</v>
      </c>
      <c r="K2598" s="1705" t="str">
        <f t="shared" si="505"/>
        <v>Required Info to Submit</v>
      </c>
      <c r="L2598" s="850" t="s">
        <v>768</v>
      </c>
      <c r="M2598" s="1705">
        <v>1551</v>
      </c>
      <c r="N2598" s="1705"/>
    </row>
    <row r="2599" spans="1:17" s="1704" customFormat="1" x14ac:dyDescent="0.25">
      <c r="A2599" s="869" t="s">
        <v>769</v>
      </c>
      <c r="B2599" s="817" t="str">
        <f t="shared" ca="1" si="508"/>
        <v>I39</v>
      </c>
      <c r="C2599" s="817" t="str">
        <f t="shared" ca="1" si="507"/>
        <v>I</v>
      </c>
      <c r="D2599" s="1705" t="s">
        <v>1357</v>
      </c>
      <c r="E2599" s="817" t="s">
        <v>1358</v>
      </c>
      <c r="F2599" s="1705"/>
      <c r="G2599" s="1705"/>
      <c r="H2599" s="1705"/>
      <c r="I2599" s="1307" t="str">
        <f t="shared" si="504"/>
        <v>State</v>
      </c>
      <c r="J2599" s="1705" t="str">
        <f>IF(P2590="",Q$1&amp;M2599,"")</f>
        <v>F1552</v>
      </c>
      <c r="K2599" s="1705" t="str">
        <f t="shared" si="505"/>
        <v>Required Info to Submit</v>
      </c>
      <c r="L2599" s="850" t="s">
        <v>769</v>
      </c>
      <c r="M2599" s="1705">
        <v>1552</v>
      </c>
      <c r="N2599" s="1705"/>
    </row>
    <row r="2600" spans="1:17" s="1704" customFormat="1" x14ac:dyDescent="0.25">
      <c r="A2600" s="869" t="s">
        <v>204</v>
      </c>
      <c r="B2600" s="817" t="str">
        <f ca="1">_xlfn.IFNA(_xlfn.CONCAT(SUBSTITUTE(ADDRESS(1,MATCH(A2600,INDIRECT("'"&amp;E2600&amp;"'"&amp;"!A22:Z22"),0),4),1,""),39),"")</f>
        <v>J39</v>
      </c>
      <c r="C2600" s="817" t="str">
        <f t="shared" ca="1" si="507"/>
        <v>J</v>
      </c>
      <c r="D2600" s="1705" t="s">
        <v>1357</v>
      </c>
      <c r="E2600" s="817" t="s">
        <v>1358</v>
      </c>
      <c r="F2600" s="1705"/>
      <c r="G2600" s="1705"/>
      <c r="H2600" s="1705"/>
      <c r="I2600" s="1307" t="str">
        <f t="shared" si="504"/>
        <v>Zip Code</v>
      </c>
      <c r="J2600" s="1705" t="str">
        <f>IF(P2590="",Q$1&amp;M2600,"")</f>
        <v>F1553</v>
      </c>
      <c r="K2600" s="1705" t="str">
        <f t="shared" si="505"/>
        <v>Required Info to Submit</v>
      </c>
      <c r="L2600" s="850" t="s">
        <v>204</v>
      </c>
      <c r="M2600" s="1705">
        <v>1553</v>
      </c>
      <c r="N2600" s="1705"/>
    </row>
    <row r="2601" spans="1:17" s="1704" customFormat="1" x14ac:dyDescent="0.25">
      <c r="A2601" s="870" t="s">
        <v>1178</v>
      </c>
      <c r="B2601" s="817" t="str">
        <f ca="1">_xlfn.IFNA(_xlfn.CONCAT(SUBSTITUTE(ADDRESS(1,MATCH(A2601,INDIRECT("'"&amp;E2601&amp;"'"&amp;"!A22:Z22"),0),4),1,""),40),"")</f>
        <v>E40</v>
      </c>
      <c r="C2601" s="817" t="str">
        <f t="shared" ca="1" si="507"/>
        <v>E</v>
      </c>
      <c r="D2601" s="1705" t="s">
        <v>1357</v>
      </c>
      <c r="E2601" s="817" t="s">
        <v>1358</v>
      </c>
      <c r="F2601" s="1705"/>
      <c r="G2601" s="1705"/>
      <c r="H2601" s="1705"/>
      <c r="I2601" s="1307" t="str">
        <f t="shared" si="504"/>
        <v/>
      </c>
      <c r="J2601" s="1705"/>
      <c r="K2601" s="1705" t="str">
        <f t="shared" si="505"/>
        <v/>
      </c>
      <c r="L2601" s="850" t="s">
        <v>1178</v>
      </c>
      <c r="M2601" s="1705">
        <v>1554</v>
      </c>
      <c r="N2601" s="1705"/>
      <c r="P2601" s="1705" t="str">
        <f>IFERROR(VLOOKUP(Q$2601,'Existing Customers'!$A:$F,1,FALSE),"")</f>
        <v/>
      </c>
      <c r="Q2601" s="1705"/>
    </row>
    <row r="2602" spans="1:17" s="1704" customFormat="1" x14ac:dyDescent="0.25">
      <c r="A2602" s="871" t="s">
        <v>766</v>
      </c>
      <c r="B2602" s="817" t="str">
        <f t="shared" ref="B2602:B2611" ca="1" si="509">_xlfn.IFNA(_xlfn.CONCAT(SUBSTITUTE(ADDRESS(1,MATCH(A2602,INDIRECT("'"&amp;E2602&amp;"'"&amp;"!A22:Z22"),0),4),1,""),40),"")</f>
        <v>F40</v>
      </c>
      <c r="C2602" s="817" t="str">
        <f t="shared" ca="1" si="507"/>
        <v>F</v>
      </c>
      <c r="D2602" s="1705" t="s">
        <v>1357</v>
      </c>
      <c r="E2602" s="817" t="s">
        <v>1358</v>
      </c>
      <c r="F2602" s="1705"/>
      <c r="G2602" s="1705"/>
      <c r="H2602" s="1705"/>
      <c r="I2602" s="1307" t="str">
        <f t="shared" si="504"/>
        <v>Name</v>
      </c>
      <c r="J2602" s="1705" t="str">
        <f>IF(P2601="",Q$1&amp;M2602,"")</f>
        <v>F1556</v>
      </c>
      <c r="K2602" s="1705" t="str">
        <f t="shared" si="505"/>
        <v>Required Info to Submit</v>
      </c>
      <c r="L2602" s="850" t="s">
        <v>766</v>
      </c>
      <c r="M2602" s="1705">
        <v>1556</v>
      </c>
      <c r="N2602" s="1705"/>
    </row>
    <row r="2603" spans="1:17" s="1704" customFormat="1" x14ac:dyDescent="0.25">
      <c r="A2603" s="871" t="s">
        <v>765</v>
      </c>
      <c r="B2603" s="817" t="str">
        <f t="shared" ca="1" si="509"/>
        <v>K40</v>
      </c>
      <c r="C2603" s="817" t="str">
        <f t="shared" ca="1" si="507"/>
        <v>K</v>
      </c>
      <c r="D2603" s="1705" t="s">
        <v>1357</v>
      </c>
      <c r="E2603" s="817" t="s">
        <v>1358</v>
      </c>
      <c r="F2603" s="1705"/>
      <c r="G2603" s="1705"/>
      <c r="H2603" s="1705"/>
      <c r="I2603" s="1307" t="str">
        <f t="shared" si="504"/>
        <v/>
      </c>
      <c r="J2603" s="1705"/>
      <c r="K2603" s="1705" t="str">
        <f t="shared" si="505"/>
        <v/>
      </c>
      <c r="L2603" s="850" t="s">
        <v>765</v>
      </c>
      <c r="M2603" s="1705">
        <v>1566</v>
      </c>
      <c r="N2603" s="1705"/>
    </row>
    <row r="2604" spans="1:17" s="1704" customFormat="1" x14ac:dyDescent="0.25">
      <c r="A2604" s="871" t="s">
        <v>1179</v>
      </c>
      <c r="B2604" s="817" t="str">
        <f t="shared" ca="1" si="509"/>
        <v>L40</v>
      </c>
      <c r="C2604" s="817" t="str">
        <f t="shared" ca="1" si="507"/>
        <v>L</v>
      </c>
      <c r="D2604" s="1705" t="s">
        <v>1357</v>
      </c>
      <c r="E2604" s="817" t="s">
        <v>1358</v>
      </c>
      <c r="F2604" s="1705"/>
      <c r="G2604" s="1705"/>
      <c r="H2604" s="1705"/>
      <c r="I2604" s="1307" t="str">
        <f t="shared" si="504"/>
        <v/>
      </c>
      <c r="J2604" s="1705"/>
      <c r="K2604" s="1705" t="str">
        <f t="shared" si="505"/>
        <v/>
      </c>
      <c r="L2604" s="850" t="s">
        <v>1179</v>
      </c>
      <c r="M2604" s="1705">
        <v>1567</v>
      </c>
      <c r="N2604" s="1705"/>
    </row>
    <row r="2605" spans="1:17" s="1704" customFormat="1" x14ac:dyDescent="0.25">
      <c r="A2605" s="871" t="s">
        <v>1180</v>
      </c>
      <c r="B2605" s="817" t="str">
        <f t="shared" ca="1" si="509"/>
        <v>M40</v>
      </c>
      <c r="C2605" s="817" t="str">
        <f t="shared" ca="1" si="507"/>
        <v>M</v>
      </c>
      <c r="D2605" s="1705" t="s">
        <v>1357</v>
      </c>
      <c r="E2605" s="817" t="s">
        <v>1358</v>
      </c>
      <c r="F2605" s="1705"/>
      <c r="G2605" s="1705"/>
      <c r="H2605" s="1705"/>
      <c r="I2605" s="1307" t="str">
        <f t="shared" si="504"/>
        <v>Secondary or Internal Customer</v>
      </c>
      <c r="J2605" s="1705" t="str">
        <f>IF(M2605&lt;&gt;"",Q$1&amp;M2605,"")</f>
        <v>F1568</v>
      </c>
      <c r="K2605" s="1705" t="str">
        <f t="shared" si="505"/>
        <v>Required Info to Submit</v>
      </c>
      <c r="L2605" s="850" t="s">
        <v>1180</v>
      </c>
      <c r="M2605" s="1705">
        <v>1568</v>
      </c>
      <c r="N2605" s="1705"/>
    </row>
    <row r="2606" spans="1:17" s="1704" customFormat="1" x14ac:dyDescent="0.25">
      <c r="A2606" s="871" t="s">
        <v>1181</v>
      </c>
      <c r="B2606" s="817" t="str">
        <f t="shared" ca="1" si="509"/>
        <v>N40</v>
      </c>
      <c r="C2606" s="817" t="str">
        <f t="shared" ca="1" si="507"/>
        <v>N</v>
      </c>
      <c r="D2606" s="1705" t="s">
        <v>1357</v>
      </c>
      <c r="E2606" s="817" t="s">
        <v>1358</v>
      </c>
      <c r="F2606" s="1705"/>
      <c r="G2606" s="1705"/>
      <c r="H2606" s="1705"/>
      <c r="I2606" s="1307" t="str">
        <f t="shared" si="504"/>
        <v>Fuel Surcharge Applied</v>
      </c>
      <c r="J2606" s="1705" t="str">
        <f>IF(M2606&lt;&gt;"",Q$1&amp;M2606,"")</f>
        <v>F1569</v>
      </c>
      <c r="K2606" s="1705" t="str">
        <f t="shared" si="505"/>
        <v>Required Info to Submit</v>
      </c>
      <c r="L2606" s="850" t="s">
        <v>1367</v>
      </c>
      <c r="M2606" s="1705">
        <v>1569</v>
      </c>
      <c r="N2606" s="1705"/>
    </row>
    <row r="2607" spans="1:17" s="1704" customFormat="1" x14ac:dyDescent="0.25">
      <c r="A2607" s="871" t="s">
        <v>1297</v>
      </c>
      <c r="B2607" s="817" t="str">
        <f t="shared" ca="1" si="509"/>
        <v>O40</v>
      </c>
      <c r="C2607" s="817" t="str">
        <f t="shared" ca="1" si="507"/>
        <v>O</v>
      </c>
      <c r="D2607" s="1705" t="s">
        <v>1357</v>
      </c>
      <c r="E2607" s="817" t="s">
        <v>1358</v>
      </c>
      <c r="F2607" s="1705"/>
      <c r="G2607" s="1705"/>
      <c r="H2607" s="1705"/>
      <c r="I2607" s="1307" t="str">
        <f t="shared" si="504"/>
        <v>Minimum Delivery Charge Applied Flag</v>
      </c>
      <c r="J2607" s="1705" t="str">
        <f>IF(M2607&lt;&gt;"",Q$1&amp;M2607,"")</f>
        <v>F1570</v>
      </c>
      <c r="K2607" s="1705" t="str">
        <f t="shared" si="505"/>
        <v>Required Info to Submit</v>
      </c>
      <c r="L2607" s="850" t="s">
        <v>1297</v>
      </c>
      <c r="M2607" s="1705">
        <v>1570</v>
      </c>
      <c r="N2607" s="1705"/>
    </row>
    <row r="2608" spans="1:17" s="1704" customFormat="1" x14ac:dyDescent="0.25">
      <c r="A2608" s="871" t="s">
        <v>767</v>
      </c>
      <c r="B2608" s="817" t="str">
        <f t="shared" ca="1" si="509"/>
        <v>G40</v>
      </c>
      <c r="C2608" s="817" t="str">
        <f t="shared" ca="1" si="507"/>
        <v>G</v>
      </c>
      <c r="D2608" s="1705" t="s">
        <v>1357</v>
      </c>
      <c r="E2608" s="817" t="s">
        <v>1358</v>
      </c>
      <c r="F2608" s="1705"/>
      <c r="G2608" s="1705"/>
      <c r="H2608" s="1705"/>
      <c r="I2608" s="1307" t="str">
        <f t="shared" si="504"/>
        <v>Address</v>
      </c>
      <c r="J2608" s="1705" t="str">
        <f>IF(P2601="",Q$1&amp;M2608,"")</f>
        <v>F1571</v>
      </c>
      <c r="K2608" s="1705" t="str">
        <f t="shared" si="505"/>
        <v>Required Info to Submit</v>
      </c>
      <c r="L2608" s="850" t="s">
        <v>767</v>
      </c>
      <c r="M2608" s="1705">
        <v>1571</v>
      </c>
      <c r="N2608" s="1705"/>
    </row>
    <row r="2609" spans="1:17" s="1704" customFormat="1" x14ac:dyDescent="0.25">
      <c r="A2609" s="871" t="s">
        <v>768</v>
      </c>
      <c r="B2609" s="817" t="str">
        <f t="shared" ca="1" si="509"/>
        <v>H40</v>
      </c>
      <c r="C2609" s="817" t="str">
        <f t="shared" ca="1" si="507"/>
        <v>H</v>
      </c>
      <c r="D2609" s="1705" t="s">
        <v>1357</v>
      </c>
      <c r="E2609" s="817" t="s">
        <v>1358</v>
      </c>
      <c r="F2609" s="1705"/>
      <c r="G2609" s="1705"/>
      <c r="H2609" s="1705"/>
      <c r="I2609" s="1307" t="str">
        <f t="shared" si="504"/>
        <v>City</v>
      </c>
      <c r="J2609" s="1705" t="str">
        <f>IF(P2601="",Q$1&amp;M2609,"")</f>
        <v>F1572</v>
      </c>
      <c r="K2609" s="1705" t="str">
        <f t="shared" si="505"/>
        <v>Required Info to Submit</v>
      </c>
      <c r="L2609" s="850" t="s">
        <v>768</v>
      </c>
      <c r="M2609" s="1705">
        <v>1572</v>
      </c>
      <c r="N2609" s="1705"/>
    </row>
    <row r="2610" spans="1:17" s="1704" customFormat="1" x14ac:dyDescent="0.25">
      <c r="A2610" s="871" t="s">
        <v>769</v>
      </c>
      <c r="B2610" s="817" t="str">
        <f t="shared" ca="1" si="509"/>
        <v>I40</v>
      </c>
      <c r="C2610" s="817" t="str">
        <f t="shared" ca="1" si="507"/>
        <v>I</v>
      </c>
      <c r="D2610" s="1705" t="s">
        <v>1357</v>
      </c>
      <c r="E2610" s="817" t="s">
        <v>1358</v>
      </c>
      <c r="F2610" s="1705"/>
      <c r="G2610" s="1705"/>
      <c r="H2610" s="1705"/>
      <c r="I2610" s="1307" t="str">
        <f t="shared" si="504"/>
        <v>State</v>
      </c>
      <c r="J2610" s="1705" t="str">
        <f>IF(P2601="",Q$1&amp;M2610,"")</f>
        <v>F1573</v>
      </c>
      <c r="K2610" s="1705" t="str">
        <f t="shared" si="505"/>
        <v>Required Info to Submit</v>
      </c>
      <c r="L2610" s="850" t="s">
        <v>769</v>
      </c>
      <c r="M2610" s="1705">
        <v>1573</v>
      </c>
      <c r="N2610" s="1705"/>
    </row>
    <row r="2611" spans="1:17" s="1704" customFormat="1" x14ac:dyDescent="0.25">
      <c r="A2611" s="871" t="s">
        <v>204</v>
      </c>
      <c r="B2611" s="817" t="str">
        <f t="shared" ca="1" si="509"/>
        <v>J40</v>
      </c>
      <c r="C2611" s="817" t="str">
        <f t="shared" ca="1" si="507"/>
        <v>J</v>
      </c>
      <c r="D2611" s="1705" t="s">
        <v>1357</v>
      </c>
      <c r="E2611" s="817" t="s">
        <v>1358</v>
      </c>
      <c r="F2611" s="1705"/>
      <c r="G2611" s="1705"/>
      <c r="H2611" s="1705"/>
      <c r="I2611" s="1307" t="str">
        <f t="shared" si="504"/>
        <v>Zip Code</v>
      </c>
      <c r="J2611" s="1705" t="str">
        <f>IF(P2601="",Q$1&amp;M2611,"")</f>
        <v>F1574</v>
      </c>
      <c r="K2611" s="1705" t="str">
        <f t="shared" si="505"/>
        <v>Required Info to Submit</v>
      </c>
      <c r="L2611" s="850" t="s">
        <v>204</v>
      </c>
      <c r="M2611" s="1705">
        <v>1574</v>
      </c>
      <c r="N2611" s="1705"/>
    </row>
    <row r="2612" spans="1:17" s="1704" customFormat="1" x14ac:dyDescent="0.25">
      <c r="A2612" s="868" t="s">
        <v>1178</v>
      </c>
      <c r="B2612" s="817" t="str">
        <f ca="1">_xlfn.IFNA(_xlfn.CONCAT(SUBSTITUTE(ADDRESS(1,MATCH(A2612,INDIRECT("'"&amp;E2612&amp;"'"&amp;"!A22:Z22"),0),4),1,""),41),"")</f>
        <v>E41</v>
      </c>
      <c r="C2612" s="817" t="str">
        <f t="shared" ca="1" si="507"/>
        <v>E</v>
      </c>
      <c r="D2612" s="1705" t="s">
        <v>1357</v>
      </c>
      <c r="E2612" s="817" t="s">
        <v>1358</v>
      </c>
      <c r="F2612" s="1705"/>
      <c r="G2612" s="1705"/>
      <c r="H2612" s="1705"/>
      <c r="I2612" s="1307" t="str">
        <f t="shared" si="504"/>
        <v/>
      </c>
      <c r="J2612" s="1705"/>
      <c r="K2612" s="1705" t="str">
        <f t="shared" si="505"/>
        <v/>
      </c>
      <c r="L2612" s="850" t="s">
        <v>1178</v>
      </c>
      <c r="M2612" s="1705">
        <v>1575</v>
      </c>
      <c r="N2612" s="1705"/>
      <c r="P2612" s="1705" t="str">
        <f>IFERROR(VLOOKUP(Q$2612,'Existing Customers'!$A:$F,1,FALSE),"")</f>
        <v/>
      </c>
      <c r="Q2612" s="1705"/>
    </row>
    <row r="2613" spans="1:17" s="1704" customFormat="1" x14ac:dyDescent="0.25">
      <c r="A2613" s="869" t="s">
        <v>766</v>
      </c>
      <c r="B2613" s="817" t="str">
        <f t="shared" ref="B2613:B2622" ca="1" si="510">_xlfn.IFNA(_xlfn.CONCAT(SUBSTITUTE(ADDRESS(1,MATCH(A2613,INDIRECT("'"&amp;E2613&amp;"'"&amp;"!A22:Z22"),0),4),1,""),41),"")</f>
        <v>F41</v>
      </c>
      <c r="C2613" s="817" t="str">
        <f t="shared" ca="1" si="507"/>
        <v>F</v>
      </c>
      <c r="D2613" s="1705" t="s">
        <v>1357</v>
      </c>
      <c r="E2613" s="817" t="s">
        <v>1358</v>
      </c>
      <c r="F2613" s="1705"/>
      <c r="G2613" s="1705"/>
      <c r="H2613" s="1705"/>
      <c r="I2613" s="1307" t="str">
        <f t="shared" si="504"/>
        <v>Name</v>
      </c>
      <c r="J2613" s="1705" t="str">
        <f>IF(P2612="",Q$1&amp;M2613,"")</f>
        <v>F1577</v>
      </c>
      <c r="K2613" s="1705" t="str">
        <f t="shared" si="505"/>
        <v>Required Info to Submit</v>
      </c>
      <c r="L2613" s="850" t="s">
        <v>766</v>
      </c>
      <c r="M2613" s="1705">
        <v>1577</v>
      </c>
      <c r="N2613" s="1705"/>
    </row>
    <row r="2614" spans="1:17" s="1704" customFormat="1" x14ac:dyDescent="0.25">
      <c r="A2614" s="869" t="s">
        <v>765</v>
      </c>
      <c r="B2614" s="817" t="str">
        <f t="shared" ca="1" si="510"/>
        <v>K41</v>
      </c>
      <c r="C2614" s="817" t="str">
        <f t="shared" ca="1" si="507"/>
        <v>K</v>
      </c>
      <c r="D2614" s="1705" t="s">
        <v>1357</v>
      </c>
      <c r="E2614" s="817" t="s">
        <v>1358</v>
      </c>
      <c r="F2614" s="1705"/>
      <c r="G2614" s="1705"/>
      <c r="H2614" s="1705"/>
      <c r="I2614" s="1307" t="str">
        <f t="shared" si="504"/>
        <v/>
      </c>
      <c r="J2614" s="1705"/>
      <c r="K2614" s="1705" t="str">
        <f t="shared" si="505"/>
        <v/>
      </c>
      <c r="L2614" s="850" t="s">
        <v>765</v>
      </c>
      <c r="M2614" s="1705">
        <v>1587</v>
      </c>
      <c r="N2614" s="1705"/>
    </row>
    <row r="2615" spans="1:17" s="1704" customFormat="1" x14ac:dyDescent="0.25">
      <c r="A2615" s="869" t="s">
        <v>1179</v>
      </c>
      <c r="B2615" s="817" t="str">
        <f t="shared" ca="1" si="510"/>
        <v>L41</v>
      </c>
      <c r="C2615" s="817" t="str">
        <f t="shared" ca="1" si="507"/>
        <v>L</v>
      </c>
      <c r="D2615" s="1705" t="s">
        <v>1357</v>
      </c>
      <c r="E2615" s="817" t="s">
        <v>1358</v>
      </c>
      <c r="F2615" s="1705"/>
      <c r="G2615" s="1705"/>
      <c r="H2615" s="1705"/>
      <c r="I2615" s="1307" t="str">
        <f t="shared" si="504"/>
        <v/>
      </c>
      <c r="J2615" s="1705"/>
      <c r="K2615" s="1705" t="str">
        <f t="shared" si="505"/>
        <v/>
      </c>
      <c r="L2615" s="850" t="s">
        <v>1179</v>
      </c>
      <c r="M2615" s="1705">
        <v>1588</v>
      </c>
      <c r="N2615" s="1705"/>
    </row>
    <row r="2616" spans="1:17" s="1704" customFormat="1" x14ac:dyDescent="0.25">
      <c r="A2616" s="869" t="s">
        <v>1180</v>
      </c>
      <c r="B2616" s="817" t="str">
        <f t="shared" ca="1" si="510"/>
        <v>M41</v>
      </c>
      <c r="C2616" s="817" t="str">
        <f t="shared" ca="1" si="507"/>
        <v>M</v>
      </c>
      <c r="D2616" s="1705" t="s">
        <v>1357</v>
      </c>
      <c r="E2616" s="817" t="s">
        <v>1358</v>
      </c>
      <c r="F2616" s="1705"/>
      <c r="G2616" s="1705"/>
      <c r="H2616" s="1705"/>
      <c r="I2616" s="1307" t="str">
        <f t="shared" si="504"/>
        <v>Secondary or Internal Customer</v>
      </c>
      <c r="J2616" s="1705" t="str">
        <f>IF(M2616&lt;&gt;"",Q$1&amp;M2616,"")</f>
        <v>F1589</v>
      </c>
      <c r="K2616" s="1705" t="str">
        <f t="shared" si="505"/>
        <v>Required Info to Submit</v>
      </c>
      <c r="L2616" s="850" t="s">
        <v>1180</v>
      </c>
      <c r="M2616" s="1705">
        <v>1589</v>
      </c>
      <c r="N2616" s="1705"/>
    </row>
    <row r="2617" spans="1:17" s="1704" customFormat="1" x14ac:dyDescent="0.25">
      <c r="A2617" s="869" t="s">
        <v>1181</v>
      </c>
      <c r="B2617" s="817" t="str">
        <f t="shared" ca="1" si="510"/>
        <v>N41</v>
      </c>
      <c r="C2617" s="817" t="str">
        <f t="shared" ca="1" si="507"/>
        <v>N</v>
      </c>
      <c r="D2617" s="1705" t="s">
        <v>1357</v>
      </c>
      <c r="E2617" s="817" t="s">
        <v>1358</v>
      </c>
      <c r="F2617" s="1705"/>
      <c r="G2617" s="1705"/>
      <c r="H2617" s="1705"/>
      <c r="I2617" s="1307" t="str">
        <f t="shared" si="504"/>
        <v>Fuel Surcharge Applied</v>
      </c>
      <c r="J2617" s="1705" t="str">
        <f>IF(M2617&lt;&gt;"",Q$1&amp;M2617,"")</f>
        <v>F1590</v>
      </c>
      <c r="K2617" s="1705" t="str">
        <f t="shared" si="505"/>
        <v>Required Info to Submit</v>
      </c>
      <c r="L2617" s="850" t="s">
        <v>1367</v>
      </c>
      <c r="M2617" s="1705">
        <v>1590</v>
      </c>
      <c r="N2617" s="1705"/>
    </row>
    <row r="2618" spans="1:17" s="1704" customFormat="1" x14ac:dyDescent="0.25">
      <c r="A2618" s="869" t="s">
        <v>1297</v>
      </c>
      <c r="B2618" s="817" t="str">
        <f t="shared" ca="1" si="510"/>
        <v>O41</v>
      </c>
      <c r="C2618" s="817" t="str">
        <f t="shared" ca="1" si="507"/>
        <v>O</v>
      </c>
      <c r="D2618" s="1705" t="s">
        <v>1357</v>
      </c>
      <c r="E2618" s="817" t="s">
        <v>1358</v>
      </c>
      <c r="F2618" s="1705"/>
      <c r="G2618" s="1705"/>
      <c r="H2618" s="1705"/>
      <c r="I2618" s="1307" t="str">
        <f t="shared" si="504"/>
        <v>Minimum Delivery Charge Applied Flag</v>
      </c>
      <c r="J2618" s="1705" t="str">
        <f>IF(M2618&lt;&gt;"",Q$1&amp;M2618,"")</f>
        <v>F1591</v>
      </c>
      <c r="K2618" s="1705" t="str">
        <f t="shared" si="505"/>
        <v>Required Info to Submit</v>
      </c>
      <c r="L2618" s="850" t="s">
        <v>1297</v>
      </c>
      <c r="M2618" s="1705">
        <v>1591</v>
      </c>
      <c r="N2618" s="1705"/>
    </row>
    <row r="2619" spans="1:17" s="1704" customFormat="1" x14ac:dyDescent="0.25">
      <c r="A2619" s="869" t="s">
        <v>767</v>
      </c>
      <c r="B2619" s="817" t="str">
        <f t="shared" ca="1" si="510"/>
        <v>G41</v>
      </c>
      <c r="C2619" s="817" t="str">
        <f t="shared" ca="1" si="507"/>
        <v>G</v>
      </c>
      <c r="D2619" s="1705" t="s">
        <v>1357</v>
      </c>
      <c r="E2619" s="817" t="s">
        <v>1358</v>
      </c>
      <c r="F2619" s="1705"/>
      <c r="G2619" s="1705"/>
      <c r="H2619" s="1705"/>
      <c r="I2619" s="1307" t="str">
        <f t="shared" si="504"/>
        <v>Address</v>
      </c>
      <c r="J2619" s="1705" t="str">
        <f>IF(P2612="",Q$1&amp;M2619,"")</f>
        <v>F1592</v>
      </c>
      <c r="K2619" s="1705" t="str">
        <f t="shared" si="505"/>
        <v>Required Info to Submit</v>
      </c>
      <c r="L2619" s="850" t="s">
        <v>767</v>
      </c>
      <c r="M2619" s="1705">
        <v>1592</v>
      </c>
      <c r="N2619" s="1705"/>
    </row>
    <row r="2620" spans="1:17" s="1704" customFormat="1" x14ac:dyDescent="0.25">
      <c r="A2620" s="869" t="s">
        <v>768</v>
      </c>
      <c r="B2620" s="817" t="str">
        <f t="shared" ca="1" si="510"/>
        <v>H41</v>
      </c>
      <c r="C2620" s="817" t="str">
        <f t="shared" ca="1" si="507"/>
        <v>H</v>
      </c>
      <c r="D2620" s="1705" t="s">
        <v>1357</v>
      </c>
      <c r="E2620" s="817" t="s">
        <v>1358</v>
      </c>
      <c r="F2620" s="1705"/>
      <c r="G2620" s="1705"/>
      <c r="H2620" s="1705"/>
      <c r="I2620" s="1307" t="str">
        <f t="shared" si="504"/>
        <v>City</v>
      </c>
      <c r="J2620" s="1705" t="str">
        <f>IF(P2612="",Q$1&amp;M2620,"")</f>
        <v>F1593</v>
      </c>
      <c r="K2620" s="1705" t="str">
        <f t="shared" si="505"/>
        <v>Required Info to Submit</v>
      </c>
      <c r="L2620" s="850" t="s">
        <v>768</v>
      </c>
      <c r="M2620" s="1705">
        <v>1593</v>
      </c>
      <c r="N2620" s="1705"/>
    </row>
    <row r="2621" spans="1:17" s="1704" customFormat="1" x14ac:dyDescent="0.25">
      <c r="A2621" s="869" t="s">
        <v>769</v>
      </c>
      <c r="B2621" s="817" t="str">
        <f t="shared" ca="1" si="510"/>
        <v>I41</v>
      </c>
      <c r="C2621" s="817" t="str">
        <f t="shared" ca="1" si="507"/>
        <v>I</v>
      </c>
      <c r="D2621" s="1705" t="s">
        <v>1357</v>
      </c>
      <c r="E2621" s="817" t="s">
        <v>1358</v>
      </c>
      <c r="F2621" s="1705"/>
      <c r="G2621" s="1705"/>
      <c r="H2621" s="1705"/>
      <c r="I2621" s="1307" t="str">
        <f t="shared" si="504"/>
        <v>State</v>
      </c>
      <c r="J2621" s="1705" t="str">
        <f>IF(P2612="",Q$1&amp;M2621,"")</f>
        <v>F1594</v>
      </c>
      <c r="K2621" s="1705" t="str">
        <f t="shared" si="505"/>
        <v>Required Info to Submit</v>
      </c>
      <c r="L2621" s="850" t="s">
        <v>769</v>
      </c>
      <c r="M2621" s="1705">
        <v>1594</v>
      </c>
      <c r="N2621" s="1705"/>
    </row>
    <row r="2622" spans="1:17" s="1704" customFormat="1" x14ac:dyDescent="0.25">
      <c r="A2622" s="869" t="s">
        <v>204</v>
      </c>
      <c r="B2622" s="817" t="str">
        <f t="shared" ca="1" si="510"/>
        <v>J41</v>
      </c>
      <c r="C2622" s="817" t="str">
        <f t="shared" ca="1" si="507"/>
        <v>J</v>
      </c>
      <c r="D2622" s="1705" t="s">
        <v>1357</v>
      </c>
      <c r="E2622" s="817" t="s">
        <v>1358</v>
      </c>
      <c r="F2622" s="1705"/>
      <c r="G2622" s="1705"/>
      <c r="H2622" s="1705"/>
      <c r="I2622" s="1307" t="str">
        <f t="shared" si="504"/>
        <v>Zip Code</v>
      </c>
      <c r="J2622" s="1705" t="str">
        <f>IF(P2612="",Q$1&amp;M2622,"")</f>
        <v>F1595</v>
      </c>
      <c r="K2622" s="1705" t="str">
        <f t="shared" si="505"/>
        <v>Required Info to Submit</v>
      </c>
      <c r="L2622" s="850" t="s">
        <v>204</v>
      </c>
      <c r="M2622" s="1705">
        <v>1595</v>
      </c>
      <c r="N2622" s="1705"/>
    </row>
    <row r="2623" spans="1:17" s="1704" customFormat="1" x14ac:dyDescent="0.25">
      <c r="A2623" s="870" t="s">
        <v>1178</v>
      </c>
      <c r="B2623" s="817" t="str">
        <f ca="1">_xlfn.IFNA(_xlfn.CONCAT(SUBSTITUTE(ADDRESS(1,MATCH(A2623,INDIRECT("'"&amp;E2623&amp;"'"&amp;"!A22:Z22"),0),4),1,""),42),"")</f>
        <v>E42</v>
      </c>
      <c r="C2623" s="817" t="str">
        <f t="shared" ca="1" si="507"/>
        <v>E</v>
      </c>
      <c r="D2623" s="1705" t="s">
        <v>1357</v>
      </c>
      <c r="E2623" s="817" t="s">
        <v>1358</v>
      </c>
      <c r="F2623" s="1705"/>
      <c r="G2623" s="1705"/>
      <c r="H2623" s="1705"/>
      <c r="I2623" s="1307" t="str">
        <f t="shared" si="504"/>
        <v/>
      </c>
      <c r="J2623" s="1705"/>
      <c r="K2623" s="1705" t="str">
        <f t="shared" si="505"/>
        <v/>
      </c>
      <c r="L2623" s="850" t="s">
        <v>1178</v>
      </c>
      <c r="M2623" s="1705">
        <v>1596</v>
      </c>
      <c r="N2623" s="1705"/>
      <c r="P2623" s="1705" t="str">
        <f>IFERROR(VLOOKUP(Q$2623,'Existing Customers'!$A:$F,1,FALSE),"")</f>
        <v/>
      </c>
      <c r="Q2623" s="1705"/>
    </row>
    <row r="2624" spans="1:17" s="1704" customFormat="1" x14ac:dyDescent="0.25">
      <c r="A2624" s="871" t="s">
        <v>766</v>
      </c>
      <c r="B2624" s="817" t="str">
        <f t="shared" ref="B2624:B2633" ca="1" si="511">_xlfn.IFNA(_xlfn.CONCAT(SUBSTITUTE(ADDRESS(1,MATCH(A2624,INDIRECT("'"&amp;E2624&amp;"'"&amp;"!A22:Z22"),0),4),1,""),42),"")</f>
        <v>F42</v>
      </c>
      <c r="C2624" s="817" t="str">
        <f t="shared" ca="1" si="507"/>
        <v>F</v>
      </c>
      <c r="D2624" s="1705" t="s">
        <v>1357</v>
      </c>
      <c r="E2624" s="817" t="s">
        <v>1358</v>
      </c>
      <c r="F2624" s="1705"/>
      <c r="G2624" s="1705"/>
      <c r="H2624" s="1705"/>
      <c r="I2624" s="1307" t="str">
        <f t="shared" si="504"/>
        <v>Name</v>
      </c>
      <c r="J2624" s="1705" t="str">
        <f>IF(P2623="",Q$1&amp;M2624,"")</f>
        <v>F1598</v>
      </c>
      <c r="K2624" s="1705" t="str">
        <f t="shared" si="505"/>
        <v>Required Info to Submit</v>
      </c>
      <c r="L2624" s="850" t="s">
        <v>766</v>
      </c>
      <c r="M2624" s="1705">
        <v>1598</v>
      </c>
      <c r="N2624" s="1705"/>
    </row>
    <row r="2625" spans="1:20" s="1704" customFormat="1" x14ac:dyDescent="0.25">
      <c r="A2625" s="871" t="s">
        <v>765</v>
      </c>
      <c r="B2625" s="817" t="str">
        <f t="shared" ca="1" si="511"/>
        <v>K42</v>
      </c>
      <c r="C2625" s="817" t="str">
        <f t="shared" ca="1" si="507"/>
        <v>K</v>
      </c>
      <c r="D2625" s="1705" t="s">
        <v>1357</v>
      </c>
      <c r="E2625" s="817" t="s">
        <v>1358</v>
      </c>
      <c r="F2625" s="1705"/>
      <c r="G2625" s="1705"/>
      <c r="H2625" s="1705"/>
      <c r="I2625" s="1307" t="str">
        <f t="shared" si="504"/>
        <v/>
      </c>
      <c r="J2625" s="1705"/>
      <c r="K2625" s="1705" t="str">
        <f t="shared" si="505"/>
        <v/>
      </c>
      <c r="L2625" s="850" t="s">
        <v>765</v>
      </c>
      <c r="M2625" s="1705">
        <v>1608</v>
      </c>
      <c r="N2625" s="1705"/>
    </row>
    <row r="2626" spans="1:20" s="1704" customFormat="1" x14ac:dyDescent="0.25">
      <c r="A2626" s="871" t="s">
        <v>1179</v>
      </c>
      <c r="B2626" s="817" t="str">
        <f t="shared" ca="1" si="511"/>
        <v>L42</v>
      </c>
      <c r="C2626" s="817" t="str">
        <f t="shared" ca="1" si="507"/>
        <v>L</v>
      </c>
      <c r="D2626" s="1705" t="s">
        <v>1357</v>
      </c>
      <c r="E2626" s="817" t="s">
        <v>1358</v>
      </c>
      <c r="F2626" s="1705"/>
      <c r="G2626" s="1705"/>
      <c r="H2626" s="1705"/>
      <c r="I2626" s="1307" t="str">
        <f t="shared" si="504"/>
        <v/>
      </c>
      <c r="J2626" s="1705"/>
      <c r="K2626" s="1705" t="str">
        <f t="shared" si="505"/>
        <v/>
      </c>
      <c r="L2626" s="850" t="s">
        <v>1179</v>
      </c>
      <c r="M2626" s="1705">
        <v>1609</v>
      </c>
      <c r="N2626" s="1705"/>
    </row>
    <row r="2627" spans="1:20" s="1704" customFormat="1" x14ac:dyDescent="0.25">
      <c r="A2627" s="871" t="s">
        <v>1180</v>
      </c>
      <c r="B2627" s="817" t="str">
        <f t="shared" ca="1" si="511"/>
        <v>M42</v>
      </c>
      <c r="C2627" s="817" t="str">
        <f t="shared" ca="1" si="507"/>
        <v>M</v>
      </c>
      <c r="D2627" s="1705" t="s">
        <v>1357</v>
      </c>
      <c r="E2627" s="817" t="s">
        <v>1358</v>
      </c>
      <c r="F2627" s="1705"/>
      <c r="G2627" s="1705"/>
      <c r="H2627" s="1705"/>
      <c r="I2627" s="1307" t="str">
        <f t="shared" si="504"/>
        <v>Secondary or Internal Customer</v>
      </c>
      <c r="J2627" s="1705" t="str">
        <f>IF(M2627&lt;&gt;"",Q$1&amp;M2627,"")</f>
        <v>F1610</v>
      </c>
      <c r="K2627" s="1705" t="str">
        <f t="shared" si="505"/>
        <v>Required Info to Submit</v>
      </c>
      <c r="L2627" s="850" t="s">
        <v>1180</v>
      </c>
      <c r="M2627" s="1705">
        <v>1610</v>
      </c>
      <c r="N2627" s="1705"/>
    </row>
    <row r="2628" spans="1:20" s="1704" customFormat="1" x14ac:dyDescent="0.25">
      <c r="A2628" s="871" t="s">
        <v>1181</v>
      </c>
      <c r="B2628" s="817" t="str">
        <f t="shared" ca="1" si="511"/>
        <v>N42</v>
      </c>
      <c r="C2628" s="817" t="str">
        <f t="shared" ca="1" si="507"/>
        <v>N</v>
      </c>
      <c r="D2628" s="1705" t="s">
        <v>1357</v>
      </c>
      <c r="E2628" s="817" t="s">
        <v>1358</v>
      </c>
      <c r="F2628" s="1705"/>
      <c r="G2628" s="1705"/>
      <c r="H2628" s="1705"/>
      <c r="I2628" s="1307" t="str">
        <f t="shared" si="504"/>
        <v>Fuel Surcharge Applied</v>
      </c>
      <c r="J2628" s="1705" t="str">
        <f>IF(M2628&lt;&gt;"",Q$1&amp;M2628,"")</f>
        <v>F1611</v>
      </c>
      <c r="K2628" s="1705" t="str">
        <f t="shared" si="505"/>
        <v>Required Info to Submit</v>
      </c>
      <c r="L2628" s="850" t="s">
        <v>1367</v>
      </c>
      <c r="M2628" s="1705">
        <v>1611</v>
      </c>
      <c r="N2628" s="1705"/>
    </row>
    <row r="2629" spans="1:20" s="1704" customFormat="1" x14ac:dyDescent="0.25">
      <c r="A2629" s="871" t="s">
        <v>1297</v>
      </c>
      <c r="B2629" s="817" t="str">
        <f t="shared" ca="1" si="511"/>
        <v>O42</v>
      </c>
      <c r="C2629" s="817" t="str">
        <f t="shared" ca="1" si="507"/>
        <v>O</v>
      </c>
      <c r="D2629" s="1705" t="s">
        <v>1357</v>
      </c>
      <c r="E2629" s="817" t="s">
        <v>1358</v>
      </c>
      <c r="F2629" s="1705"/>
      <c r="G2629" s="1705"/>
      <c r="H2629" s="1705"/>
      <c r="I2629" s="1307" t="str">
        <f t="shared" si="504"/>
        <v>Minimum Delivery Charge Applied Flag</v>
      </c>
      <c r="J2629" s="1705" t="str">
        <f>IF(M2629&lt;&gt;"",Q$1&amp;M2629,"")</f>
        <v>F1612</v>
      </c>
      <c r="K2629" s="1705" t="str">
        <f t="shared" si="505"/>
        <v>Required Info to Submit</v>
      </c>
      <c r="L2629" s="850" t="s">
        <v>1297</v>
      </c>
      <c r="M2629" s="1705">
        <v>1612</v>
      </c>
      <c r="N2629" s="1705"/>
    </row>
    <row r="2630" spans="1:20" s="1704" customFormat="1" x14ac:dyDescent="0.25">
      <c r="A2630" s="871" t="s">
        <v>767</v>
      </c>
      <c r="B2630" s="817" t="str">
        <f t="shared" ca="1" si="511"/>
        <v>G42</v>
      </c>
      <c r="C2630" s="817" t="str">
        <f t="shared" ca="1" si="507"/>
        <v>G</v>
      </c>
      <c r="D2630" s="1705" t="s">
        <v>1357</v>
      </c>
      <c r="E2630" s="817" t="s">
        <v>1358</v>
      </c>
      <c r="F2630" s="1705"/>
      <c r="G2630" s="1705"/>
      <c r="H2630" s="1705"/>
      <c r="I2630" s="1307" t="str">
        <f t="shared" si="504"/>
        <v>Address</v>
      </c>
      <c r="J2630" s="1705" t="str">
        <f>IF(P2623="",Q$1&amp;M2630,"")</f>
        <v>F1613</v>
      </c>
      <c r="K2630" s="1705" t="str">
        <f t="shared" si="505"/>
        <v>Required Info to Submit</v>
      </c>
      <c r="L2630" s="850" t="s">
        <v>767</v>
      </c>
      <c r="M2630" s="1705">
        <v>1613</v>
      </c>
      <c r="N2630" s="1705"/>
    </row>
    <row r="2631" spans="1:20" s="1704" customFormat="1" x14ac:dyDescent="0.25">
      <c r="A2631" s="871" t="s">
        <v>768</v>
      </c>
      <c r="B2631" s="817" t="str">
        <f t="shared" ca="1" si="511"/>
        <v>H42</v>
      </c>
      <c r="C2631" s="817" t="str">
        <f t="shared" ca="1" si="507"/>
        <v>H</v>
      </c>
      <c r="D2631" s="1705" t="s">
        <v>1357</v>
      </c>
      <c r="E2631" s="817" t="s">
        <v>1358</v>
      </c>
      <c r="F2631" s="1705"/>
      <c r="G2631" s="1705"/>
      <c r="H2631" s="1705"/>
      <c r="I2631" s="1307" t="str">
        <f t="shared" si="504"/>
        <v>City</v>
      </c>
      <c r="J2631" s="1705" t="str">
        <f>IF(P2623="",Q$1&amp;M2631,"")</f>
        <v>F1614</v>
      </c>
      <c r="K2631" s="1705" t="str">
        <f t="shared" si="505"/>
        <v>Required Info to Submit</v>
      </c>
      <c r="L2631" s="850" t="s">
        <v>768</v>
      </c>
      <c r="M2631" s="1705">
        <v>1614</v>
      </c>
      <c r="N2631" s="1705"/>
    </row>
    <row r="2632" spans="1:20" s="1704" customFormat="1" x14ac:dyDescent="0.25">
      <c r="A2632" s="871" t="s">
        <v>769</v>
      </c>
      <c r="B2632" s="817" t="str">
        <f t="shared" ca="1" si="511"/>
        <v>I42</v>
      </c>
      <c r="C2632" s="817" t="str">
        <f t="shared" ca="1" si="507"/>
        <v>I</v>
      </c>
      <c r="D2632" s="1705" t="s">
        <v>1357</v>
      </c>
      <c r="E2632" s="817" t="s">
        <v>1358</v>
      </c>
      <c r="F2632" s="1705"/>
      <c r="G2632" s="1705"/>
      <c r="H2632" s="1705"/>
      <c r="I2632" s="1307" t="str">
        <f t="shared" si="504"/>
        <v>State</v>
      </c>
      <c r="J2632" s="1705" t="str">
        <f>IF(P2623="",Q$1&amp;M2632,"")</f>
        <v>F1615</v>
      </c>
      <c r="K2632" s="1705" t="str">
        <f t="shared" si="505"/>
        <v>Required Info to Submit</v>
      </c>
      <c r="L2632" s="850" t="s">
        <v>769</v>
      </c>
      <c r="M2632" s="1705">
        <v>1615</v>
      </c>
      <c r="N2632" s="1705"/>
    </row>
    <row r="2633" spans="1:20" s="1704" customFormat="1" x14ac:dyDescent="0.25">
      <c r="A2633" s="871" t="s">
        <v>204</v>
      </c>
      <c r="B2633" s="817" t="str">
        <f t="shared" ca="1" si="511"/>
        <v>J42</v>
      </c>
      <c r="C2633" s="817" t="str">
        <f t="shared" ca="1" si="507"/>
        <v>J</v>
      </c>
      <c r="D2633" s="1705" t="s">
        <v>1357</v>
      </c>
      <c r="E2633" s="817" t="s">
        <v>1358</v>
      </c>
      <c r="F2633" s="1705"/>
      <c r="G2633" s="1705"/>
      <c r="H2633" s="1705"/>
      <c r="I2633" s="1307" t="str">
        <f t="shared" si="504"/>
        <v>Zip Code</v>
      </c>
      <c r="J2633" s="1705" t="str">
        <f>IF(P2623="",Q$1&amp;M2633,"")</f>
        <v>F1616</v>
      </c>
      <c r="K2633" s="1705" t="str">
        <f t="shared" si="505"/>
        <v>Required Info to Submit</v>
      </c>
      <c r="L2633" s="850" t="s">
        <v>204</v>
      </c>
      <c r="M2633" s="1705">
        <v>1616</v>
      </c>
      <c r="N2633" s="1705"/>
    </row>
    <row r="2634" spans="1:20" s="1718" customFormat="1" x14ac:dyDescent="0.25">
      <c r="A2634" s="872" t="s">
        <v>1491</v>
      </c>
      <c r="B2634" s="852" t="str">
        <f ca="1">IFERROR(_xlfn.CONCAT("C",MATCH(A2634,INDIRECT("'"&amp;E2634&amp;"'!C"&amp;$O$2635&amp;":C"&amp;$O$2637),0)+$O$2635-1),"")</f>
        <v>C633</v>
      </c>
      <c r="C2634" s="852" t="str">
        <f ca="1">IFERROR(_xlfn.CONCAT("D",MATCH(A2634,INDIRECT("'"&amp;E2634&amp;"'!C"&amp;$O$2635&amp;":C"&amp;$O$2637),0)+$O$2635-1),"")</f>
        <v>D633</v>
      </c>
      <c r="D2634" s="852" t="s">
        <v>1350</v>
      </c>
      <c r="E2634" s="852" t="s">
        <v>1516</v>
      </c>
      <c r="F2634" s="852" t="s">
        <v>1491</v>
      </c>
      <c r="G2634" s="1720" t="str">
        <f>IF(T2634&lt;&gt;"","A","")</f>
        <v/>
      </c>
      <c r="H2634" s="1720" t="s">
        <v>1990</v>
      </c>
      <c r="I2634" s="852"/>
      <c r="J2634" s="852"/>
      <c r="K2634" s="852"/>
      <c r="L2634" s="852" t="s">
        <v>1491</v>
      </c>
      <c r="M2634" s="1369">
        <v>1617</v>
      </c>
      <c r="N2634" s="852"/>
      <c r="O2634" s="1718" t="s">
        <v>725</v>
      </c>
      <c r="R2634" s="1720" t="s">
        <v>2191</v>
      </c>
      <c r="T2634" s="1720" t="str">
        <f>IF(Q$2635="Yes",45,"")</f>
        <v/>
      </c>
    </row>
    <row r="2635" spans="1:20" s="1718" customFormat="1" x14ac:dyDescent="0.25">
      <c r="A2635" s="872" t="s">
        <v>1705</v>
      </c>
      <c r="B2635" s="852" t="str">
        <f ca="1">_xlfn.CONCAT(IFERROR(SUBSTITUTE(ADDRESS(1,MATCH(A2635,INDIRECT("'"&amp;E2635&amp;"'"&amp;"!A" &amp; $O$2635+ 11 &amp; ":Z" &amp; $O$2635 + 11),0),4),1,""),""),$O$2635+ 11)</f>
        <v>T640</v>
      </c>
      <c r="C2635" s="852" t="str">
        <f ca="1">_xlfn.CONCAT(IFERROR(SUBSTITUTE(ADDRESS(1,MATCH(A2635,INDIRECT("'"&amp;E2635&amp;"'"&amp;"!A" &amp; $O$2635+ 11 &amp; ":Z" &amp; $O$2635 + 11),0),4),1,""),""),$O$2635+ 12)</f>
        <v>T641</v>
      </c>
      <c r="D2635" s="852" t="s">
        <v>1350</v>
      </c>
      <c r="E2635" s="852" t="s">
        <v>1516</v>
      </c>
      <c r="F2635" s="852"/>
      <c r="G2635" s="1720"/>
      <c r="H2635" s="1720"/>
      <c r="I2635" s="852"/>
      <c r="J2635" s="852"/>
      <c r="K2635" s="852"/>
      <c r="L2635" s="852" t="s">
        <v>1705</v>
      </c>
      <c r="M2635" s="1369">
        <v>1618</v>
      </c>
      <c r="N2635" s="852"/>
      <c r="O2635" s="1718">
        <f>'Configurable Tab'!H47</f>
        <v>629</v>
      </c>
      <c r="P2635" s="18" t="str">
        <f>'Configurable Tab'!J47</f>
        <v>No</v>
      </c>
      <c r="Q2635" s="1718" t="s">
        <v>648</v>
      </c>
      <c r="R2635" s="1720" t="s">
        <v>2191</v>
      </c>
      <c r="T2635" s="1720" t="str">
        <f t="shared" ref="T2635:T2644" si="512">IF(Q$2635="Yes",45,"")</f>
        <v/>
      </c>
    </row>
    <row r="2636" spans="1:20" s="1718" customFormat="1" x14ac:dyDescent="0.25">
      <c r="A2636" s="872" t="s">
        <v>1383</v>
      </c>
      <c r="B2636" s="852" t="str">
        <f ca="1">IFERROR(_xlfn.CONCAT("C",MATCH(A2636,INDIRECT("'"&amp;E2636&amp;"'!C"&amp;$O$2635&amp;":C"&amp;$O$2637),0)+$O$2635-1),"")</f>
        <v>C631</v>
      </c>
      <c r="C2636" s="852" t="str">
        <f ca="1">IFERROR(_xlfn.CONCAT("D",MATCH(A2636,INDIRECT("'"&amp;E2636&amp;"'!C"&amp;$O$2635&amp;":C"&amp;$O$2637),0)+$O$2635-1),"")</f>
        <v>D631</v>
      </c>
      <c r="D2636" s="852" t="s">
        <v>1350</v>
      </c>
      <c r="E2636" s="852" t="s">
        <v>1516</v>
      </c>
      <c r="F2636" s="852" t="s">
        <v>1383</v>
      </c>
      <c r="G2636" s="1720" t="str">
        <f>IF(T2636&lt;&gt;"","B","")</f>
        <v/>
      </c>
      <c r="H2636" s="1720" t="s">
        <v>1990</v>
      </c>
      <c r="I2636" s="852"/>
      <c r="J2636" s="852"/>
      <c r="K2636" s="852"/>
      <c r="L2636" s="852" t="s">
        <v>1383</v>
      </c>
      <c r="M2636" s="1369">
        <v>1619</v>
      </c>
      <c r="N2636" s="852"/>
      <c r="O2636" s="1718" t="s">
        <v>726</v>
      </c>
      <c r="R2636" s="1720" t="s">
        <v>2191</v>
      </c>
      <c r="T2636" s="1720" t="str">
        <f t="shared" si="512"/>
        <v/>
      </c>
    </row>
    <row r="2637" spans="1:20" s="1718" customFormat="1" x14ac:dyDescent="0.25">
      <c r="A2637" s="872" t="s">
        <v>1381</v>
      </c>
      <c r="B2637" s="852" t="str">
        <f ca="1">_xlfn.CONCAT(IFERROR(SUBSTITUTE(ADDRESS(1,MATCH(A2637,INDIRECT("'"&amp;E2637&amp;"'"&amp;"!A" &amp; $O$2635+ 2 &amp; ":Z" &amp; $O$2635 + 2),0),4),1,""),""),$O$2635+ 2)</f>
        <v>J631</v>
      </c>
      <c r="C2637" s="852" t="str">
        <f ca="1">_xlfn.CONCAT(IFERROR(SUBSTITUTE(ADDRESS(1,MATCH(A2637,INDIRECT("'"&amp;E2637&amp;"'"&amp;"!A" &amp; $O$2635+ 2 &amp; ":Z" &amp; $O$2635 + 2),0),4),1,""),""),$O$2635+ 3)</f>
        <v>J632</v>
      </c>
      <c r="D2637" s="852" t="s">
        <v>1350</v>
      </c>
      <c r="E2637" s="852" t="s">
        <v>1516</v>
      </c>
      <c r="F2637" s="852" t="s">
        <v>1992</v>
      </c>
      <c r="G2637" s="1720" t="str">
        <f>IF(T2637&lt;&gt;"","I","")</f>
        <v/>
      </c>
      <c r="H2637" s="1720" t="s">
        <v>1990</v>
      </c>
      <c r="I2637" s="852"/>
      <c r="J2637" s="852"/>
      <c r="K2637" s="852"/>
      <c r="L2637" s="852" t="s">
        <v>1381</v>
      </c>
      <c r="M2637" s="1369">
        <v>1620</v>
      </c>
      <c r="N2637" s="852"/>
      <c r="O2637" s="1718">
        <f>'Configurable Tab'!I47</f>
        <v>642</v>
      </c>
      <c r="R2637" s="1720" t="s">
        <v>2191</v>
      </c>
      <c r="T2637" s="1720" t="str">
        <f t="shared" si="512"/>
        <v/>
      </c>
    </row>
    <row r="2638" spans="1:20" s="1718" customFormat="1" x14ac:dyDescent="0.25">
      <c r="A2638" s="872" t="s">
        <v>1382</v>
      </c>
      <c r="B2638" s="852" t="str">
        <f ca="1">_xlfn.CONCAT(IFERROR(SUBSTITUTE(ADDRESS(1,MATCH(A2638,INDIRECT("'"&amp;E2638&amp;"'"&amp;"!A" &amp; $O$2635+ 2 &amp; ":Z" &amp; $O$2635 + 2),0),4),1,""),""),$O$2635+ 2)</f>
        <v>N631</v>
      </c>
      <c r="C2638" s="852" t="str">
        <f ca="1">_xlfn.CONCAT(IFERROR(SUBSTITUTE(ADDRESS(1,MATCH(A2638,INDIRECT("'"&amp;E2638&amp;"'"&amp;"!A" &amp; $O$2635+ 2 &amp; ":Z" &amp; $O$2635 + 2),0),4),1,""),""),$O$2635+ 3)</f>
        <v>N632</v>
      </c>
      <c r="D2638" s="852" t="s">
        <v>1350</v>
      </c>
      <c r="E2638" s="852" t="s">
        <v>1516</v>
      </c>
      <c r="F2638" s="852" t="s">
        <v>1382</v>
      </c>
      <c r="G2638" s="1720" t="str">
        <f>IF(T2638&lt;&gt;"",IF(Q2637="Credit Memo","J",IF(Q2637="Check","K","")),"")</f>
        <v/>
      </c>
      <c r="H2638" s="1720" t="s">
        <v>1990</v>
      </c>
      <c r="I2638" s="852"/>
      <c r="J2638" s="852"/>
      <c r="K2638" s="852"/>
      <c r="L2638" s="852" t="s">
        <v>1382</v>
      </c>
      <c r="M2638" s="1369">
        <v>1621</v>
      </c>
      <c r="N2638" s="852"/>
      <c r="O2638" s="1718" t="s">
        <v>2192</v>
      </c>
      <c r="R2638" s="1720" t="s">
        <v>2191</v>
      </c>
      <c r="T2638" s="1720" t="str">
        <f t="shared" si="512"/>
        <v/>
      </c>
    </row>
    <row r="2639" spans="1:20" s="1718" customFormat="1" x14ac:dyDescent="0.25">
      <c r="A2639" s="872" t="s">
        <v>1385</v>
      </c>
      <c r="B2639" s="852" t="str">
        <f ca="1">IFERROR(_xlfn.CONCAT("C",MATCH(A2639,INDIRECT("'"&amp;E2639&amp;"'!C"&amp;$O$2635&amp;":C"&amp;$O$2637),0)+$O$2635-1),"")</f>
        <v>C635</v>
      </c>
      <c r="C2639" s="852" t="str">
        <f ca="1">IFERROR(_xlfn.CONCAT("D",MATCH(A2639,INDIRECT("'"&amp;E2639&amp;"'!C"&amp;$O$2635&amp;":C"&amp;$O$2637),0)+$O$2635-1),"")</f>
        <v>D635</v>
      </c>
      <c r="D2639" s="852" t="s">
        <v>1350</v>
      </c>
      <c r="E2639" s="852" t="s">
        <v>1516</v>
      </c>
      <c r="F2639" s="852" t="s">
        <v>1385</v>
      </c>
      <c r="G2639" s="1720" t="str">
        <f>IF(T2639&lt;&gt;"","C","")</f>
        <v/>
      </c>
      <c r="H2639" s="1720" t="s">
        <v>1990</v>
      </c>
      <c r="I2639" s="852"/>
      <c r="J2639" s="852"/>
      <c r="K2639" s="852"/>
      <c r="L2639" s="852" t="s">
        <v>1385</v>
      </c>
      <c r="M2639" s="1369">
        <v>1622</v>
      </c>
      <c r="N2639" s="852"/>
      <c r="R2639" s="1720" t="s">
        <v>2191</v>
      </c>
      <c r="T2639" s="1720" t="str">
        <f t="shared" si="512"/>
        <v/>
      </c>
    </row>
    <row r="2640" spans="1:20" s="1718" customFormat="1" x14ac:dyDescent="0.25">
      <c r="A2640" s="872" t="s">
        <v>1386</v>
      </c>
      <c r="B2640" s="852" t="str">
        <f ca="1">IFERROR(_xlfn.CONCAT("C",MATCH(A2640,INDIRECT("'"&amp;E2640&amp;"'!C"&amp;$O$2635&amp;":C"&amp;$O$2637),0)+$O$2635-1),"")</f>
        <v>C637</v>
      </c>
      <c r="C2640" s="852" t="str">
        <f ca="1">IFERROR(_xlfn.CONCAT("D",MATCH(A2640,INDIRECT("'"&amp;E2640&amp;"'!C"&amp;$O$2635&amp;":C"&amp;$O$2637),0)+$O$2635-1),"")</f>
        <v>D637</v>
      </c>
      <c r="D2640" s="852" t="s">
        <v>1350</v>
      </c>
      <c r="E2640" s="852" t="s">
        <v>1516</v>
      </c>
      <c r="F2640" s="852" t="s">
        <v>1386</v>
      </c>
      <c r="G2640" s="1720" t="str">
        <f>IF(T2640&lt;&gt;"","D","")</f>
        <v/>
      </c>
      <c r="H2640" s="1720" t="s">
        <v>1990</v>
      </c>
      <c r="I2640" s="852"/>
      <c r="J2640" s="852"/>
      <c r="K2640" s="852"/>
      <c r="L2640" s="852" t="s">
        <v>1386</v>
      </c>
      <c r="M2640" s="1369">
        <v>1623</v>
      </c>
      <c r="N2640" s="852"/>
      <c r="R2640" s="1720" t="s">
        <v>2191</v>
      </c>
      <c r="T2640" s="1720" t="str">
        <f t="shared" si="512"/>
        <v/>
      </c>
    </row>
    <row r="2641" spans="1:20" s="1718" customFormat="1" x14ac:dyDescent="0.25">
      <c r="A2641" s="872" t="s">
        <v>1396</v>
      </c>
      <c r="B2641" s="852" t="str">
        <f ca="1">_xlfn.CONCAT(IFERROR(SUBSTITUTE(ADDRESS(1,MATCH(A2641,INDIRECT("'"&amp;E2641&amp;"'"&amp;"!A" &amp; $O$2635+ 5 &amp; ":Z" &amp; $O$2635 + 5),0),4),1,""),""),$O$2635+ 5)</f>
        <v>H634</v>
      </c>
      <c r="C2641" s="852" t="str">
        <f ca="1">_xlfn.CONCAT(IFERROR(SUBSTITUTE(ADDRESS(1,MATCH(A2641,INDIRECT("'"&amp;E2641&amp;"'"&amp;"!A" &amp; $O$2635+ 5 &amp; ":Z" &amp; $O$2635 + 5),0),4),1,""),""),$O$2635+ 6)</f>
        <v>H635</v>
      </c>
      <c r="D2641" s="852" t="s">
        <v>1350</v>
      </c>
      <c r="E2641" s="852" t="s">
        <v>1516</v>
      </c>
      <c r="F2641" s="1720" t="s">
        <v>1396</v>
      </c>
      <c r="G2641" s="1720" t="str">
        <f>IF(T2641&lt;&gt;"","S","")</f>
        <v/>
      </c>
      <c r="H2641" s="1720" t="s">
        <v>1990</v>
      </c>
      <c r="I2641" s="852"/>
      <c r="J2641" s="852"/>
      <c r="K2641" s="852"/>
      <c r="L2641" s="852" t="s">
        <v>1396</v>
      </c>
      <c r="M2641" s="1369">
        <v>1624</v>
      </c>
      <c r="N2641" s="852"/>
      <c r="R2641" s="1720" t="s">
        <v>2191</v>
      </c>
      <c r="T2641" s="1720" t="str">
        <f t="shared" si="512"/>
        <v/>
      </c>
    </row>
    <row r="2642" spans="1:20" s="1718" customFormat="1" x14ac:dyDescent="0.25">
      <c r="A2642" s="872" t="s">
        <v>2005</v>
      </c>
      <c r="B2642" s="852" t="str">
        <f ca="1">_xlfn.CONCAT(IFERROR(SUBSTITUTE(ADDRESS(1,MATCH(A2642,INDIRECT("'"&amp;E2642&amp;"'"&amp;"!A" &amp; $O$2635+ 8 &amp; ":Z" &amp; $O$2635 + 8),0),4),1,""),""),$O$2635 + 8)</f>
        <v>J637</v>
      </c>
      <c r="C2642" s="852" t="str">
        <f ca="1">_xlfn.CONCAT(IFERROR(SUBSTITUTE(ADDRESS(1,MATCH(A2642,INDIRECT("'"&amp;E2642&amp;"'"&amp;"!A" &amp; $O$2635+ 8 &amp; ":Z" &amp; $O$2635 + 8),0),4),1,""),""),$O$2635 + 9)</f>
        <v>J638</v>
      </c>
      <c r="D2642" s="852" t="s">
        <v>1350</v>
      </c>
      <c r="E2642" s="852" t="s">
        <v>1516</v>
      </c>
      <c r="F2642" s="852" t="s">
        <v>2005</v>
      </c>
      <c r="G2642" s="1720" t="str">
        <f>IF(T2642&lt;&gt;"","AQ","")</f>
        <v/>
      </c>
      <c r="H2642" s="1720" t="s">
        <v>1990</v>
      </c>
      <c r="I2642" s="852"/>
      <c r="J2642" s="852"/>
      <c r="K2642" s="852"/>
      <c r="L2642" s="852" t="s">
        <v>2005</v>
      </c>
      <c r="M2642" s="1369">
        <v>1625</v>
      </c>
      <c r="N2642" s="852"/>
      <c r="R2642" s="1720" t="s">
        <v>2191</v>
      </c>
      <c r="T2642" s="1720" t="str">
        <f t="shared" si="512"/>
        <v/>
      </c>
    </row>
    <row r="2643" spans="1:20" s="1718" customFormat="1" x14ac:dyDescent="0.25">
      <c r="A2643" s="872" t="s">
        <v>1482</v>
      </c>
      <c r="B2643" s="852" t="str">
        <f ca="1">_xlfn.CONCAT(IFERROR(SUBSTITUTE(ADDRESS(1,MATCH(A2643,INDIRECT("'"&amp;E2643&amp;"'"&amp;"!A" &amp; $O$2635+ 8 &amp; ":Z" &amp; $O$2635 + 8),0),4),1,""),""),$O$2635 + 8)</f>
        <v>N637</v>
      </c>
      <c r="C2643" s="852" t="str">
        <f ca="1">_xlfn.CONCAT(IFERROR(SUBSTITUTE(ADDRESS(1,MATCH(A2643,INDIRECT("'"&amp;E2643&amp;"'"&amp;"!A" &amp; $O$2635+ 8 &amp; ":Z" &amp; $O$2635 + 8),0),4),1,""),""),$O$2635 + 9)</f>
        <v>N638</v>
      </c>
      <c r="D2643" s="852" t="s">
        <v>1350</v>
      </c>
      <c r="E2643" s="852" t="s">
        <v>1516</v>
      </c>
      <c r="F2643" s="852" t="s">
        <v>2054</v>
      </c>
      <c r="G2643" s="1720" t="str">
        <f>IF(T2643&lt;&gt;"","AA","")</f>
        <v/>
      </c>
      <c r="H2643" s="1720" t="s">
        <v>1990</v>
      </c>
      <c r="I2643" s="852"/>
      <c r="J2643" s="852"/>
      <c r="K2643" s="852"/>
      <c r="L2643" s="852" t="s">
        <v>2006</v>
      </c>
      <c r="M2643" s="1369">
        <v>1626</v>
      </c>
      <c r="N2643" s="852"/>
      <c r="R2643" s="1720" t="s">
        <v>2191</v>
      </c>
      <c r="T2643" s="1720" t="str">
        <f t="shared" si="512"/>
        <v/>
      </c>
    </row>
    <row r="2644" spans="1:20" s="1718" customFormat="1" x14ac:dyDescent="0.25">
      <c r="A2644" s="872" t="s">
        <v>1397</v>
      </c>
      <c r="B2644" s="852" t="str">
        <f ca="1">_xlfn.CONCAT(IFERROR(SUBSTITUTE(ADDRESS(1,MATCH(A2644,INDIRECT("'"&amp;E2644&amp;"'"&amp;"!A" &amp; $O$2635+ 2 &amp; ":Z" &amp; $O$2635 + 2),0),4),1,""),""),$O$2635 + 2)</f>
        <v>L631</v>
      </c>
      <c r="C2644" s="852" t="str">
        <f ca="1">_xlfn.CONCAT(IFERROR(SUBSTITUTE(ADDRESS(1,MATCH(A2644,INDIRECT("'"&amp;E2644&amp;"'"&amp;"!A" &amp; $O$2635+ 2 &amp; ":Z" &amp; $O$2635 + 2),0),4),1,""),""),$O$2635 + 3)</f>
        <v>L632</v>
      </c>
      <c r="D2644" s="852" t="s">
        <v>1350</v>
      </c>
      <c r="E2644" s="852" t="s">
        <v>1516</v>
      </c>
      <c r="F2644" s="852" t="s">
        <v>1993</v>
      </c>
      <c r="G2644" s="1720" t="str">
        <f>IF(T2644&lt;&gt;"","H","")</f>
        <v/>
      </c>
      <c r="H2644" s="1720" t="s">
        <v>1990</v>
      </c>
      <c r="I2644" s="852"/>
      <c r="J2644" s="852"/>
      <c r="K2644" s="852"/>
      <c r="L2644" s="852" t="s">
        <v>1397</v>
      </c>
      <c r="M2644" s="1369">
        <v>1627</v>
      </c>
      <c r="N2644" s="852"/>
      <c r="R2644" s="1720" t="s">
        <v>2191</v>
      </c>
      <c r="T2644" s="1720" t="str">
        <f t="shared" si="512"/>
        <v/>
      </c>
    </row>
    <row r="2645" spans="1:20" s="1718" customFormat="1" x14ac:dyDescent="0.25">
      <c r="A2645" s="872" t="s">
        <v>1705</v>
      </c>
      <c r="B2645" s="1307" t="str">
        <f>IFERROR(_xlfn.CONCAT("D",('Configurable Tab'!$C$23+1)),"")</f>
        <v>D226</v>
      </c>
      <c r="C2645" s="1307" t="str">
        <f>IFERROR(_xlfn.CONCAT("E",('Configurable Tab'!$C$23+1)),"")</f>
        <v>E226</v>
      </c>
      <c r="D2645" s="852" t="s">
        <v>1350</v>
      </c>
      <c r="E2645" s="852" t="s">
        <v>1742</v>
      </c>
      <c r="F2645" s="1720"/>
      <c r="G2645" s="1720"/>
      <c r="H2645" s="1720"/>
      <c r="I2645" s="1307" t="str">
        <f t="shared" ref="I2645:I2655" si="513">IF(J2645&lt;&gt;"",A2645,"")</f>
        <v/>
      </c>
      <c r="J2645" s="1720" t="str">
        <f>IFERROR(IF($Q$2635="Yes",Q$1&amp;M2635,""),"")</f>
        <v/>
      </c>
      <c r="K2645" s="1720" t="str">
        <f t="shared" ref="K2645:K2655" si="514">IF(J2645&lt;&gt;"",E2645,"")</f>
        <v/>
      </c>
      <c r="M2645" s="1719"/>
      <c r="Q2645" s="1307" t="str">
        <f>IFERROR(_xlfn.CONCAT("C",('Configurable Tab'!$C32+1)),"")</f>
        <v>C325</v>
      </c>
      <c r="R2645" s="1720" t="s">
        <v>2191</v>
      </c>
    </row>
    <row r="2646" spans="1:20" s="1718" customFormat="1" x14ac:dyDescent="0.25">
      <c r="A2646" s="872" t="s">
        <v>1383</v>
      </c>
      <c r="B2646" s="1307" t="str">
        <f>IFERROR(_xlfn.CONCAT("D",('Configurable Tab'!$C$23+2)),"")</f>
        <v>D227</v>
      </c>
      <c r="C2646" s="1307" t="str">
        <f>IFERROR(_xlfn.CONCAT("E",('Configurable Tab'!$C$23+2)),"")</f>
        <v>E227</v>
      </c>
      <c r="D2646" s="852" t="s">
        <v>1350</v>
      </c>
      <c r="E2646" s="852" t="s">
        <v>1742</v>
      </c>
      <c r="F2646" s="1720"/>
      <c r="G2646" s="1720"/>
      <c r="H2646" s="1720"/>
      <c r="I2646" s="1307" t="str">
        <f t="shared" si="513"/>
        <v/>
      </c>
      <c r="J2646" s="1720" t="str">
        <f t="shared" ref="J2646:J2654" si="515">IFERROR(IF($Q$2635="Yes",Q$1&amp;M2636,""),"")</f>
        <v/>
      </c>
      <c r="K2646" s="1720" t="str">
        <f t="shared" si="514"/>
        <v/>
      </c>
      <c r="M2646" s="1719"/>
      <c r="R2646" s="1720" t="s">
        <v>2191</v>
      </c>
    </row>
    <row r="2647" spans="1:20" s="1718" customFormat="1" x14ac:dyDescent="0.25">
      <c r="A2647" s="872" t="s">
        <v>1381</v>
      </c>
      <c r="B2647" s="1307" t="str">
        <f>IFERROR(_xlfn.CONCAT("I",('Configurable Tab'!$C$23+1)),"")</f>
        <v>I226</v>
      </c>
      <c r="C2647" s="1307" t="str">
        <f>IFERROR(_xlfn.CONCAT("I",('Configurable Tab'!$C$23+2)),"")</f>
        <v>I227</v>
      </c>
      <c r="D2647" s="852" t="s">
        <v>1350</v>
      </c>
      <c r="E2647" s="852" t="s">
        <v>1742</v>
      </c>
      <c r="F2647" s="1720"/>
      <c r="G2647" s="1720"/>
      <c r="H2647" s="1720"/>
      <c r="I2647" s="1307" t="str">
        <f t="shared" si="513"/>
        <v/>
      </c>
      <c r="J2647" s="1720" t="str">
        <f t="shared" si="515"/>
        <v/>
      </c>
      <c r="K2647" s="1720" t="str">
        <f t="shared" si="514"/>
        <v/>
      </c>
      <c r="M2647" s="1719"/>
      <c r="R2647" s="1720" t="s">
        <v>2191</v>
      </c>
    </row>
    <row r="2648" spans="1:20" s="1718" customFormat="1" x14ac:dyDescent="0.25">
      <c r="A2648" s="872" t="s">
        <v>1382</v>
      </c>
      <c r="B2648" s="1307" t="str">
        <f>IFERROR(_xlfn.CONCAT("M",('Configurable Tab'!$C$23+1)),"")</f>
        <v>M226</v>
      </c>
      <c r="C2648" s="1307" t="str">
        <f>IFERROR(_xlfn.CONCAT("M",('Configurable Tab'!$C$23+2)),"")</f>
        <v>M227</v>
      </c>
      <c r="D2648" s="852" t="s">
        <v>1350</v>
      </c>
      <c r="E2648" s="852" t="s">
        <v>1742</v>
      </c>
      <c r="F2648" s="1720"/>
      <c r="G2648" s="1720"/>
      <c r="H2648" s="1720"/>
      <c r="I2648" s="1307" t="str">
        <f t="shared" si="513"/>
        <v/>
      </c>
      <c r="J2648" s="1720" t="str">
        <f t="shared" si="515"/>
        <v/>
      </c>
      <c r="K2648" s="1720" t="str">
        <f t="shared" si="514"/>
        <v/>
      </c>
      <c r="M2648" s="1719"/>
      <c r="R2648" s="1720" t="s">
        <v>2191</v>
      </c>
    </row>
    <row r="2649" spans="1:20" s="1718" customFormat="1" x14ac:dyDescent="0.25">
      <c r="A2649" s="872" t="s">
        <v>1385</v>
      </c>
      <c r="B2649" s="1307" t="str">
        <f>IFERROR(_xlfn.CONCAT("D",('Configurable Tab'!$C$23+4)),"")</f>
        <v>D229</v>
      </c>
      <c r="C2649" s="1307" t="str">
        <f>IFERROR(_xlfn.CONCAT("E",('Configurable Tab'!$C$23+4)),"")</f>
        <v>E229</v>
      </c>
      <c r="D2649" s="852" t="s">
        <v>1350</v>
      </c>
      <c r="E2649" s="852" t="s">
        <v>1742</v>
      </c>
      <c r="F2649" s="1720"/>
      <c r="G2649" s="1720"/>
      <c r="H2649" s="1720"/>
      <c r="I2649" s="1307" t="str">
        <f t="shared" si="513"/>
        <v/>
      </c>
      <c r="J2649" s="1720" t="str">
        <f t="shared" si="515"/>
        <v/>
      </c>
      <c r="K2649" s="1720" t="str">
        <f t="shared" si="514"/>
        <v/>
      </c>
      <c r="M2649" s="1719"/>
      <c r="R2649" s="1720" t="s">
        <v>2191</v>
      </c>
    </row>
    <row r="2650" spans="1:20" s="1718" customFormat="1" x14ac:dyDescent="0.25">
      <c r="A2650" s="872" t="s">
        <v>1386</v>
      </c>
      <c r="B2650" s="1307" t="str">
        <f>IFERROR(_xlfn.CONCAT("D",('Configurable Tab'!$C$23+5)),"")</f>
        <v>D230</v>
      </c>
      <c r="C2650" s="1307" t="str">
        <f>IFERROR(_xlfn.CONCAT("E",('Configurable Tab'!$C$23+5)),"")</f>
        <v>E230</v>
      </c>
      <c r="D2650" s="852" t="s">
        <v>1350</v>
      </c>
      <c r="E2650" s="852" t="s">
        <v>1742</v>
      </c>
      <c r="F2650" s="1720"/>
      <c r="G2650" s="1720"/>
      <c r="H2650" s="1720"/>
      <c r="I2650" s="1307" t="str">
        <f t="shared" si="513"/>
        <v/>
      </c>
      <c r="J2650" s="1720" t="str">
        <f t="shared" si="515"/>
        <v/>
      </c>
      <c r="K2650" s="1720" t="str">
        <f t="shared" si="514"/>
        <v/>
      </c>
      <c r="M2650" s="1719"/>
      <c r="R2650" s="1720" t="s">
        <v>2191</v>
      </c>
    </row>
    <row r="2651" spans="1:20" s="1718" customFormat="1" x14ac:dyDescent="0.25">
      <c r="A2651" s="872" t="s">
        <v>1396</v>
      </c>
      <c r="B2651" s="1307" t="str">
        <f>IFERROR(_xlfn.CONCAT("G",('Configurable Tab'!$C$23+7)),"")</f>
        <v>G232</v>
      </c>
      <c r="C2651" s="1307" t="str">
        <f>IFERROR(_xlfn.CONCAT("G",('Configurable Tab'!$C$23+8)),"")</f>
        <v>G233</v>
      </c>
      <c r="D2651" s="852" t="s">
        <v>1350</v>
      </c>
      <c r="E2651" s="852" t="s">
        <v>1742</v>
      </c>
      <c r="F2651" s="1720"/>
      <c r="G2651" s="1720"/>
      <c r="H2651" s="1720"/>
      <c r="I2651" s="1307" t="str">
        <f t="shared" si="513"/>
        <v/>
      </c>
      <c r="J2651" s="1720" t="str">
        <f t="shared" si="515"/>
        <v/>
      </c>
      <c r="K2651" s="1720" t="str">
        <f t="shared" si="514"/>
        <v/>
      </c>
      <c r="M2651" s="1719"/>
      <c r="R2651" s="1720" t="s">
        <v>2191</v>
      </c>
    </row>
    <row r="2652" spans="1:20" s="1718" customFormat="1" x14ac:dyDescent="0.25">
      <c r="A2652" s="872" t="s">
        <v>2005</v>
      </c>
      <c r="B2652" s="1307" t="str">
        <f>IFERROR(_xlfn.CONCAT("G",('Configurable Tab'!$C$23+7)),"")</f>
        <v>G232</v>
      </c>
      <c r="C2652" s="1307" t="str">
        <f>IFERROR(_xlfn.CONCAT("G",('Configurable Tab'!$C$23+8)),"")</f>
        <v>G233</v>
      </c>
      <c r="D2652" s="852" t="s">
        <v>1350</v>
      </c>
      <c r="E2652" s="852" t="s">
        <v>1742</v>
      </c>
      <c r="F2652" s="1720"/>
      <c r="G2652" s="1720"/>
      <c r="H2652" s="1720"/>
      <c r="I2652" s="1307" t="str">
        <f t="shared" si="513"/>
        <v/>
      </c>
      <c r="J2652" s="1720" t="str">
        <f t="shared" si="515"/>
        <v/>
      </c>
      <c r="K2652" s="1720" t="str">
        <f t="shared" si="514"/>
        <v/>
      </c>
      <c r="M2652" s="1719"/>
      <c r="R2652" s="1720" t="s">
        <v>2191</v>
      </c>
    </row>
    <row r="2653" spans="1:20" s="1718" customFormat="1" x14ac:dyDescent="0.25">
      <c r="A2653" s="872" t="s">
        <v>1482</v>
      </c>
      <c r="B2653" s="1307" t="str">
        <f>IFERROR(_xlfn.CONCAT("K",('Configurable Tab'!$C$23+7)),"")</f>
        <v>K232</v>
      </c>
      <c r="C2653" s="1307" t="str">
        <f>IFERROR(_xlfn.CONCAT("K",('Configurable Tab'!$C$23+8)),"")</f>
        <v>K233</v>
      </c>
      <c r="D2653" s="852" t="s">
        <v>1350</v>
      </c>
      <c r="E2653" s="852" t="s">
        <v>1742</v>
      </c>
      <c r="F2653" s="1720"/>
      <c r="G2653" s="1720"/>
      <c r="H2653" s="1720"/>
      <c r="I2653" s="1307" t="str">
        <f t="shared" si="513"/>
        <v/>
      </c>
      <c r="J2653" s="1720" t="str">
        <f t="shared" si="515"/>
        <v/>
      </c>
      <c r="K2653" s="1720" t="str">
        <f t="shared" si="514"/>
        <v/>
      </c>
      <c r="M2653" s="1719"/>
      <c r="R2653" s="1720" t="s">
        <v>2191</v>
      </c>
    </row>
    <row r="2654" spans="1:20" s="1718" customFormat="1" x14ac:dyDescent="0.25">
      <c r="A2654" s="872" t="s">
        <v>1397</v>
      </c>
      <c r="B2654" s="1307" t="str">
        <f>IFERROR(_xlfn.CONCAT("K",('Configurable Tab'!$C$23+1)),"")</f>
        <v>K226</v>
      </c>
      <c r="C2654" s="1307" t="str">
        <f>IFERROR(_xlfn.CONCAT("K",('Configurable Tab'!$C$23+2)),"")</f>
        <v>K227</v>
      </c>
      <c r="D2654" s="852" t="s">
        <v>1350</v>
      </c>
      <c r="E2654" s="852" t="s">
        <v>1742</v>
      </c>
      <c r="F2654" s="1720"/>
      <c r="G2654" s="1720"/>
      <c r="H2654" s="1720"/>
      <c r="I2654" s="1307" t="str">
        <f t="shared" si="513"/>
        <v/>
      </c>
      <c r="J2654" s="1720" t="str">
        <f t="shared" si="515"/>
        <v/>
      </c>
      <c r="K2654" s="1720" t="str">
        <f t="shared" si="514"/>
        <v/>
      </c>
      <c r="M2654" s="1719"/>
      <c r="R2654" s="1720" t="s">
        <v>2191</v>
      </c>
    </row>
    <row r="2655" spans="1:20" s="1718" customFormat="1" x14ac:dyDescent="0.25">
      <c r="A2655" s="872" t="s">
        <v>1496</v>
      </c>
      <c r="B2655" s="852" t="str">
        <f ca="1">IFERROR(_xlfn.CONCAT("C",MATCH(A2655,INDIRECT("'"&amp;E2655&amp;"'!C"&amp;$O$2635&amp;":C"&amp;$O$2637),0)+$O$2635-1),"")</f>
        <v>C641</v>
      </c>
      <c r="C2655" s="852" t="str">
        <f ca="1">IFERROR(_xlfn.CONCAT("D",MATCH(A2655,INDIRECT("'"&amp;E2655&amp;"'!C"&amp;$O$2635&amp;":C"&amp;$O$2637),0)+$O$2635-1),"")</f>
        <v>D641</v>
      </c>
      <c r="D2655" s="852" t="s">
        <v>1350</v>
      </c>
      <c r="E2655" s="852" t="s">
        <v>1516</v>
      </c>
      <c r="F2655" s="1720" t="s">
        <v>1496</v>
      </c>
      <c r="G2655" s="1720" t="str">
        <f t="shared" ref="G2655" si="516">IF(T2655&lt;&gt;"","AS","")</f>
        <v/>
      </c>
      <c r="H2655" s="1720" t="s">
        <v>1990</v>
      </c>
      <c r="I2655" s="1307" t="str">
        <f t="shared" si="513"/>
        <v/>
      </c>
      <c r="J2655" s="1720"/>
      <c r="K2655" s="1720" t="str">
        <f t="shared" si="514"/>
        <v/>
      </c>
      <c r="L2655" s="852"/>
      <c r="M2655" s="1721"/>
      <c r="N2655" s="1720"/>
      <c r="R2655" s="1720" t="s">
        <v>2191</v>
      </c>
      <c r="T2655" s="1720" t="str">
        <f>IF(Q$2635="Yes",45,"")</f>
        <v/>
      </c>
    </row>
    <row r="2656" spans="1:20" s="1718" customFormat="1" x14ac:dyDescent="0.25">
      <c r="A2656" s="873" t="s">
        <v>1495</v>
      </c>
      <c r="B2656" s="852" t="str">
        <f ca="1">IFERROR(_xlfn.CONCAT("C",MATCH(A2656,INDIRECT("'"&amp;E2656&amp;"'!C"&amp;$O$2635&amp;":C"&amp;$O$2637),0)+$O$2635-1),"")</f>
        <v>C639</v>
      </c>
      <c r="C2656" s="852" t="str">
        <f ca="1">IFERROR(_xlfn.CONCAT("D",MATCH(A2656,INDIRECT("'"&amp;E2656&amp;"'!C"&amp;$O$2635&amp;":C"&amp;$O$2637),0)+$O$2635-1),"")</f>
        <v>D639</v>
      </c>
      <c r="D2656" s="852" t="s">
        <v>1350</v>
      </c>
      <c r="E2656" s="852" t="s">
        <v>1516</v>
      </c>
      <c r="F2656" s="1720" t="s">
        <v>1495</v>
      </c>
      <c r="G2656" s="1720" t="str">
        <f>IF(T2656&lt;&gt;"","AN","")</f>
        <v/>
      </c>
      <c r="H2656" s="1720" t="s">
        <v>1990</v>
      </c>
      <c r="I2656" s="1307"/>
      <c r="J2656" s="1720"/>
      <c r="K2656" s="1720"/>
      <c r="L2656" s="852"/>
      <c r="M2656" s="1721"/>
      <c r="N2656" s="1720"/>
      <c r="O2656" s="1606"/>
      <c r="P2656" s="625"/>
      <c r="Q2656" s="625"/>
      <c r="R2656" s="1720" t="s">
        <v>2191</v>
      </c>
      <c r="T2656" s="1720" t="str">
        <f t="shared" ref="T2656:T2663" si="517">IF(Q$2635="Yes",45,"")</f>
        <v/>
      </c>
    </row>
    <row r="2657" spans="1:20" s="1718" customFormat="1" x14ac:dyDescent="0.25">
      <c r="A2657" s="873" t="s">
        <v>1492</v>
      </c>
      <c r="B2657" s="852" t="str">
        <f ca="1">_xlfn.CONCAT(IFERROR(SUBSTITUTE(ADDRESS(1,MATCH(A2657,INDIRECT("'"&amp;E2657&amp;"'"&amp;"!A" &amp; $O$2635+ 8 &amp; ":Z" &amp; $O$2635 + 8),0),4),1,""),""),$O$2635 + 8)</f>
        <v>H637</v>
      </c>
      <c r="C2657" s="852" t="str">
        <f ca="1">_xlfn.CONCAT(IFERROR(SUBSTITUTE(ADDRESS(1,MATCH(A2657,INDIRECT("'"&amp;E2657&amp;"'"&amp;"!A" &amp; $O$2635+ 8 &amp; ":Z" &amp; $O$2635 + 8),0),4),1,""),""),$O$2635 + 9)</f>
        <v>H638</v>
      </c>
      <c r="D2657" s="852" t="s">
        <v>1350</v>
      </c>
      <c r="E2657" s="852" t="s">
        <v>1516</v>
      </c>
      <c r="F2657" s="1720" t="s">
        <v>1492</v>
      </c>
      <c r="G2657" s="1720" t="str">
        <f>IF(T2657&lt;&gt;"","AL","")</f>
        <v/>
      </c>
      <c r="H2657" s="1720" t="s">
        <v>1990</v>
      </c>
      <c r="I2657" s="1307"/>
      <c r="J2657" s="1720"/>
      <c r="K2657" s="1720"/>
      <c r="L2657" s="852"/>
      <c r="M2657" s="1721"/>
      <c r="N2657" s="1720"/>
      <c r="O2657" s="625"/>
      <c r="P2657" s="625"/>
      <c r="Q2657" s="625"/>
      <c r="R2657" s="1720" t="s">
        <v>2191</v>
      </c>
      <c r="T2657" s="1720" t="str">
        <f t="shared" si="517"/>
        <v/>
      </c>
    </row>
    <row r="2658" spans="1:20" s="1718" customFormat="1" x14ac:dyDescent="0.25">
      <c r="A2658" s="873" t="s">
        <v>1380</v>
      </c>
      <c r="B2658" s="852" t="str">
        <f ca="1">_xlfn.CONCAT(IFERROR(SUBSTITUTE(ADDRESS(1,MATCH(A2658,INDIRECT("'"&amp;E2658&amp;"'"&amp;"!A" &amp; $O$2635+ 2 &amp; ":Z" &amp; $O$2635 + 2),0),4),1,""),""),$O$2635+ 2)</f>
        <v>H631</v>
      </c>
      <c r="C2658" s="852" t="str">
        <f ca="1">_xlfn.CONCAT(IFERROR(SUBSTITUTE(ADDRESS(1,MATCH(A2658,INDIRECT("'"&amp;E2658&amp;"'"&amp;"!A" &amp; $O$2635+ 2 &amp; ":Z" &amp; $O$2635 + 2),0),4),1,""),""),$O$2635+ 3)</f>
        <v>H632</v>
      </c>
      <c r="D2658" s="852" t="s">
        <v>1350</v>
      </c>
      <c r="E2658" s="852" t="s">
        <v>1516</v>
      </c>
      <c r="F2658" s="1720" t="s">
        <v>1991</v>
      </c>
      <c r="G2658" s="1720" t="str">
        <f>IF(T2658&lt;&gt;"","E","")</f>
        <v/>
      </c>
      <c r="H2658" s="1720" t="s">
        <v>1990</v>
      </c>
      <c r="I2658" s="1307"/>
      <c r="J2658" s="1720"/>
      <c r="K2658" s="1720"/>
      <c r="L2658" s="852"/>
      <c r="M2658" s="1721"/>
      <c r="N2658" s="1720"/>
      <c r="O2658" s="625"/>
      <c r="P2658" s="625"/>
      <c r="Q2658" s="625"/>
      <c r="R2658" s="1720" t="s">
        <v>2191</v>
      </c>
      <c r="T2658" s="1720" t="str">
        <f t="shared" si="517"/>
        <v/>
      </c>
    </row>
    <row r="2659" spans="1:20" s="1718" customFormat="1" x14ac:dyDescent="0.25">
      <c r="A2659" s="873" t="s">
        <v>1487</v>
      </c>
      <c r="B2659" s="852" t="str">
        <f ca="1">_xlfn.CONCAT(IFERROR(SUBSTITUTE(ADDRESS(1,MATCH(A2659,INDIRECT("'"&amp;E2659&amp;"'"&amp;"!A" &amp; $O$2635+ 2 &amp; ":Z" &amp; $O$2635 + 2),0),4),1,""),""),$O$2635+ 2)</f>
        <v>R631</v>
      </c>
      <c r="C2659" s="852" t="str">
        <f ca="1">_xlfn.CONCAT(IFERROR(SUBSTITUTE(ADDRESS(1,MATCH(A2659,INDIRECT("'"&amp;E2659&amp;"'"&amp;"!A" &amp; $O$2635+ 2 &amp; ":Z" &amp; $O$2635 + 2),0),4),1,""),""),$O$2635+ 3)</f>
        <v>R632</v>
      </c>
      <c r="D2659" s="852" t="s">
        <v>1350</v>
      </c>
      <c r="E2659" s="852" t="s">
        <v>1516</v>
      </c>
      <c r="F2659" s="1720" t="s">
        <v>1995</v>
      </c>
      <c r="G2659" s="1720" t="str">
        <f>IF(T2659&lt;&gt;"","G","")</f>
        <v/>
      </c>
      <c r="H2659" s="1720" t="s">
        <v>1990</v>
      </c>
      <c r="I2659" s="1307"/>
      <c r="J2659" s="1720"/>
      <c r="K2659" s="1720"/>
      <c r="L2659" s="852"/>
      <c r="M2659" s="1721"/>
      <c r="N2659" s="1720"/>
      <c r="O2659" s="625"/>
      <c r="P2659" s="625"/>
      <c r="Q2659" s="625"/>
      <c r="R2659" s="1720" t="s">
        <v>2191</v>
      </c>
      <c r="T2659" s="1720" t="str">
        <f t="shared" si="517"/>
        <v/>
      </c>
    </row>
    <row r="2660" spans="1:20" s="1718" customFormat="1" x14ac:dyDescent="0.25">
      <c r="A2660" s="873" t="s">
        <v>1488</v>
      </c>
      <c r="B2660" s="852" t="str">
        <f ca="1">_xlfn.CONCAT(IFERROR(SUBSTITUTE(ADDRESS(1,MATCH(A2660,INDIRECT("'"&amp;E2660&amp;"'"&amp;"!A" &amp; $O$2635+ 2 &amp; ":Z" &amp; $O$2635 + 2),0),4),1,""),""),$O$2635+ 2)</f>
        <v>T631</v>
      </c>
      <c r="C2660" s="852" t="str">
        <f ca="1">_xlfn.CONCAT(IFERROR(SUBSTITUTE(ADDRESS(1,MATCH(A2660,INDIRECT("'"&amp;E2660&amp;"'"&amp;"!A" &amp; $O$2635+ 2 &amp; ":Z" &amp; $O$2635 + 2),0),4),1,""),""),$O$2635+ 3)</f>
        <v>T632</v>
      </c>
      <c r="D2660" s="852" t="s">
        <v>1350</v>
      </c>
      <c r="E2660" s="852" t="s">
        <v>1516</v>
      </c>
      <c r="F2660" s="867" t="s">
        <v>1488</v>
      </c>
      <c r="G2660" s="1720" t="str">
        <f>IF(T2660&lt;&gt;"","AW","")</f>
        <v/>
      </c>
      <c r="H2660" s="1720" t="s">
        <v>1990</v>
      </c>
      <c r="I2660" s="1307"/>
      <c r="J2660" s="1720"/>
      <c r="K2660" s="1720"/>
      <c r="L2660" s="852"/>
      <c r="M2660" s="1721"/>
      <c r="N2660" s="1720"/>
      <c r="O2660" s="625"/>
      <c r="P2660" s="625"/>
      <c r="Q2660" s="625"/>
      <c r="R2660" s="1720" t="s">
        <v>2191</v>
      </c>
      <c r="T2660" s="1720" t="str">
        <f t="shared" si="517"/>
        <v/>
      </c>
    </row>
    <row r="2661" spans="1:20" s="1718" customFormat="1" x14ac:dyDescent="0.25">
      <c r="A2661" s="873" t="s">
        <v>1603</v>
      </c>
      <c r="B2661" s="852" t="str">
        <f ca="1">_xlfn.CONCAT(IFERROR(SUBSTITUTE(ADDRESS(1,MATCH(A2661,INDIRECT("'"&amp;E2661&amp;"'"&amp;"!A" &amp; $O$2635+ 5 &amp; ":Z" &amp; $O$2635 + 5),0),4),1,""),""),$O$2635+ 5)</f>
        <v>R634</v>
      </c>
      <c r="C2661" s="852" t="str">
        <f ca="1">_xlfn.CONCAT(IFERROR(SUBSTITUTE(ADDRESS(1,MATCH(A2661,INDIRECT("'"&amp;E2661&amp;"'"&amp;"!A" &amp; $O$2635+ 5 &amp; ":Z" &amp; $O$2635 + 5),0),4),1,""),""),$O$2635+ 6)</f>
        <v>R635</v>
      </c>
      <c r="D2661" s="852" t="s">
        <v>1350</v>
      </c>
      <c r="E2661" s="852" t="s">
        <v>1516</v>
      </c>
      <c r="F2661" s="1720" t="s">
        <v>1999</v>
      </c>
      <c r="G2661" s="1720" t="str">
        <f t="shared" ref="G2661" si="518">IF(T2661&lt;&gt;"","AB","")</f>
        <v/>
      </c>
      <c r="H2661" s="1720" t="s">
        <v>1990</v>
      </c>
      <c r="I2661" s="1307"/>
      <c r="J2661" s="1720"/>
      <c r="K2661" s="1720"/>
      <c r="L2661" s="852"/>
      <c r="M2661" s="1721"/>
      <c r="N2661" s="1720"/>
      <c r="O2661" s="625"/>
      <c r="P2661" s="625"/>
      <c r="Q2661" s="625"/>
      <c r="R2661" s="1720" t="s">
        <v>2191</v>
      </c>
      <c r="T2661" s="1720" t="str">
        <f t="shared" si="517"/>
        <v/>
      </c>
    </row>
    <row r="2662" spans="1:20" s="1718" customFormat="1" x14ac:dyDescent="0.25">
      <c r="A2662" s="873" t="s">
        <v>1604</v>
      </c>
      <c r="B2662" s="852" t="str">
        <f ca="1">_xlfn.CONCAT(IFERROR(SUBSTITUTE(ADDRESS(1,MATCH(A2662,INDIRECT("'"&amp;E2662&amp;"'"&amp;"!A" &amp; $O$2635+ 5 &amp; ":Z" &amp; $O$2635 + 5),0),4),1,""),""),$O$2635+ 5)</f>
        <v>T634</v>
      </c>
      <c r="C2662" s="852" t="str">
        <f ca="1">_xlfn.CONCAT(IFERROR(SUBSTITUTE(ADDRESS(1,MATCH(A2662,INDIRECT("'"&amp;E2662&amp;"'"&amp;"!A" &amp; $O$2635+ 5 &amp; ":Z" &amp; $O$2635 + 5),0),4),1,""),""),$O$2635+ 6)</f>
        <v>T635</v>
      </c>
      <c r="D2662" s="852" t="s">
        <v>1350</v>
      </c>
      <c r="E2662" s="852" t="s">
        <v>1516</v>
      </c>
      <c r="F2662" s="1720" t="s">
        <v>1604</v>
      </c>
      <c r="G2662" s="1720" t="str">
        <f t="shared" ref="G2662" si="519">IF(T2662&lt;&gt;"","AP","")</f>
        <v/>
      </c>
      <c r="H2662" s="1720" t="s">
        <v>1990</v>
      </c>
      <c r="I2662" s="1307"/>
      <c r="J2662" s="1720"/>
      <c r="K2662" s="1720"/>
      <c r="L2662" s="852"/>
      <c r="M2662" s="1721"/>
      <c r="N2662" s="1720"/>
      <c r="O2662" s="625"/>
      <c r="P2662" s="625"/>
      <c r="Q2662" s="625"/>
      <c r="R2662" s="1720" t="s">
        <v>2191</v>
      </c>
      <c r="T2662" s="1720" t="str">
        <f t="shared" si="517"/>
        <v/>
      </c>
    </row>
    <row r="2663" spans="1:20" s="1718" customFormat="1" x14ac:dyDescent="0.25">
      <c r="A2663" s="873" t="s">
        <v>2135</v>
      </c>
      <c r="B2663" s="852" t="str">
        <f ca="1">_xlfn.CONCAT(IFERROR(SUBSTITUTE(ADDRESS(1,MATCH(A2663,INDIRECT("'"&amp;E2663&amp;"'"&amp;"!A" &amp; $O$2635+ 8 &amp; ":Z" &amp; $O$2635 + 8),0),4),1,""),""),$O$2635 + 8)</f>
        <v>L637</v>
      </c>
      <c r="C2663" s="852" t="str">
        <f ca="1">_xlfn.CONCAT(IFERROR(SUBSTITUTE(ADDRESS(1,MATCH(A2663,INDIRECT("'"&amp;E2663&amp;"'"&amp;"!A" &amp; $O$2635+ 8 &amp; ":Z" &amp; $O$2635 + 8),0),4),1,""),""),$O$2635 + 9)</f>
        <v>L638</v>
      </c>
      <c r="D2663" s="852" t="s">
        <v>1350</v>
      </c>
      <c r="E2663" s="852" t="s">
        <v>1516</v>
      </c>
      <c r="F2663" s="1720" t="s">
        <v>2135</v>
      </c>
      <c r="G2663" s="1720" t="str">
        <f>IF(T2663&lt;&gt;"","AZ","")</f>
        <v/>
      </c>
      <c r="H2663" s="1720" t="s">
        <v>1990</v>
      </c>
      <c r="I2663" s="1307"/>
      <c r="J2663" s="1720"/>
      <c r="K2663" s="1720"/>
      <c r="L2663" s="852" t="s">
        <v>2135</v>
      </c>
      <c r="M2663" s="1721">
        <v>1628</v>
      </c>
      <c r="N2663" s="1720"/>
      <c r="O2663" s="625"/>
      <c r="P2663" s="625"/>
      <c r="Q2663" s="625"/>
      <c r="R2663" s="1720" t="s">
        <v>2191</v>
      </c>
      <c r="T2663" s="1720" t="str">
        <f t="shared" si="517"/>
        <v/>
      </c>
    </row>
    <row r="2664" spans="1:20" s="1718" customFormat="1" x14ac:dyDescent="0.25">
      <c r="A2664" s="1722" t="s">
        <v>1491</v>
      </c>
      <c r="B2664" s="852" t="str">
        <f ca="1">IFERROR(_xlfn.CONCAT("C",MATCH(A2664,INDIRECT("'"&amp;E2664&amp;"'!C"&amp;$O$2665&amp;":C"&amp;$O$2667),0)+$O$2665-1),"")</f>
        <v>C647</v>
      </c>
      <c r="C2664" s="852" t="str">
        <f ca="1">IFERROR(_xlfn.CONCAT("D",MATCH(A2664,INDIRECT("'"&amp;E2664&amp;"'!C"&amp;$O$2665&amp;":C"&amp;$O$2667),0)+$O$2665-1),"")</f>
        <v>D647</v>
      </c>
      <c r="D2664" s="852" t="s">
        <v>1350</v>
      </c>
      <c r="E2664" s="852" t="s">
        <v>1516</v>
      </c>
      <c r="F2664" s="852" t="s">
        <v>1491</v>
      </c>
      <c r="G2664" s="1720" t="str">
        <f>IF(T2664&lt;&gt;"","A","")</f>
        <v/>
      </c>
      <c r="H2664" s="1720" t="s">
        <v>1990</v>
      </c>
      <c r="I2664" s="852"/>
      <c r="J2664" s="852"/>
      <c r="K2664" s="852"/>
      <c r="L2664" s="852" t="s">
        <v>1491</v>
      </c>
      <c r="M2664" s="1369">
        <v>1629</v>
      </c>
      <c r="N2664" s="852"/>
      <c r="O2664" s="1718" t="s">
        <v>725</v>
      </c>
      <c r="R2664" s="1720" t="s">
        <v>2193</v>
      </c>
      <c r="T2664" s="1720" t="str">
        <f>IF(Q$2665="Yes",46,"")</f>
        <v/>
      </c>
    </row>
    <row r="2665" spans="1:20" s="1718" customFormat="1" x14ac:dyDescent="0.25">
      <c r="A2665" s="1722" t="s">
        <v>1705</v>
      </c>
      <c r="B2665" s="852" t="str">
        <f ca="1">_xlfn.CONCAT(IFERROR(SUBSTITUTE(ADDRESS(1,MATCH(A2665,INDIRECT("'"&amp;E2665&amp;"'"&amp;"!A" &amp; $O$2665+ 11 &amp; ":Z" &amp; $O$2665 + 11),0),4),1,""),""),$O$2665+ 11)</f>
        <v>T654</v>
      </c>
      <c r="C2665" s="852" t="str">
        <f ca="1">_xlfn.CONCAT(IFERROR(SUBSTITUTE(ADDRESS(1,MATCH(A2665,INDIRECT("'"&amp;E2665&amp;"'"&amp;"!A" &amp; $O$2665+ 11 &amp; ":Z" &amp; $O$2665 + 11),0),4),1,""),""),$O$2665+ 12)</f>
        <v>T655</v>
      </c>
      <c r="D2665" s="852" t="s">
        <v>1350</v>
      </c>
      <c r="E2665" s="852" t="s">
        <v>1516</v>
      </c>
      <c r="F2665" s="852"/>
      <c r="G2665" s="1720"/>
      <c r="H2665" s="1720"/>
      <c r="I2665" s="852"/>
      <c r="J2665" s="852"/>
      <c r="K2665" s="852"/>
      <c r="L2665" s="852" t="s">
        <v>1705</v>
      </c>
      <c r="M2665" s="1369">
        <v>1630</v>
      </c>
      <c r="N2665" s="852"/>
      <c r="O2665" s="1718">
        <f>'Configurable Tab'!H48</f>
        <v>643</v>
      </c>
      <c r="P2665" s="18" t="str">
        <f>'Configurable Tab'!J48</f>
        <v>No</v>
      </c>
      <c r="Q2665" s="1718" t="s">
        <v>648</v>
      </c>
      <c r="R2665" s="1720" t="s">
        <v>2193</v>
      </c>
      <c r="T2665" s="1720" t="str">
        <f t="shared" ref="T2665:T2674" si="520">IF(Q$2665="Yes",46,"")</f>
        <v/>
      </c>
    </row>
    <row r="2666" spans="1:20" s="1718" customFormat="1" x14ac:dyDescent="0.25">
      <c r="A2666" s="1722" t="s">
        <v>1383</v>
      </c>
      <c r="B2666" s="852" t="str">
        <f ca="1">IFERROR(_xlfn.CONCAT("C",MATCH(A2666,INDIRECT("'"&amp;E2666&amp;"'!C"&amp;$O$2665&amp;":C"&amp;$O$2667),0)+$O$2665-1),"")</f>
        <v>C645</v>
      </c>
      <c r="C2666" s="852" t="str">
        <f ca="1">IFERROR(_xlfn.CONCAT("D",MATCH(A2666,INDIRECT("'"&amp;E2666&amp;"'!C"&amp;$O$2665&amp;":C"&amp;$O$2667),0)+$O$2665-1),"")</f>
        <v>D645</v>
      </c>
      <c r="D2666" s="852" t="s">
        <v>1350</v>
      </c>
      <c r="E2666" s="852" t="s">
        <v>1516</v>
      </c>
      <c r="F2666" s="852" t="s">
        <v>1383</v>
      </c>
      <c r="G2666" s="1720" t="str">
        <f>IF(T2666&lt;&gt;"","B","")</f>
        <v/>
      </c>
      <c r="H2666" s="1720" t="s">
        <v>1990</v>
      </c>
      <c r="I2666" s="852"/>
      <c r="J2666" s="852"/>
      <c r="K2666" s="852"/>
      <c r="L2666" s="852" t="s">
        <v>1383</v>
      </c>
      <c r="M2666" s="1369">
        <v>1631</v>
      </c>
      <c r="N2666" s="852"/>
      <c r="O2666" s="1718" t="s">
        <v>726</v>
      </c>
      <c r="R2666" s="1720" t="s">
        <v>2193</v>
      </c>
      <c r="T2666" s="1720" t="str">
        <f t="shared" si="520"/>
        <v/>
      </c>
    </row>
    <row r="2667" spans="1:20" s="1718" customFormat="1" x14ac:dyDescent="0.25">
      <c r="A2667" s="1722" t="s">
        <v>1381</v>
      </c>
      <c r="B2667" s="852" t="str">
        <f ca="1">_xlfn.CONCAT(IFERROR(SUBSTITUTE(ADDRESS(1,MATCH(A2667,INDIRECT("'"&amp;E2667&amp;"'"&amp;"!A" &amp; $O$2665+ 2 &amp; ":Z" &amp; $O$2665 + 2),0),4),1,""),""),$O$2665+ 2)</f>
        <v>J645</v>
      </c>
      <c r="C2667" s="852" t="str">
        <f ca="1">_xlfn.CONCAT(IFERROR(SUBSTITUTE(ADDRESS(1,MATCH(A2667,INDIRECT("'"&amp;E2667&amp;"'"&amp;"!A" &amp; $O$2665+ 2 &amp; ":Z" &amp; $O$2665 + 2),0),4),1,""),""),$O$2665+ 3)</f>
        <v>J646</v>
      </c>
      <c r="D2667" s="852" t="s">
        <v>1350</v>
      </c>
      <c r="E2667" s="852" t="s">
        <v>1516</v>
      </c>
      <c r="F2667" s="852" t="s">
        <v>1992</v>
      </c>
      <c r="G2667" s="1720" t="str">
        <f>IF(T2667&lt;&gt;"","I","")</f>
        <v/>
      </c>
      <c r="H2667" s="1720" t="s">
        <v>1990</v>
      </c>
      <c r="I2667" s="852"/>
      <c r="J2667" s="852"/>
      <c r="K2667" s="852"/>
      <c r="L2667" s="852" t="s">
        <v>1381</v>
      </c>
      <c r="M2667" s="1369">
        <v>1632</v>
      </c>
      <c r="N2667" s="852"/>
      <c r="O2667" s="1718">
        <f>'Configurable Tab'!I48</f>
        <v>656</v>
      </c>
      <c r="R2667" s="1720" t="s">
        <v>2193</v>
      </c>
      <c r="T2667" s="1720" t="str">
        <f t="shared" si="520"/>
        <v/>
      </c>
    </row>
    <row r="2668" spans="1:20" s="1718" customFormat="1" x14ac:dyDescent="0.25">
      <c r="A2668" s="1722" t="s">
        <v>1382</v>
      </c>
      <c r="B2668" s="852" t="str">
        <f ca="1">_xlfn.CONCAT(IFERROR(SUBSTITUTE(ADDRESS(1,MATCH(A2668,INDIRECT("'"&amp;E2668&amp;"'"&amp;"!A" &amp; $O$2665+ 2 &amp; ":Z" &amp; $O$2665 + 2),0),4),1,""),""),$O$2665+ 2)</f>
        <v>N645</v>
      </c>
      <c r="C2668" s="852" t="str">
        <f ca="1">_xlfn.CONCAT(IFERROR(SUBSTITUTE(ADDRESS(1,MATCH(A2668,INDIRECT("'"&amp;E2668&amp;"'"&amp;"!A" &amp; $O$2665+ 2 &amp; ":Z" &amp; $O$2665 + 2),0),4),1,""),""),$O$2665+ 3)</f>
        <v>N646</v>
      </c>
      <c r="D2668" s="852" t="s">
        <v>1350</v>
      </c>
      <c r="E2668" s="852" t="s">
        <v>1516</v>
      </c>
      <c r="F2668" s="852" t="s">
        <v>1382</v>
      </c>
      <c r="G2668" s="1720" t="str">
        <f>IF(T2668&lt;&gt;"",IF(Q2667="Credit Memo","J",IF(Q2667="Check","K","")),"")</f>
        <v/>
      </c>
      <c r="H2668" s="1720" t="s">
        <v>1990</v>
      </c>
      <c r="I2668" s="852"/>
      <c r="J2668" s="852"/>
      <c r="K2668" s="852"/>
      <c r="L2668" s="852" t="s">
        <v>1382</v>
      </c>
      <c r="M2668" s="1369">
        <v>1633</v>
      </c>
      <c r="N2668" s="852"/>
      <c r="O2668" s="1718" t="s">
        <v>2203</v>
      </c>
      <c r="R2668" s="1720" t="s">
        <v>2193</v>
      </c>
      <c r="T2668" s="1720" t="str">
        <f t="shared" si="520"/>
        <v/>
      </c>
    </row>
    <row r="2669" spans="1:20" s="1718" customFormat="1" x14ac:dyDescent="0.25">
      <c r="A2669" s="1722" t="s">
        <v>1385</v>
      </c>
      <c r="B2669" s="852" t="str">
        <f ca="1">IFERROR(_xlfn.CONCAT("C",MATCH(A2669,INDIRECT("'"&amp;E2669&amp;"'!C"&amp;$O$2665&amp;":C"&amp;$O$2667),0)+$O$2665-1),"")</f>
        <v>C649</v>
      </c>
      <c r="C2669" s="852" t="str">
        <f ca="1">IFERROR(_xlfn.CONCAT("D",MATCH(A2669,INDIRECT("'"&amp;E2669&amp;"'!C"&amp;$O$2665&amp;":C"&amp;$O$2667),0)+$O$2665-1),"")</f>
        <v>D649</v>
      </c>
      <c r="D2669" s="852" t="s">
        <v>1350</v>
      </c>
      <c r="E2669" s="852" t="s">
        <v>1516</v>
      </c>
      <c r="F2669" s="852" t="s">
        <v>1385</v>
      </c>
      <c r="G2669" s="1720" t="str">
        <f>IF(T2669&lt;&gt;"","C","")</f>
        <v/>
      </c>
      <c r="H2669" s="1720" t="s">
        <v>1990</v>
      </c>
      <c r="I2669" s="852"/>
      <c r="J2669" s="852"/>
      <c r="K2669" s="852"/>
      <c r="L2669" s="852" t="s">
        <v>1385</v>
      </c>
      <c r="M2669" s="1369">
        <v>1634</v>
      </c>
      <c r="N2669" s="852"/>
      <c r="R2669" s="1720" t="s">
        <v>2193</v>
      </c>
      <c r="T2669" s="1720" t="str">
        <f t="shared" si="520"/>
        <v/>
      </c>
    </row>
    <row r="2670" spans="1:20" s="1718" customFormat="1" x14ac:dyDescent="0.25">
      <c r="A2670" s="1722" t="s">
        <v>1386</v>
      </c>
      <c r="B2670" s="852" t="str">
        <f ca="1">IFERROR(_xlfn.CONCAT("C",MATCH(A2670,INDIRECT("'"&amp;E2670&amp;"'!C"&amp;$O$2665&amp;":C"&amp;$O$2667),0)+$O$2665-1),"")</f>
        <v>C651</v>
      </c>
      <c r="C2670" s="852" t="str">
        <f ca="1">IFERROR(_xlfn.CONCAT("D",MATCH(A2670,INDIRECT("'"&amp;E2670&amp;"'!C"&amp;$O$2665&amp;":C"&amp;$O$2667),0)+$O$2665-1),"")</f>
        <v>D651</v>
      </c>
      <c r="D2670" s="852" t="s">
        <v>1350</v>
      </c>
      <c r="E2670" s="852" t="s">
        <v>1516</v>
      </c>
      <c r="F2670" s="852" t="s">
        <v>1386</v>
      </c>
      <c r="G2670" s="1720" t="str">
        <f>IF(T2670&lt;&gt;"","D","")</f>
        <v/>
      </c>
      <c r="H2670" s="1720" t="s">
        <v>1990</v>
      </c>
      <c r="I2670" s="852"/>
      <c r="J2670" s="852"/>
      <c r="K2670" s="852"/>
      <c r="L2670" s="852" t="s">
        <v>1386</v>
      </c>
      <c r="M2670" s="1369">
        <v>1635</v>
      </c>
      <c r="N2670" s="852"/>
      <c r="R2670" s="1720" t="s">
        <v>2193</v>
      </c>
      <c r="T2670" s="1720" t="str">
        <f t="shared" si="520"/>
        <v/>
      </c>
    </row>
    <row r="2671" spans="1:20" s="1718" customFormat="1" x14ac:dyDescent="0.25">
      <c r="A2671" s="1722" t="s">
        <v>1396</v>
      </c>
      <c r="B2671" s="852" t="str">
        <f ca="1">_xlfn.CONCAT(IFERROR(SUBSTITUTE(ADDRESS(1,MATCH(A2671,INDIRECT("'"&amp;E2671&amp;"'"&amp;"!A" &amp; $O$2665+ 5 &amp; ":Z" &amp; $O$2665 + 5),0),4),1,""),""),$O$2665+ 5)</f>
        <v>H648</v>
      </c>
      <c r="C2671" s="852" t="str">
        <f ca="1">_xlfn.CONCAT(IFERROR(SUBSTITUTE(ADDRESS(1,MATCH(A2671,INDIRECT("'"&amp;E2671&amp;"'"&amp;"!A" &amp; $O$2665+ 5 &amp; ":Z" &amp; $O$2665 + 5),0),4),1,""),""),$O$2665+ 6)</f>
        <v>H649</v>
      </c>
      <c r="D2671" s="852" t="s">
        <v>1350</v>
      </c>
      <c r="E2671" s="852" t="s">
        <v>1516</v>
      </c>
      <c r="F2671" s="1720" t="s">
        <v>1396</v>
      </c>
      <c r="G2671" s="1720" t="str">
        <f>IF(T2671&lt;&gt;"","S","")</f>
        <v/>
      </c>
      <c r="H2671" s="1720" t="s">
        <v>1990</v>
      </c>
      <c r="I2671" s="852"/>
      <c r="J2671" s="852"/>
      <c r="K2671" s="852"/>
      <c r="L2671" s="852" t="s">
        <v>1396</v>
      </c>
      <c r="M2671" s="1369">
        <v>1636</v>
      </c>
      <c r="N2671" s="852"/>
      <c r="R2671" s="1720" t="s">
        <v>2193</v>
      </c>
      <c r="T2671" s="1720" t="str">
        <f t="shared" si="520"/>
        <v/>
      </c>
    </row>
    <row r="2672" spans="1:20" s="1718" customFormat="1" x14ac:dyDescent="0.25">
      <c r="A2672" s="1722" t="s">
        <v>2005</v>
      </c>
      <c r="B2672" s="852" t="str">
        <f ca="1">_xlfn.CONCAT(IFERROR(SUBSTITUTE(ADDRESS(1,MATCH(A2672,INDIRECT("'"&amp;E2672&amp;"'"&amp;"!A" &amp; $O$2665+ 8 &amp; ":Z" &amp; $O$2665 + 8),0),4),1,""),""),$O$2665 + 8)</f>
        <v>J651</v>
      </c>
      <c r="C2672" s="852" t="str">
        <f ca="1">_xlfn.CONCAT(IFERROR(SUBSTITUTE(ADDRESS(1,MATCH(A2672,INDIRECT("'"&amp;E2672&amp;"'"&amp;"!A" &amp; $O$2665+ 8 &amp; ":Z" &amp; $O$2665 + 8),0),4),1,""),""),$O$2665 + 9)</f>
        <v>J652</v>
      </c>
      <c r="D2672" s="852" t="s">
        <v>1350</v>
      </c>
      <c r="E2672" s="852" t="s">
        <v>1516</v>
      </c>
      <c r="F2672" s="852" t="s">
        <v>2005</v>
      </c>
      <c r="G2672" s="1720" t="str">
        <f>IF(T2672&lt;&gt;"","AQ","")</f>
        <v/>
      </c>
      <c r="H2672" s="1720" t="s">
        <v>1990</v>
      </c>
      <c r="I2672" s="852"/>
      <c r="J2672" s="852"/>
      <c r="K2672" s="852"/>
      <c r="L2672" s="852" t="s">
        <v>2005</v>
      </c>
      <c r="M2672" s="1369">
        <v>1637</v>
      </c>
      <c r="N2672" s="852"/>
      <c r="R2672" s="1720" t="s">
        <v>2193</v>
      </c>
      <c r="T2672" s="1720" t="str">
        <f t="shared" si="520"/>
        <v/>
      </c>
    </row>
    <row r="2673" spans="1:20" s="1718" customFormat="1" x14ac:dyDescent="0.25">
      <c r="A2673" s="1722" t="s">
        <v>1482</v>
      </c>
      <c r="B2673" s="852" t="str">
        <f ca="1">_xlfn.CONCAT(IFERROR(SUBSTITUTE(ADDRESS(1,MATCH(A2673,INDIRECT("'"&amp;E2673&amp;"'"&amp;"!A" &amp; $O$2665+ 8 &amp; ":Z" &amp; $O$2665 + 8),0),4),1,""),""),$O$2665 + 8)</f>
        <v>N651</v>
      </c>
      <c r="C2673" s="852" t="str">
        <f ca="1">_xlfn.CONCAT(IFERROR(SUBSTITUTE(ADDRESS(1,MATCH(A2673,INDIRECT("'"&amp;E2673&amp;"'"&amp;"!A" &amp; $O$2665+ 8 &amp; ":Z" &amp; $O$2665 + 8),0),4),1,""),""),$O$2665 + 9)</f>
        <v>N652</v>
      </c>
      <c r="D2673" s="852" t="s">
        <v>1350</v>
      </c>
      <c r="E2673" s="852" t="s">
        <v>1516</v>
      </c>
      <c r="F2673" s="852" t="s">
        <v>2054</v>
      </c>
      <c r="G2673" s="1720" t="str">
        <f>IF(T2673&lt;&gt;"","AA","")</f>
        <v/>
      </c>
      <c r="H2673" s="1720" t="s">
        <v>1990</v>
      </c>
      <c r="I2673" s="852"/>
      <c r="J2673" s="852"/>
      <c r="K2673" s="852"/>
      <c r="L2673" s="852" t="s">
        <v>2006</v>
      </c>
      <c r="M2673" s="1369">
        <v>1638</v>
      </c>
      <c r="N2673" s="852"/>
      <c r="R2673" s="1720" t="s">
        <v>2193</v>
      </c>
      <c r="T2673" s="1720" t="str">
        <f t="shared" si="520"/>
        <v/>
      </c>
    </row>
    <row r="2674" spans="1:20" s="1718" customFormat="1" x14ac:dyDescent="0.25">
      <c r="A2674" s="1722" t="s">
        <v>1397</v>
      </c>
      <c r="B2674" s="852" t="str">
        <f ca="1">_xlfn.CONCAT(IFERROR(SUBSTITUTE(ADDRESS(1,MATCH(A2674,INDIRECT("'"&amp;E2674&amp;"'"&amp;"!A" &amp; $O$2665+ 2 &amp; ":Z" &amp; $O$2665 + 2),0),4),1,""),""),$O$2665 + 2)</f>
        <v>L645</v>
      </c>
      <c r="C2674" s="852" t="str">
        <f ca="1">_xlfn.CONCAT(IFERROR(SUBSTITUTE(ADDRESS(1,MATCH(A2674,INDIRECT("'"&amp;E2674&amp;"'"&amp;"!A" &amp; $O$2665+ 2 &amp; ":Z" &amp; $O$2665 + 2),0),4),1,""),""),$O$2665 + 3)</f>
        <v>L646</v>
      </c>
      <c r="D2674" s="852" t="s">
        <v>1350</v>
      </c>
      <c r="E2674" s="852" t="s">
        <v>1516</v>
      </c>
      <c r="F2674" s="852" t="s">
        <v>1993</v>
      </c>
      <c r="G2674" s="1720" t="str">
        <f>IF(T2674&lt;&gt;"","H","")</f>
        <v/>
      </c>
      <c r="H2674" s="1720" t="s">
        <v>1990</v>
      </c>
      <c r="I2674" s="852"/>
      <c r="J2674" s="852"/>
      <c r="K2674" s="852"/>
      <c r="L2674" s="852" t="s">
        <v>1397</v>
      </c>
      <c r="M2674" s="1369">
        <v>1639</v>
      </c>
      <c r="N2674" s="852"/>
      <c r="R2674" s="1720" t="s">
        <v>2193</v>
      </c>
      <c r="T2674" s="1720" t="str">
        <f t="shared" si="520"/>
        <v/>
      </c>
    </row>
    <row r="2675" spans="1:20" s="1718" customFormat="1" x14ac:dyDescent="0.25">
      <c r="A2675" s="1722" t="s">
        <v>1705</v>
      </c>
      <c r="B2675" s="1307" t="str">
        <f>IFERROR(_xlfn.CONCAT("D",('Configurable Tab'!$C$23+1)),"")</f>
        <v>D226</v>
      </c>
      <c r="C2675" s="1307" t="str">
        <f>IFERROR(_xlfn.CONCAT("E",('Configurable Tab'!$C$23+1)),"")</f>
        <v>E226</v>
      </c>
      <c r="D2675" s="852" t="s">
        <v>1350</v>
      </c>
      <c r="E2675" s="852" t="s">
        <v>1742</v>
      </c>
      <c r="F2675" s="1720"/>
      <c r="G2675" s="1720"/>
      <c r="H2675" s="1720"/>
      <c r="I2675" s="1307" t="str">
        <f t="shared" ref="I2675:I2685" si="521">IF(J2675&lt;&gt;"",A2675,"")</f>
        <v/>
      </c>
      <c r="J2675" s="1720" t="str">
        <f t="shared" ref="J2675:J2684" si="522">IFERROR(IF($Q$2665="Yes",Q$1&amp;M2665,""),"")</f>
        <v/>
      </c>
      <c r="K2675" s="1720" t="str">
        <f t="shared" ref="K2675:K2685" si="523">IF(J2675&lt;&gt;"",E2675,"")</f>
        <v/>
      </c>
      <c r="M2675" s="1719"/>
      <c r="Q2675" s="1307" t="str">
        <f>IFERROR(_xlfn.CONCAT("C",('Configurable Tab'!$C33+1)),"")</f>
        <v>C336</v>
      </c>
      <c r="R2675" s="1720" t="s">
        <v>2193</v>
      </c>
    </row>
    <row r="2676" spans="1:20" s="1718" customFormat="1" x14ac:dyDescent="0.25">
      <c r="A2676" s="1722" t="s">
        <v>1383</v>
      </c>
      <c r="B2676" s="1307" t="str">
        <f>IFERROR(_xlfn.CONCAT("D",('Configurable Tab'!$C$23+2)),"")</f>
        <v>D227</v>
      </c>
      <c r="C2676" s="1307" t="str">
        <f>IFERROR(_xlfn.CONCAT("E",('Configurable Tab'!$C$23+2)),"")</f>
        <v>E227</v>
      </c>
      <c r="D2676" s="852" t="s">
        <v>1350</v>
      </c>
      <c r="E2676" s="852" t="s">
        <v>1742</v>
      </c>
      <c r="F2676" s="1720"/>
      <c r="G2676" s="1720"/>
      <c r="H2676" s="1720"/>
      <c r="I2676" s="1307" t="str">
        <f t="shared" si="521"/>
        <v/>
      </c>
      <c r="J2676" s="1720" t="str">
        <f t="shared" si="522"/>
        <v/>
      </c>
      <c r="K2676" s="1720" t="str">
        <f t="shared" si="523"/>
        <v/>
      </c>
      <c r="M2676" s="1719"/>
      <c r="R2676" s="1720" t="s">
        <v>2193</v>
      </c>
    </row>
    <row r="2677" spans="1:20" s="1718" customFormat="1" x14ac:dyDescent="0.25">
      <c r="A2677" s="1722" t="s">
        <v>1381</v>
      </c>
      <c r="B2677" s="1307" t="str">
        <f>IFERROR(_xlfn.CONCAT("I",('Configurable Tab'!$C$23+1)),"")</f>
        <v>I226</v>
      </c>
      <c r="C2677" s="1307" t="str">
        <f>IFERROR(_xlfn.CONCAT("I",('Configurable Tab'!$C$23+2)),"")</f>
        <v>I227</v>
      </c>
      <c r="D2677" s="852" t="s">
        <v>1350</v>
      </c>
      <c r="E2677" s="852" t="s">
        <v>1742</v>
      </c>
      <c r="F2677" s="1720"/>
      <c r="G2677" s="1720"/>
      <c r="H2677" s="1720"/>
      <c r="I2677" s="1307" t="str">
        <f t="shared" si="521"/>
        <v/>
      </c>
      <c r="J2677" s="1720" t="str">
        <f t="shared" si="522"/>
        <v/>
      </c>
      <c r="K2677" s="1720" t="str">
        <f t="shared" si="523"/>
        <v/>
      </c>
      <c r="M2677" s="1719"/>
      <c r="R2677" s="1720" t="s">
        <v>2193</v>
      </c>
    </row>
    <row r="2678" spans="1:20" s="1718" customFormat="1" x14ac:dyDescent="0.25">
      <c r="A2678" s="1722" t="s">
        <v>1382</v>
      </c>
      <c r="B2678" s="1307" t="str">
        <f>IFERROR(_xlfn.CONCAT("M",('Configurable Tab'!$C$23+1)),"")</f>
        <v>M226</v>
      </c>
      <c r="C2678" s="1307" t="str">
        <f>IFERROR(_xlfn.CONCAT("M",('Configurable Tab'!$C$23+2)),"")</f>
        <v>M227</v>
      </c>
      <c r="D2678" s="852" t="s">
        <v>1350</v>
      </c>
      <c r="E2678" s="852" t="s">
        <v>1742</v>
      </c>
      <c r="F2678" s="1720"/>
      <c r="G2678" s="1720"/>
      <c r="H2678" s="1720"/>
      <c r="I2678" s="1307" t="str">
        <f t="shared" si="521"/>
        <v/>
      </c>
      <c r="J2678" s="1720" t="str">
        <f t="shared" si="522"/>
        <v/>
      </c>
      <c r="K2678" s="1720" t="str">
        <f t="shared" si="523"/>
        <v/>
      </c>
      <c r="M2678" s="1719"/>
      <c r="R2678" s="1720" t="s">
        <v>2193</v>
      </c>
    </row>
    <row r="2679" spans="1:20" s="1718" customFormat="1" x14ac:dyDescent="0.25">
      <c r="A2679" s="1722" t="s">
        <v>1385</v>
      </c>
      <c r="B2679" s="1307" t="str">
        <f>IFERROR(_xlfn.CONCAT("D",('Configurable Tab'!$C$23+4)),"")</f>
        <v>D229</v>
      </c>
      <c r="C2679" s="1307" t="str">
        <f>IFERROR(_xlfn.CONCAT("E",('Configurable Tab'!$C$23+4)),"")</f>
        <v>E229</v>
      </c>
      <c r="D2679" s="852" t="s">
        <v>1350</v>
      </c>
      <c r="E2679" s="852" t="s">
        <v>1742</v>
      </c>
      <c r="F2679" s="1720"/>
      <c r="G2679" s="1720"/>
      <c r="H2679" s="1720"/>
      <c r="I2679" s="1307" t="str">
        <f t="shared" si="521"/>
        <v/>
      </c>
      <c r="J2679" s="1720" t="str">
        <f t="shared" si="522"/>
        <v/>
      </c>
      <c r="K2679" s="1720" t="str">
        <f t="shared" si="523"/>
        <v/>
      </c>
      <c r="M2679" s="1719"/>
      <c r="R2679" s="1720" t="s">
        <v>2193</v>
      </c>
    </row>
    <row r="2680" spans="1:20" s="1718" customFormat="1" x14ac:dyDescent="0.25">
      <c r="A2680" s="1722" t="s">
        <v>1386</v>
      </c>
      <c r="B2680" s="1307" t="str">
        <f>IFERROR(_xlfn.CONCAT("D",('Configurable Tab'!$C$23+5)),"")</f>
        <v>D230</v>
      </c>
      <c r="C2680" s="1307" t="str">
        <f>IFERROR(_xlfn.CONCAT("E",('Configurable Tab'!$C$23+5)),"")</f>
        <v>E230</v>
      </c>
      <c r="D2680" s="852" t="s">
        <v>1350</v>
      </c>
      <c r="E2680" s="852" t="s">
        <v>1742</v>
      </c>
      <c r="F2680" s="1720"/>
      <c r="G2680" s="1720"/>
      <c r="H2680" s="1720"/>
      <c r="I2680" s="1307" t="str">
        <f t="shared" si="521"/>
        <v/>
      </c>
      <c r="J2680" s="1720" t="str">
        <f t="shared" si="522"/>
        <v/>
      </c>
      <c r="K2680" s="1720" t="str">
        <f t="shared" si="523"/>
        <v/>
      </c>
      <c r="M2680" s="1719"/>
      <c r="R2680" s="1720" t="s">
        <v>2193</v>
      </c>
    </row>
    <row r="2681" spans="1:20" s="1718" customFormat="1" x14ac:dyDescent="0.25">
      <c r="A2681" s="1722" t="s">
        <v>1396</v>
      </c>
      <c r="B2681" s="1307" t="str">
        <f>IFERROR(_xlfn.CONCAT("G",('Configurable Tab'!$C$23+7)),"")</f>
        <v>G232</v>
      </c>
      <c r="C2681" s="1307" t="str">
        <f>IFERROR(_xlfn.CONCAT("G",('Configurable Tab'!$C$23+8)),"")</f>
        <v>G233</v>
      </c>
      <c r="D2681" s="852" t="s">
        <v>1350</v>
      </c>
      <c r="E2681" s="852" t="s">
        <v>1742</v>
      </c>
      <c r="F2681" s="1720"/>
      <c r="G2681" s="1720"/>
      <c r="H2681" s="1720"/>
      <c r="I2681" s="1307" t="str">
        <f t="shared" si="521"/>
        <v/>
      </c>
      <c r="J2681" s="1720" t="str">
        <f t="shared" si="522"/>
        <v/>
      </c>
      <c r="K2681" s="1720" t="str">
        <f t="shared" si="523"/>
        <v/>
      </c>
      <c r="M2681" s="1719"/>
      <c r="R2681" s="1720" t="s">
        <v>2193</v>
      </c>
    </row>
    <row r="2682" spans="1:20" s="1718" customFormat="1" x14ac:dyDescent="0.25">
      <c r="A2682" s="1722" t="s">
        <v>2005</v>
      </c>
      <c r="B2682" s="1307" t="str">
        <f>IFERROR(_xlfn.CONCAT("G",('Configurable Tab'!$C$23+7)),"")</f>
        <v>G232</v>
      </c>
      <c r="C2682" s="1307" t="str">
        <f>IFERROR(_xlfn.CONCAT("G",('Configurable Tab'!$C$23+8)),"")</f>
        <v>G233</v>
      </c>
      <c r="D2682" s="852" t="s">
        <v>1350</v>
      </c>
      <c r="E2682" s="852" t="s">
        <v>1742</v>
      </c>
      <c r="F2682" s="1720"/>
      <c r="G2682" s="1720"/>
      <c r="H2682" s="1720"/>
      <c r="I2682" s="1307" t="str">
        <f t="shared" si="521"/>
        <v/>
      </c>
      <c r="J2682" s="1720" t="str">
        <f t="shared" si="522"/>
        <v/>
      </c>
      <c r="K2682" s="1720" t="str">
        <f t="shared" si="523"/>
        <v/>
      </c>
      <c r="M2682" s="1719"/>
      <c r="R2682" s="1720" t="s">
        <v>2193</v>
      </c>
    </row>
    <row r="2683" spans="1:20" s="1718" customFormat="1" x14ac:dyDescent="0.25">
      <c r="A2683" s="1722" t="s">
        <v>1482</v>
      </c>
      <c r="B2683" s="1307" t="str">
        <f>IFERROR(_xlfn.CONCAT("K",('Configurable Tab'!$C$23+7)),"")</f>
        <v>K232</v>
      </c>
      <c r="C2683" s="1307" t="str">
        <f>IFERROR(_xlfn.CONCAT("K",('Configurable Tab'!$C$23+8)),"")</f>
        <v>K233</v>
      </c>
      <c r="D2683" s="852" t="s">
        <v>1350</v>
      </c>
      <c r="E2683" s="852" t="s">
        <v>1742</v>
      </c>
      <c r="F2683" s="1720"/>
      <c r="G2683" s="1720"/>
      <c r="H2683" s="1720"/>
      <c r="I2683" s="1307" t="str">
        <f t="shared" si="521"/>
        <v/>
      </c>
      <c r="J2683" s="1720" t="str">
        <f t="shared" si="522"/>
        <v/>
      </c>
      <c r="K2683" s="1720" t="str">
        <f t="shared" si="523"/>
        <v/>
      </c>
      <c r="M2683" s="1719"/>
      <c r="R2683" s="1720" t="s">
        <v>2193</v>
      </c>
    </row>
    <row r="2684" spans="1:20" s="1718" customFormat="1" x14ac:dyDescent="0.25">
      <c r="A2684" s="1722" t="s">
        <v>1397</v>
      </c>
      <c r="B2684" s="1307" t="str">
        <f>IFERROR(_xlfn.CONCAT("K",('Configurable Tab'!$C$23+1)),"")</f>
        <v>K226</v>
      </c>
      <c r="C2684" s="1307" t="str">
        <f>IFERROR(_xlfn.CONCAT("K",('Configurable Tab'!$C$23+2)),"")</f>
        <v>K227</v>
      </c>
      <c r="D2684" s="852" t="s">
        <v>1350</v>
      </c>
      <c r="E2684" s="852" t="s">
        <v>1742</v>
      </c>
      <c r="F2684" s="1720"/>
      <c r="G2684" s="1720"/>
      <c r="H2684" s="1720"/>
      <c r="I2684" s="1307" t="str">
        <f t="shared" si="521"/>
        <v/>
      </c>
      <c r="J2684" s="1720" t="str">
        <f t="shared" si="522"/>
        <v/>
      </c>
      <c r="K2684" s="1720" t="str">
        <f t="shared" si="523"/>
        <v/>
      </c>
      <c r="M2684" s="1719"/>
      <c r="R2684" s="1720" t="s">
        <v>2193</v>
      </c>
    </row>
    <row r="2685" spans="1:20" s="1718" customFormat="1" x14ac:dyDescent="0.25">
      <c r="A2685" s="1722" t="s">
        <v>1496</v>
      </c>
      <c r="B2685" s="852" t="str">
        <f ca="1">IFERROR(_xlfn.CONCAT("C",MATCH(A2685,INDIRECT("'"&amp;E2685&amp;"'!C"&amp;$O$2665&amp;":C"&amp;$O$2667),0)+$O$2665-1),"")</f>
        <v>C655</v>
      </c>
      <c r="C2685" s="852" t="str">
        <f ca="1">IFERROR(_xlfn.CONCAT("D",MATCH(A2685,INDIRECT("'"&amp;E2685&amp;"'!C"&amp;$O$2665&amp;":C"&amp;$O$2667),0)+$O$2665-1),"")</f>
        <v>D655</v>
      </c>
      <c r="D2685" s="852" t="s">
        <v>1350</v>
      </c>
      <c r="E2685" s="852" t="s">
        <v>1516</v>
      </c>
      <c r="F2685" s="1720" t="s">
        <v>1496</v>
      </c>
      <c r="G2685" s="1720" t="str">
        <f t="shared" ref="G2685" si="524">IF(T2685&lt;&gt;"","AS","")</f>
        <v/>
      </c>
      <c r="H2685" s="1720" t="s">
        <v>1990</v>
      </c>
      <c r="I2685" s="1307" t="str">
        <f t="shared" si="521"/>
        <v/>
      </c>
      <c r="J2685" s="1720"/>
      <c r="K2685" s="1720" t="str">
        <f t="shared" si="523"/>
        <v/>
      </c>
      <c r="L2685" s="852"/>
      <c r="M2685" s="1721"/>
      <c r="N2685" s="1720"/>
      <c r="R2685" s="1720" t="s">
        <v>2193</v>
      </c>
      <c r="T2685" s="1720" t="str">
        <f>IF(Q$2665="Yes",46,"")</f>
        <v/>
      </c>
    </row>
    <row r="2686" spans="1:20" s="1718" customFormat="1" x14ac:dyDescent="0.25">
      <c r="A2686" s="1723" t="s">
        <v>1495</v>
      </c>
      <c r="B2686" s="852" t="str">
        <f ca="1">IFERROR(_xlfn.CONCAT("C",MATCH(A2686,INDIRECT("'"&amp;E2686&amp;"'!C"&amp;$O$2665&amp;":C"&amp;$O$2667),0)+$O$2665-1),"")</f>
        <v>C653</v>
      </c>
      <c r="C2686" s="852" t="str">
        <f ca="1">IFERROR(_xlfn.CONCAT("D",MATCH(A2686,INDIRECT("'"&amp;E2686&amp;"'!C"&amp;$O$2665&amp;":C"&amp;$O$2667),0)+$O$2665-1),"")</f>
        <v>D653</v>
      </c>
      <c r="D2686" s="852" t="s">
        <v>1350</v>
      </c>
      <c r="E2686" s="852" t="s">
        <v>1516</v>
      </c>
      <c r="F2686" s="1720" t="s">
        <v>1495</v>
      </c>
      <c r="G2686" s="1720" t="str">
        <f>IF(T2686&lt;&gt;"","AN","")</f>
        <v/>
      </c>
      <c r="H2686" s="1720" t="s">
        <v>1990</v>
      </c>
      <c r="I2686" s="1307"/>
      <c r="J2686" s="1720"/>
      <c r="K2686" s="1720"/>
      <c r="L2686" s="852"/>
      <c r="M2686" s="1721"/>
      <c r="N2686" s="1720"/>
      <c r="O2686" s="1606"/>
      <c r="P2686" s="625"/>
      <c r="Q2686" s="625"/>
      <c r="R2686" s="1720" t="s">
        <v>2193</v>
      </c>
      <c r="T2686" s="1720" t="str">
        <f t="shared" ref="T2686:T2693" si="525">IF(Q$2665="Yes",46,"")</f>
        <v/>
      </c>
    </row>
    <row r="2687" spans="1:20" s="1718" customFormat="1" x14ac:dyDescent="0.25">
      <c r="A2687" s="1723" t="s">
        <v>1492</v>
      </c>
      <c r="B2687" s="852" t="str">
        <f ca="1">_xlfn.CONCAT(IFERROR(SUBSTITUTE(ADDRESS(1,MATCH(A2687,INDIRECT("'"&amp;E2687&amp;"'"&amp;"!A" &amp; $O$2665+ 8 &amp; ":Z" &amp; $O$2665 + 8),0),4),1,""),""),$O$2665 + 8)</f>
        <v>H651</v>
      </c>
      <c r="C2687" s="852" t="str">
        <f ca="1">_xlfn.CONCAT(IFERROR(SUBSTITUTE(ADDRESS(1,MATCH(A2687,INDIRECT("'"&amp;E2687&amp;"'"&amp;"!A" &amp; $O$2665+ 8 &amp; ":Z" &amp; $O$2665 + 8),0),4),1,""),""),$O$2665 + 9)</f>
        <v>H652</v>
      </c>
      <c r="D2687" s="852" t="s">
        <v>1350</v>
      </c>
      <c r="E2687" s="852" t="s">
        <v>1516</v>
      </c>
      <c r="F2687" s="1720" t="s">
        <v>1492</v>
      </c>
      <c r="G2687" s="1720" t="str">
        <f>IF(T2687&lt;&gt;"","AL","")</f>
        <v/>
      </c>
      <c r="H2687" s="1720" t="s">
        <v>1990</v>
      </c>
      <c r="I2687" s="1307"/>
      <c r="J2687" s="1720"/>
      <c r="K2687" s="1720"/>
      <c r="L2687" s="852"/>
      <c r="M2687" s="1721"/>
      <c r="N2687" s="1720"/>
      <c r="O2687" s="625"/>
      <c r="P2687" s="625"/>
      <c r="Q2687" s="625"/>
      <c r="R2687" s="1720" t="s">
        <v>2193</v>
      </c>
      <c r="T2687" s="1720" t="str">
        <f t="shared" si="525"/>
        <v/>
      </c>
    </row>
    <row r="2688" spans="1:20" s="1718" customFormat="1" x14ac:dyDescent="0.25">
      <c r="A2688" s="1723" t="s">
        <v>1380</v>
      </c>
      <c r="B2688" s="852" t="str">
        <f ca="1">_xlfn.CONCAT(IFERROR(SUBSTITUTE(ADDRESS(1,MATCH(A2688,INDIRECT("'"&amp;E2688&amp;"'"&amp;"!A" &amp; $O$2665+ 2 &amp; ":Z" &amp; $O$2665 + 2),0),4),1,""),""),$O$2665+ 2)</f>
        <v>H645</v>
      </c>
      <c r="C2688" s="852" t="str">
        <f ca="1">_xlfn.CONCAT(IFERROR(SUBSTITUTE(ADDRESS(1,MATCH(A2688,INDIRECT("'"&amp;E2688&amp;"'"&amp;"!A" &amp; $O$2665+ 2 &amp; ":Z" &amp; $O$2665 + 2),0),4),1,""),""),$O$2665+ 3)</f>
        <v>H646</v>
      </c>
      <c r="D2688" s="852" t="s">
        <v>1350</v>
      </c>
      <c r="E2688" s="852" t="s">
        <v>1516</v>
      </c>
      <c r="F2688" s="1720" t="s">
        <v>1991</v>
      </c>
      <c r="G2688" s="1720" t="str">
        <f>IF(T2688&lt;&gt;"","E","")</f>
        <v/>
      </c>
      <c r="H2688" s="1720" t="s">
        <v>1990</v>
      </c>
      <c r="I2688" s="1307"/>
      <c r="J2688" s="1720"/>
      <c r="K2688" s="1720"/>
      <c r="L2688" s="852"/>
      <c r="M2688" s="1721"/>
      <c r="N2688" s="1720"/>
      <c r="O2688" s="625"/>
      <c r="P2688" s="625"/>
      <c r="Q2688" s="625"/>
      <c r="R2688" s="1720" t="s">
        <v>2193</v>
      </c>
      <c r="T2688" s="1720" t="str">
        <f t="shared" si="525"/>
        <v/>
      </c>
    </row>
    <row r="2689" spans="1:20" s="1718" customFormat="1" x14ac:dyDescent="0.25">
      <c r="A2689" s="1723" t="s">
        <v>1487</v>
      </c>
      <c r="B2689" s="852" t="str">
        <f ca="1">_xlfn.CONCAT(IFERROR(SUBSTITUTE(ADDRESS(1,MATCH(A2689,INDIRECT("'"&amp;E2689&amp;"'"&amp;"!A" &amp; $O$2665+ 2 &amp; ":Z" &amp; $O$2665 + 2),0),4),1,""),""),$O$2665+ 2)</f>
        <v>R645</v>
      </c>
      <c r="C2689" s="852" t="str">
        <f ca="1">_xlfn.CONCAT(IFERROR(SUBSTITUTE(ADDRESS(1,MATCH(A2689,INDIRECT("'"&amp;E2689&amp;"'"&amp;"!A" &amp; $O$2665+ 2 &amp; ":Z" &amp; $O$2665 + 2),0),4),1,""),""),$O$2665+ 3)</f>
        <v>R646</v>
      </c>
      <c r="D2689" s="852" t="s">
        <v>1350</v>
      </c>
      <c r="E2689" s="852" t="s">
        <v>1516</v>
      </c>
      <c r="F2689" s="1720" t="s">
        <v>1995</v>
      </c>
      <c r="G2689" s="1720" t="str">
        <f>IF(T2689&lt;&gt;"","G","")</f>
        <v/>
      </c>
      <c r="H2689" s="1720" t="s">
        <v>1990</v>
      </c>
      <c r="I2689" s="1307"/>
      <c r="J2689" s="1720"/>
      <c r="K2689" s="1720"/>
      <c r="L2689" s="852"/>
      <c r="M2689" s="1721"/>
      <c r="N2689" s="1720"/>
      <c r="O2689" s="625"/>
      <c r="P2689" s="625"/>
      <c r="Q2689" s="625"/>
      <c r="R2689" s="1720" t="s">
        <v>2193</v>
      </c>
      <c r="T2689" s="1720" t="str">
        <f t="shared" si="525"/>
        <v/>
      </c>
    </row>
    <row r="2690" spans="1:20" s="1718" customFormat="1" x14ac:dyDescent="0.25">
      <c r="A2690" s="1723" t="s">
        <v>1488</v>
      </c>
      <c r="B2690" s="852" t="str">
        <f ca="1">_xlfn.CONCAT(IFERROR(SUBSTITUTE(ADDRESS(1,MATCH(A2690,INDIRECT("'"&amp;E2690&amp;"'"&amp;"!A" &amp; $O$2665+ 2 &amp; ":Z" &amp; $O$2665 + 2),0),4),1,""),""),$O$2665+ 2)</f>
        <v>T645</v>
      </c>
      <c r="C2690" s="852" t="str">
        <f ca="1">_xlfn.CONCAT(IFERROR(SUBSTITUTE(ADDRESS(1,MATCH(A2690,INDIRECT("'"&amp;E2690&amp;"'"&amp;"!A" &amp; $O$2665+ 2 &amp; ":Z" &amp; $O$2665 + 2),0),4),1,""),""),$O$2665+ 3)</f>
        <v>T646</v>
      </c>
      <c r="D2690" s="852" t="s">
        <v>1350</v>
      </c>
      <c r="E2690" s="852" t="s">
        <v>1516</v>
      </c>
      <c r="F2690" s="867" t="s">
        <v>1488</v>
      </c>
      <c r="G2690" s="1720" t="str">
        <f>IF(T2690&lt;&gt;"","AW","")</f>
        <v/>
      </c>
      <c r="H2690" s="1720" t="s">
        <v>1990</v>
      </c>
      <c r="I2690" s="1307"/>
      <c r="J2690" s="1720"/>
      <c r="K2690" s="1720"/>
      <c r="L2690" s="852"/>
      <c r="M2690" s="1721"/>
      <c r="N2690" s="1720"/>
      <c r="O2690" s="625"/>
      <c r="P2690" s="625"/>
      <c r="Q2690" s="625"/>
      <c r="R2690" s="1720" t="s">
        <v>2193</v>
      </c>
      <c r="T2690" s="1720" t="str">
        <f t="shared" si="525"/>
        <v/>
      </c>
    </row>
    <row r="2691" spans="1:20" s="1718" customFormat="1" x14ac:dyDescent="0.25">
      <c r="A2691" s="1723" t="s">
        <v>1603</v>
      </c>
      <c r="B2691" s="852" t="str">
        <f ca="1">_xlfn.CONCAT(IFERROR(SUBSTITUTE(ADDRESS(1,MATCH(A2691,INDIRECT("'"&amp;E2691&amp;"'"&amp;"!A" &amp; $O$2665+ 5 &amp; ":Z" &amp; $O$2665 + 5),0),4),1,""),""),$O$2665+ 5)</f>
        <v>R648</v>
      </c>
      <c r="C2691" s="852" t="str">
        <f ca="1">_xlfn.CONCAT(IFERROR(SUBSTITUTE(ADDRESS(1,MATCH(A2691,INDIRECT("'"&amp;E2691&amp;"'"&amp;"!A" &amp; $O$2665+ 5 &amp; ":Z" &amp; $O$2665 + 5),0),4),1,""),""),$O$2665+ 6)</f>
        <v>R649</v>
      </c>
      <c r="D2691" s="852" t="s">
        <v>1350</v>
      </c>
      <c r="E2691" s="852" t="s">
        <v>1516</v>
      </c>
      <c r="F2691" s="1720" t="s">
        <v>1999</v>
      </c>
      <c r="G2691" s="1720" t="str">
        <f t="shared" ref="G2691" si="526">IF(T2691&lt;&gt;"","AB","")</f>
        <v/>
      </c>
      <c r="H2691" s="1720" t="s">
        <v>1990</v>
      </c>
      <c r="I2691" s="1307"/>
      <c r="J2691" s="1720"/>
      <c r="K2691" s="1720"/>
      <c r="L2691" s="852"/>
      <c r="M2691" s="1721"/>
      <c r="N2691" s="1720"/>
      <c r="O2691" s="625"/>
      <c r="P2691" s="625"/>
      <c r="Q2691" s="625"/>
      <c r="R2691" s="1720" t="s">
        <v>2193</v>
      </c>
      <c r="T2691" s="1720" t="str">
        <f t="shared" si="525"/>
        <v/>
      </c>
    </row>
    <row r="2692" spans="1:20" s="1718" customFormat="1" x14ac:dyDescent="0.25">
      <c r="A2692" s="1723" t="s">
        <v>1604</v>
      </c>
      <c r="B2692" s="852" t="str">
        <f ca="1">_xlfn.CONCAT(IFERROR(SUBSTITUTE(ADDRESS(1,MATCH(A2692,INDIRECT("'"&amp;E2692&amp;"'"&amp;"!A" &amp; $O$2665+ 5 &amp; ":Z" &amp; $O$2665 + 5),0),4),1,""),""),$O$2665+ 5)</f>
        <v>T648</v>
      </c>
      <c r="C2692" s="852" t="str">
        <f ca="1">_xlfn.CONCAT(IFERROR(SUBSTITUTE(ADDRESS(1,MATCH(A2692,INDIRECT("'"&amp;E2692&amp;"'"&amp;"!A" &amp; $O$2665+ 5 &amp; ":Z" &amp; $O$2665 + 5),0),4),1,""),""),$O$2665+ 6)</f>
        <v>T649</v>
      </c>
      <c r="D2692" s="852" t="s">
        <v>1350</v>
      </c>
      <c r="E2692" s="852" t="s">
        <v>1516</v>
      </c>
      <c r="F2692" s="1720" t="s">
        <v>1604</v>
      </c>
      <c r="G2692" s="1720" t="str">
        <f t="shared" ref="G2692" si="527">IF(T2692&lt;&gt;"","AP","")</f>
        <v/>
      </c>
      <c r="H2692" s="1720" t="s">
        <v>1990</v>
      </c>
      <c r="I2692" s="1307"/>
      <c r="J2692" s="1720"/>
      <c r="K2692" s="1720"/>
      <c r="L2692" s="852"/>
      <c r="M2692" s="1721"/>
      <c r="N2692" s="1720"/>
      <c r="O2692" s="625"/>
      <c r="P2692" s="625"/>
      <c r="Q2692" s="625"/>
      <c r="R2692" s="1720" t="s">
        <v>2193</v>
      </c>
      <c r="T2692" s="1720" t="str">
        <f t="shared" si="525"/>
        <v/>
      </c>
    </row>
    <row r="2693" spans="1:20" s="1718" customFormat="1" x14ac:dyDescent="0.25">
      <c r="A2693" s="1723" t="s">
        <v>2135</v>
      </c>
      <c r="B2693" s="852" t="str">
        <f ca="1">_xlfn.CONCAT(IFERROR(SUBSTITUTE(ADDRESS(1,MATCH(A2693,INDIRECT("'"&amp;E2693&amp;"'"&amp;"!A" &amp; $O$2665+ 8 &amp; ":Z" &amp; $O$2665 + 8),0),4),1,""),""),$O$2665 + 8)</f>
        <v>L651</v>
      </c>
      <c r="C2693" s="852" t="str">
        <f ca="1">_xlfn.CONCAT(IFERROR(SUBSTITUTE(ADDRESS(1,MATCH(A2693,INDIRECT("'"&amp;E2693&amp;"'"&amp;"!A" &amp; $O$2665+ 8 &amp; ":Z" &amp; $O$2665 + 8),0),4),1,""),""),$O$2665 + 9)</f>
        <v>L652</v>
      </c>
      <c r="D2693" s="852" t="s">
        <v>1350</v>
      </c>
      <c r="E2693" s="852" t="s">
        <v>1516</v>
      </c>
      <c r="F2693" s="1720" t="s">
        <v>2135</v>
      </c>
      <c r="G2693" s="1720" t="str">
        <f>IF(T2693&lt;&gt;"","AZ","")</f>
        <v/>
      </c>
      <c r="H2693" s="1720" t="s">
        <v>1990</v>
      </c>
      <c r="I2693" s="1307"/>
      <c r="J2693" s="1720"/>
      <c r="K2693" s="1720"/>
      <c r="L2693" s="852" t="s">
        <v>2135</v>
      </c>
      <c r="M2693" s="1721">
        <v>1640</v>
      </c>
      <c r="N2693" s="1720"/>
      <c r="O2693" s="625"/>
      <c r="P2693" s="625"/>
      <c r="Q2693" s="625"/>
      <c r="R2693" s="1720" t="s">
        <v>2193</v>
      </c>
      <c r="T2693" s="1720" t="str">
        <f t="shared" si="525"/>
        <v/>
      </c>
    </row>
    <row r="2694" spans="1:20" s="1718" customFormat="1" x14ac:dyDescent="0.25">
      <c r="A2694" s="872" t="s">
        <v>1491</v>
      </c>
      <c r="B2694" s="852" t="str">
        <f ca="1">IFERROR(_xlfn.CONCAT("C",MATCH(A2694,INDIRECT("'"&amp;E2694&amp;"'!C"&amp;$O$2695&amp;":C"&amp;$O$2697),0)+$O$2695-1),"")</f>
        <v>C661</v>
      </c>
      <c r="C2694" s="852" t="str">
        <f ca="1">IFERROR(_xlfn.CONCAT("D",MATCH(A2694,INDIRECT("'"&amp;E2694&amp;"'!C"&amp;$O$2695&amp;":C"&amp;$O$2697),0)+$O$2695-1),"")</f>
        <v>D661</v>
      </c>
      <c r="D2694" s="852" t="s">
        <v>1350</v>
      </c>
      <c r="E2694" s="852" t="s">
        <v>1516</v>
      </c>
      <c r="F2694" s="852" t="s">
        <v>1491</v>
      </c>
      <c r="G2694" s="1720" t="str">
        <f>IF(T2694&lt;&gt;"","A","")</f>
        <v/>
      </c>
      <c r="H2694" s="1720" t="s">
        <v>1990</v>
      </c>
      <c r="I2694" s="852"/>
      <c r="J2694" s="852"/>
      <c r="K2694" s="852"/>
      <c r="L2694" s="852" t="s">
        <v>1491</v>
      </c>
      <c r="M2694" s="1369">
        <v>1641</v>
      </c>
      <c r="N2694" s="852"/>
      <c r="O2694" s="1718" t="s">
        <v>725</v>
      </c>
      <c r="R2694" s="1720" t="s">
        <v>2194</v>
      </c>
      <c r="T2694" s="1720" t="str">
        <f>IF(Q$2695="Yes",47,"")</f>
        <v/>
      </c>
    </row>
    <row r="2695" spans="1:20" s="1718" customFormat="1" x14ac:dyDescent="0.25">
      <c r="A2695" s="872" t="s">
        <v>1705</v>
      </c>
      <c r="B2695" s="852" t="str">
        <f ca="1">_xlfn.CONCAT(IFERROR(SUBSTITUTE(ADDRESS(1,MATCH(A2695,INDIRECT("'"&amp;E2695&amp;"'"&amp;"!A" &amp; $O$2695+ 11 &amp; ":Z" &amp; $O$2695 + 11),0),4),1,""),""),$O$2695+ 11)</f>
        <v>T668</v>
      </c>
      <c r="C2695" s="852" t="str">
        <f ca="1">_xlfn.CONCAT(IFERROR(SUBSTITUTE(ADDRESS(1,MATCH(A2695,INDIRECT("'"&amp;E2695&amp;"'"&amp;"!A" &amp; $O$2695+ 11 &amp; ":Z" &amp; $O$2695 + 11),0),4),1,""),""),$O$2695+ 12)</f>
        <v>T669</v>
      </c>
      <c r="D2695" s="852" t="s">
        <v>1350</v>
      </c>
      <c r="E2695" s="852" t="s">
        <v>1516</v>
      </c>
      <c r="F2695" s="852"/>
      <c r="G2695" s="1720"/>
      <c r="H2695" s="1720"/>
      <c r="I2695" s="852"/>
      <c r="J2695" s="852"/>
      <c r="K2695" s="852"/>
      <c r="L2695" s="852" t="s">
        <v>1705</v>
      </c>
      <c r="M2695" s="1369">
        <v>1642</v>
      </c>
      <c r="N2695" s="852"/>
      <c r="O2695" s="1718">
        <f>'Configurable Tab'!H49</f>
        <v>657</v>
      </c>
      <c r="P2695" s="18" t="str">
        <f>'Configurable Tab'!J48</f>
        <v>No</v>
      </c>
      <c r="Q2695" s="1718" t="s">
        <v>648</v>
      </c>
      <c r="R2695" s="1720" t="s">
        <v>2194</v>
      </c>
      <c r="T2695" s="1720" t="str">
        <f t="shared" ref="T2695:T2704" si="528">IF(Q$2695="Yes",47,"")</f>
        <v/>
      </c>
    </row>
    <row r="2696" spans="1:20" s="1718" customFormat="1" x14ac:dyDescent="0.25">
      <c r="A2696" s="872" t="s">
        <v>1383</v>
      </c>
      <c r="B2696" s="852" t="str">
        <f ca="1">IFERROR(_xlfn.CONCAT("C",MATCH(A2696,INDIRECT("'"&amp;E2696&amp;"'!C"&amp;$O$2695&amp;":C"&amp;$O$2697),0)+$O$2695-1),"")</f>
        <v>C659</v>
      </c>
      <c r="C2696" s="852" t="str">
        <f ca="1">IFERROR(_xlfn.CONCAT("D",MATCH(A2696,INDIRECT("'"&amp;E2696&amp;"'!C"&amp;$O$2695&amp;":C"&amp;$O$2697),0)+$O$2695-1),"")</f>
        <v>D659</v>
      </c>
      <c r="D2696" s="852" t="s">
        <v>1350</v>
      </c>
      <c r="E2696" s="852" t="s">
        <v>1516</v>
      </c>
      <c r="F2696" s="852" t="s">
        <v>1383</v>
      </c>
      <c r="G2696" s="1720" t="str">
        <f>IF(T2696&lt;&gt;"","B","")</f>
        <v/>
      </c>
      <c r="H2696" s="1720" t="s">
        <v>1990</v>
      </c>
      <c r="I2696" s="852"/>
      <c r="J2696" s="852"/>
      <c r="K2696" s="852"/>
      <c r="L2696" s="852" t="s">
        <v>1383</v>
      </c>
      <c r="M2696" s="1369">
        <v>1643</v>
      </c>
      <c r="N2696" s="852"/>
      <c r="O2696" s="1718" t="s">
        <v>726</v>
      </c>
      <c r="R2696" s="1720" t="s">
        <v>2194</v>
      </c>
      <c r="T2696" s="1720" t="str">
        <f t="shared" si="528"/>
        <v/>
      </c>
    </row>
    <row r="2697" spans="1:20" s="1718" customFormat="1" x14ac:dyDescent="0.25">
      <c r="A2697" s="872" t="s">
        <v>1381</v>
      </c>
      <c r="B2697" s="852" t="str">
        <f ca="1">_xlfn.CONCAT(IFERROR(SUBSTITUTE(ADDRESS(1,MATCH(A2697,INDIRECT("'"&amp;E2697&amp;"'"&amp;"!A" &amp; $O$2695+ 2 &amp; ":Z" &amp; $O$2695 + 2),0),4),1,""),""),$O$2695+ 2)</f>
        <v>J659</v>
      </c>
      <c r="C2697" s="852" t="str">
        <f ca="1">_xlfn.CONCAT(IFERROR(SUBSTITUTE(ADDRESS(1,MATCH(A2697,INDIRECT("'"&amp;E2697&amp;"'"&amp;"!A" &amp; $O$2695+ 2 &amp; ":Z" &amp; $O$2695 + 2),0),4),1,""),""),$O$2695+ 3)</f>
        <v>J660</v>
      </c>
      <c r="D2697" s="852" t="s">
        <v>1350</v>
      </c>
      <c r="E2697" s="852" t="s">
        <v>1516</v>
      </c>
      <c r="F2697" s="852" t="s">
        <v>1992</v>
      </c>
      <c r="G2697" s="1720" t="str">
        <f>IF(T2697&lt;&gt;"","I","")</f>
        <v/>
      </c>
      <c r="H2697" s="1720" t="s">
        <v>1990</v>
      </c>
      <c r="I2697" s="852"/>
      <c r="J2697" s="852"/>
      <c r="K2697" s="852"/>
      <c r="L2697" s="852" t="s">
        <v>1381</v>
      </c>
      <c r="M2697" s="1369">
        <v>1644</v>
      </c>
      <c r="N2697" s="852"/>
      <c r="O2697" s="1718">
        <f>'Configurable Tab'!I49</f>
        <v>670</v>
      </c>
      <c r="R2697" s="1720" t="s">
        <v>2194</v>
      </c>
      <c r="T2697" s="1720" t="str">
        <f t="shared" si="528"/>
        <v/>
      </c>
    </row>
    <row r="2698" spans="1:20" s="1718" customFormat="1" x14ac:dyDescent="0.25">
      <c r="A2698" s="872" t="s">
        <v>1382</v>
      </c>
      <c r="B2698" s="852" t="str">
        <f ca="1">_xlfn.CONCAT(IFERROR(SUBSTITUTE(ADDRESS(1,MATCH(A2698,INDIRECT("'"&amp;E2698&amp;"'"&amp;"!A" &amp; $O$2695+ 2 &amp; ":Z" &amp; $O$2695 + 2),0),4),1,""),""),$O$2695+ 2)</f>
        <v>N659</v>
      </c>
      <c r="C2698" s="852" t="str">
        <f ca="1">_xlfn.CONCAT(IFERROR(SUBSTITUTE(ADDRESS(1,MATCH(A2698,INDIRECT("'"&amp;E2698&amp;"'"&amp;"!A" &amp; $O$2695+ 2 &amp; ":Z" &amp; $O$2695 + 2),0),4),1,""),""),$O$2695+ 3)</f>
        <v>N660</v>
      </c>
      <c r="D2698" s="852" t="s">
        <v>1350</v>
      </c>
      <c r="E2698" s="852" t="s">
        <v>1516</v>
      </c>
      <c r="F2698" s="852" t="s">
        <v>1382</v>
      </c>
      <c r="G2698" s="1720" t="str">
        <f>IF(T2698&lt;&gt;"",IF(Q2697="Credit Memo","J",IF(Q2697="Check","K","")),"")</f>
        <v/>
      </c>
      <c r="H2698" s="1720" t="s">
        <v>1990</v>
      </c>
      <c r="I2698" s="852"/>
      <c r="J2698" s="852"/>
      <c r="K2698" s="852"/>
      <c r="L2698" s="852" t="s">
        <v>1382</v>
      </c>
      <c r="M2698" s="1369">
        <v>1645</v>
      </c>
      <c r="N2698" s="852"/>
      <c r="O2698" s="1718" t="s">
        <v>2202</v>
      </c>
      <c r="R2698" s="1720" t="s">
        <v>2194</v>
      </c>
      <c r="T2698" s="1720" t="str">
        <f t="shared" si="528"/>
        <v/>
      </c>
    </row>
    <row r="2699" spans="1:20" s="1718" customFormat="1" x14ac:dyDescent="0.25">
      <c r="A2699" s="872" t="s">
        <v>1385</v>
      </c>
      <c r="B2699" s="852" t="str">
        <f ca="1">IFERROR(_xlfn.CONCAT("C",MATCH(A2699,INDIRECT("'"&amp;E2699&amp;"'!C"&amp;$O$2695&amp;":C"&amp;$O$2697),0)+$O$2695-1),"")</f>
        <v>C663</v>
      </c>
      <c r="C2699" s="852" t="str">
        <f ca="1">IFERROR(_xlfn.CONCAT("D",MATCH(A2699,INDIRECT("'"&amp;E2699&amp;"'!C"&amp;$O$2695&amp;":C"&amp;$O$2697),0)+$O$2695-1),"")</f>
        <v>D663</v>
      </c>
      <c r="D2699" s="852" t="s">
        <v>1350</v>
      </c>
      <c r="E2699" s="852" t="s">
        <v>1516</v>
      </c>
      <c r="F2699" s="852" t="s">
        <v>1385</v>
      </c>
      <c r="G2699" s="1720" t="str">
        <f>IF(T2699&lt;&gt;"","C","")</f>
        <v/>
      </c>
      <c r="H2699" s="1720" t="s">
        <v>1990</v>
      </c>
      <c r="I2699" s="852"/>
      <c r="J2699" s="852"/>
      <c r="K2699" s="852"/>
      <c r="L2699" s="852" t="s">
        <v>1385</v>
      </c>
      <c r="M2699" s="1369">
        <v>1646</v>
      </c>
      <c r="N2699" s="852"/>
      <c r="R2699" s="1720" t="s">
        <v>2194</v>
      </c>
      <c r="T2699" s="1720" t="str">
        <f t="shared" si="528"/>
        <v/>
      </c>
    </row>
    <row r="2700" spans="1:20" s="1718" customFormat="1" x14ac:dyDescent="0.25">
      <c r="A2700" s="872" t="s">
        <v>1386</v>
      </c>
      <c r="B2700" s="852" t="str">
        <f ca="1">IFERROR(_xlfn.CONCAT("C",MATCH(A2700,INDIRECT("'"&amp;E2700&amp;"'!C"&amp;$O$2695&amp;":C"&amp;$O$2697),0)+$O$2695-1),"")</f>
        <v>C665</v>
      </c>
      <c r="C2700" s="852" t="str">
        <f ca="1">IFERROR(_xlfn.CONCAT("D",MATCH(A2700,INDIRECT("'"&amp;E2700&amp;"'!C"&amp;$O$2695&amp;":C"&amp;$O$2697),0)+$O$2695-1),"")</f>
        <v>D665</v>
      </c>
      <c r="D2700" s="852" t="s">
        <v>1350</v>
      </c>
      <c r="E2700" s="852" t="s">
        <v>1516</v>
      </c>
      <c r="F2700" s="852" t="s">
        <v>1386</v>
      </c>
      <c r="G2700" s="1720" t="str">
        <f>IF(T2700&lt;&gt;"","D","")</f>
        <v/>
      </c>
      <c r="H2700" s="1720" t="s">
        <v>1990</v>
      </c>
      <c r="I2700" s="852"/>
      <c r="J2700" s="852"/>
      <c r="K2700" s="852"/>
      <c r="L2700" s="852" t="s">
        <v>1386</v>
      </c>
      <c r="M2700" s="1369">
        <v>1647</v>
      </c>
      <c r="N2700" s="852"/>
      <c r="R2700" s="1720" t="s">
        <v>2194</v>
      </c>
      <c r="T2700" s="1720" t="str">
        <f t="shared" si="528"/>
        <v/>
      </c>
    </row>
    <row r="2701" spans="1:20" s="1718" customFormat="1" x14ac:dyDescent="0.25">
      <c r="A2701" s="872" t="s">
        <v>1396</v>
      </c>
      <c r="B2701" s="852" t="str">
        <f ca="1">_xlfn.CONCAT(IFERROR(SUBSTITUTE(ADDRESS(1,MATCH(A2701,INDIRECT("'"&amp;E2701&amp;"'"&amp;"!A" &amp; $O$2695+ 5 &amp; ":Z" &amp; $O$2695 + 5),0),4),1,""),""),$O$2695+ 5)</f>
        <v>H662</v>
      </c>
      <c r="C2701" s="852" t="str">
        <f ca="1">_xlfn.CONCAT(IFERROR(SUBSTITUTE(ADDRESS(1,MATCH(A2701,INDIRECT("'"&amp;E2701&amp;"'"&amp;"!A" &amp; $O$2695+ 5 &amp; ":Z" &amp; $O$2695 + 5),0),4),1,""),""),$O$2695+ 6)</f>
        <v>H663</v>
      </c>
      <c r="D2701" s="852" t="s">
        <v>1350</v>
      </c>
      <c r="E2701" s="852" t="s">
        <v>1516</v>
      </c>
      <c r="F2701" s="1720" t="s">
        <v>1396</v>
      </c>
      <c r="G2701" s="1720" t="str">
        <f>IF(T2701&lt;&gt;"","S","")</f>
        <v/>
      </c>
      <c r="H2701" s="1720" t="s">
        <v>1990</v>
      </c>
      <c r="I2701" s="852"/>
      <c r="J2701" s="852"/>
      <c r="K2701" s="852"/>
      <c r="L2701" s="852" t="s">
        <v>1396</v>
      </c>
      <c r="M2701" s="1369">
        <v>1648</v>
      </c>
      <c r="N2701" s="852"/>
      <c r="R2701" s="1720" t="s">
        <v>2194</v>
      </c>
      <c r="T2701" s="1720" t="str">
        <f t="shared" si="528"/>
        <v/>
      </c>
    </row>
    <row r="2702" spans="1:20" s="1718" customFormat="1" x14ac:dyDescent="0.25">
      <c r="A2702" s="872" t="s">
        <v>2005</v>
      </c>
      <c r="B2702" s="852" t="str">
        <f ca="1">_xlfn.CONCAT(IFERROR(SUBSTITUTE(ADDRESS(1,MATCH(A2702,INDIRECT("'"&amp;E2702&amp;"'"&amp;"!A" &amp; $O$2695+ 8 &amp; ":Z" &amp; $O$2695 + 8),0),4),1,""),""),$O$2695 + 8)</f>
        <v>J665</v>
      </c>
      <c r="C2702" s="852" t="str">
        <f ca="1">_xlfn.CONCAT(IFERROR(SUBSTITUTE(ADDRESS(1,MATCH(A2702,INDIRECT("'"&amp;E2702&amp;"'"&amp;"!A" &amp; $O$2695+ 8 &amp; ":Z" &amp; $O$2695 + 8),0),4),1,""),""),$O$2695 + 9)</f>
        <v>J666</v>
      </c>
      <c r="D2702" s="852" t="s">
        <v>1350</v>
      </c>
      <c r="E2702" s="852" t="s">
        <v>1516</v>
      </c>
      <c r="F2702" s="852" t="s">
        <v>2005</v>
      </c>
      <c r="G2702" s="1720" t="str">
        <f>IF(T2702&lt;&gt;"","AQ","")</f>
        <v/>
      </c>
      <c r="H2702" s="1720" t="s">
        <v>1990</v>
      </c>
      <c r="I2702" s="852"/>
      <c r="J2702" s="852"/>
      <c r="K2702" s="852"/>
      <c r="L2702" s="852" t="s">
        <v>2005</v>
      </c>
      <c r="M2702" s="1369">
        <v>1649</v>
      </c>
      <c r="N2702" s="852"/>
      <c r="R2702" s="1720" t="s">
        <v>2194</v>
      </c>
      <c r="T2702" s="1720" t="str">
        <f t="shared" si="528"/>
        <v/>
      </c>
    </row>
    <row r="2703" spans="1:20" s="1718" customFormat="1" x14ac:dyDescent="0.25">
      <c r="A2703" s="872" t="s">
        <v>1482</v>
      </c>
      <c r="B2703" s="852" t="str">
        <f ca="1">_xlfn.CONCAT(IFERROR(SUBSTITUTE(ADDRESS(1,MATCH(A2703,INDIRECT("'"&amp;E2703&amp;"'"&amp;"!A" &amp; $O$2695+ 8 &amp; ":Z" &amp; $O$2695 + 8),0),4),1,""),""),$O$2695 + 8)</f>
        <v>N665</v>
      </c>
      <c r="C2703" s="852" t="str">
        <f ca="1">_xlfn.CONCAT(IFERROR(SUBSTITUTE(ADDRESS(1,MATCH(A2703,INDIRECT("'"&amp;E2703&amp;"'"&amp;"!A" &amp; $O$2695+ 8 &amp; ":Z" &amp; $O$2695 + 8),0),4),1,""),""),$O$2695 + 9)</f>
        <v>N666</v>
      </c>
      <c r="D2703" s="852" t="s">
        <v>1350</v>
      </c>
      <c r="E2703" s="852" t="s">
        <v>1516</v>
      </c>
      <c r="F2703" s="852" t="s">
        <v>2054</v>
      </c>
      <c r="G2703" s="1720" t="str">
        <f>IF(T2703&lt;&gt;"","AA","")</f>
        <v/>
      </c>
      <c r="H2703" s="1720" t="s">
        <v>1990</v>
      </c>
      <c r="I2703" s="852"/>
      <c r="J2703" s="852"/>
      <c r="K2703" s="852"/>
      <c r="L2703" s="852" t="s">
        <v>2006</v>
      </c>
      <c r="M2703" s="1369">
        <v>1650</v>
      </c>
      <c r="N2703" s="852"/>
      <c r="R2703" s="1720" t="s">
        <v>2194</v>
      </c>
      <c r="T2703" s="1720" t="str">
        <f t="shared" si="528"/>
        <v/>
      </c>
    </row>
    <row r="2704" spans="1:20" s="1718" customFormat="1" x14ac:dyDescent="0.25">
      <c r="A2704" s="872" t="s">
        <v>1397</v>
      </c>
      <c r="B2704" s="852" t="str">
        <f ca="1">_xlfn.CONCAT(IFERROR(SUBSTITUTE(ADDRESS(1,MATCH(A2704,INDIRECT("'"&amp;E2704&amp;"'"&amp;"!A" &amp; $O$2695+ 2 &amp; ":Z" &amp; $O$2695 + 2),0),4),1,""),""),$O$2695 + 2)</f>
        <v>L659</v>
      </c>
      <c r="C2704" s="852" t="str">
        <f ca="1">_xlfn.CONCAT(IFERROR(SUBSTITUTE(ADDRESS(1,MATCH(A2704,INDIRECT("'"&amp;E2704&amp;"'"&amp;"!A" &amp; $O$2695+ 2 &amp; ":Z" &amp; $O$2695 + 2),0),4),1,""),""),$O$2695 + 3)</f>
        <v>L660</v>
      </c>
      <c r="D2704" s="852" t="s">
        <v>1350</v>
      </c>
      <c r="E2704" s="852" t="s">
        <v>1516</v>
      </c>
      <c r="F2704" s="852" t="s">
        <v>1993</v>
      </c>
      <c r="G2704" s="1720" t="str">
        <f>IF(T2704&lt;&gt;"","H","")</f>
        <v/>
      </c>
      <c r="H2704" s="1720" t="s">
        <v>1990</v>
      </c>
      <c r="I2704" s="852"/>
      <c r="J2704" s="852"/>
      <c r="K2704" s="852"/>
      <c r="L2704" s="852" t="s">
        <v>1397</v>
      </c>
      <c r="M2704" s="1369">
        <v>1651</v>
      </c>
      <c r="N2704" s="852"/>
      <c r="R2704" s="1720" t="s">
        <v>2194</v>
      </c>
      <c r="T2704" s="1720" t="str">
        <f t="shared" si="528"/>
        <v/>
      </c>
    </row>
    <row r="2705" spans="1:20" s="1718" customFormat="1" x14ac:dyDescent="0.25">
      <c r="A2705" s="872" t="s">
        <v>1705</v>
      </c>
      <c r="B2705" s="1307" t="str">
        <f>IFERROR(_xlfn.CONCAT("D",('Configurable Tab'!$C$23+1)),"")</f>
        <v>D226</v>
      </c>
      <c r="C2705" s="1307" t="str">
        <f>IFERROR(_xlfn.CONCAT("E",('Configurable Tab'!$C$23+1)),"")</f>
        <v>E226</v>
      </c>
      <c r="D2705" s="852" t="s">
        <v>1350</v>
      </c>
      <c r="E2705" s="852" t="s">
        <v>1742</v>
      </c>
      <c r="F2705" s="1720"/>
      <c r="G2705" s="1720"/>
      <c r="H2705" s="1720"/>
      <c r="I2705" s="1307" t="str">
        <f t="shared" ref="I2705:I2715" si="529">IF(J2705&lt;&gt;"",A2705,"")</f>
        <v/>
      </c>
      <c r="J2705" s="1720" t="str">
        <f t="shared" ref="J2705:J2714" si="530">IFERROR(IF($Q$2695="Yes",Q$1&amp;M2695,""),"")</f>
        <v/>
      </c>
      <c r="K2705" s="1720" t="str">
        <f t="shared" ref="K2705:K2715" si="531">IF(J2705&lt;&gt;"",E2705,"")</f>
        <v/>
      </c>
      <c r="M2705" s="1719"/>
      <c r="Q2705" s="1307" t="str">
        <f>IFERROR(_xlfn.CONCAT("C",('Configurable Tab'!$C34+1)),"")</f>
        <v>C347</v>
      </c>
      <c r="R2705" s="1720" t="s">
        <v>2194</v>
      </c>
    </row>
    <row r="2706" spans="1:20" s="1718" customFormat="1" x14ac:dyDescent="0.25">
      <c r="A2706" s="872" t="s">
        <v>1383</v>
      </c>
      <c r="B2706" s="1307" t="str">
        <f>IFERROR(_xlfn.CONCAT("D",('Configurable Tab'!$C$23+2)),"")</f>
        <v>D227</v>
      </c>
      <c r="C2706" s="1307" t="str">
        <f>IFERROR(_xlfn.CONCAT("E",('Configurable Tab'!$C$23+2)),"")</f>
        <v>E227</v>
      </c>
      <c r="D2706" s="852" t="s">
        <v>1350</v>
      </c>
      <c r="E2706" s="852" t="s">
        <v>1742</v>
      </c>
      <c r="F2706" s="1720"/>
      <c r="G2706" s="1720"/>
      <c r="H2706" s="1720"/>
      <c r="I2706" s="1307" t="str">
        <f t="shared" si="529"/>
        <v/>
      </c>
      <c r="J2706" s="1720" t="str">
        <f t="shared" si="530"/>
        <v/>
      </c>
      <c r="K2706" s="1720" t="str">
        <f t="shared" si="531"/>
        <v/>
      </c>
      <c r="M2706" s="1719"/>
      <c r="R2706" s="1720" t="s">
        <v>2194</v>
      </c>
    </row>
    <row r="2707" spans="1:20" s="1718" customFormat="1" x14ac:dyDescent="0.25">
      <c r="A2707" s="872" t="s">
        <v>1381</v>
      </c>
      <c r="B2707" s="1307" t="str">
        <f>IFERROR(_xlfn.CONCAT("I",('Configurable Tab'!$C$23+1)),"")</f>
        <v>I226</v>
      </c>
      <c r="C2707" s="1307" t="str">
        <f>IFERROR(_xlfn.CONCAT("I",('Configurable Tab'!$C$23+2)),"")</f>
        <v>I227</v>
      </c>
      <c r="D2707" s="852" t="s">
        <v>1350</v>
      </c>
      <c r="E2707" s="852" t="s">
        <v>1742</v>
      </c>
      <c r="F2707" s="1720"/>
      <c r="G2707" s="1720"/>
      <c r="H2707" s="1720"/>
      <c r="I2707" s="1307" t="str">
        <f t="shared" si="529"/>
        <v/>
      </c>
      <c r="J2707" s="1720" t="str">
        <f t="shared" si="530"/>
        <v/>
      </c>
      <c r="K2707" s="1720" t="str">
        <f t="shared" si="531"/>
        <v/>
      </c>
      <c r="M2707" s="1719"/>
      <c r="R2707" s="1720" t="s">
        <v>2194</v>
      </c>
    </row>
    <row r="2708" spans="1:20" s="1718" customFormat="1" x14ac:dyDescent="0.25">
      <c r="A2708" s="872" t="s">
        <v>1382</v>
      </c>
      <c r="B2708" s="1307" t="str">
        <f>IFERROR(_xlfn.CONCAT("M",('Configurable Tab'!$C$23+1)),"")</f>
        <v>M226</v>
      </c>
      <c r="C2708" s="1307" t="str">
        <f>IFERROR(_xlfn.CONCAT("M",('Configurable Tab'!$C$23+2)),"")</f>
        <v>M227</v>
      </c>
      <c r="D2708" s="852" t="s">
        <v>1350</v>
      </c>
      <c r="E2708" s="852" t="s">
        <v>1742</v>
      </c>
      <c r="F2708" s="1720"/>
      <c r="G2708" s="1720"/>
      <c r="H2708" s="1720"/>
      <c r="I2708" s="1307" t="str">
        <f t="shared" si="529"/>
        <v/>
      </c>
      <c r="J2708" s="1720" t="str">
        <f t="shared" si="530"/>
        <v/>
      </c>
      <c r="K2708" s="1720" t="str">
        <f t="shared" si="531"/>
        <v/>
      </c>
      <c r="M2708" s="1719"/>
      <c r="R2708" s="1720" t="s">
        <v>2194</v>
      </c>
    </row>
    <row r="2709" spans="1:20" s="1718" customFormat="1" x14ac:dyDescent="0.25">
      <c r="A2709" s="872" t="s">
        <v>1385</v>
      </c>
      <c r="B2709" s="1307" t="str">
        <f>IFERROR(_xlfn.CONCAT("D",('Configurable Tab'!$C$23+4)),"")</f>
        <v>D229</v>
      </c>
      <c r="C2709" s="1307" t="str">
        <f>IFERROR(_xlfn.CONCAT("E",('Configurable Tab'!$C$23+4)),"")</f>
        <v>E229</v>
      </c>
      <c r="D2709" s="852" t="s">
        <v>1350</v>
      </c>
      <c r="E2709" s="852" t="s">
        <v>1742</v>
      </c>
      <c r="F2709" s="1720"/>
      <c r="G2709" s="1720"/>
      <c r="H2709" s="1720"/>
      <c r="I2709" s="1307" t="str">
        <f t="shared" si="529"/>
        <v/>
      </c>
      <c r="J2709" s="1720" t="str">
        <f t="shared" si="530"/>
        <v/>
      </c>
      <c r="K2709" s="1720" t="str">
        <f t="shared" si="531"/>
        <v/>
      </c>
      <c r="M2709" s="1719"/>
      <c r="R2709" s="1720" t="s">
        <v>2194</v>
      </c>
    </row>
    <row r="2710" spans="1:20" s="1718" customFormat="1" x14ac:dyDescent="0.25">
      <c r="A2710" s="872" t="s">
        <v>1386</v>
      </c>
      <c r="B2710" s="1307" t="str">
        <f>IFERROR(_xlfn.CONCAT("D",('Configurable Tab'!$C$23+5)),"")</f>
        <v>D230</v>
      </c>
      <c r="C2710" s="1307" t="str">
        <f>IFERROR(_xlfn.CONCAT("E",('Configurable Tab'!$C$23+5)),"")</f>
        <v>E230</v>
      </c>
      <c r="D2710" s="852" t="s">
        <v>1350</v>
      </c>
      <c r="E2710" s="852" t="s">
        <v>1742</v>
      </c>
      <c r="F2710" s="1720"/>
      <c r="G2710" s="1720"/>
      <c r="H2710" s="1720"/>
      <c r="I2710" s="1307" t="str">
        <f t="shared" si="529"/>
        <v/>
      </c>
      <c r="J2710" s="1720" t="str">
        <f t="shared" si="530"/>
        <v/>
      </c>
      <c r="K2710" s="1720" t="str">
        <f t="shared" si="531"/>
        <v/>
      </c>
      <c r="M2710" s="1719"/>
      <c r="R2710" s="1720" t="s">
        <v>2194</v>
      </c>
    </row>
    <row r="2711" spans="1:20" s="1718" customFormat="1" x14ac:dyDescent="0.25">
      <c r="A2711" s="872" t="s">
        <v>1396</v>
      </c>
      <c r="B2711" s="1307" t="str">
        <f>IFERROR(_xlfn.CONCAT("G",('Configurable Tab'!$C$23+7)),"")</f>
        <v>G232</v>
      </c>
      <c r="C2711" s="1307" t="str">
        <f>IFERROR(_xlfn.CONCAT("G",('Configurable Tab'!$C$23+8)),"")</f>
        <v>G233</v>
      </c>
      <c r="D2711" s="852" t="s">
        <v>1350</v>
      </c>
      <c r="E2711" s="852" t="s">
        <v>1742</v>
      </c>
      <c r="F2711" s="1720"/>
      <c r="G2711" s="1720"/>
      <c r="H2711" s="1720"/>
      <c r="I2711" s="1307" t="str">
        <f t="shared" si="529"/>
        <v/>
      </c>
      <c r="J2711" s="1720" t="str">
        <f t="shared" si="530"/>
        <v/>
      </c>
      <c r="K2711" s="1720" t="str">
        <f t="shared" si="531"/>
        <v/>
      </c>
      <c r="M2711" s="1719"/>
      <c r="R2711" s="1720" t="s">
        <v>2194</v>
      </c>
    </row>
    <row r="2712" spans="1:20" s="1718" customFormat="1" x14ac:dyDescent="0.25">
      <c r="A2712" s="872" t="s">
        <v>2005</v>
      </c>
      <c r="B2712" s="1307" t="str">
        <f>IFERROR(_xlfn.CONCAT("G",('Configurable Tab'!$C$23+7)),"")</f>
        <v>G232</v>
      </c>
      <c r="C2712" s="1307" t="str">
        <f>IFERROR(_xlfn.CONCAT("G",('Configurable Tab'!$C$23+8)),"")</f>
        <v>G233</v>
      </c>
      <c r="D2712" s="852" t="s">
        <v>1350</v>
      </c>
      <c r="E2712" s="852" t="s">
        <v>1742</v>
      </c>
      <c r="F2712" s="1720"/>
      <c r="G2712" s="1720"/>
      <c r="H2712" s="1720"/>
      <c r="I2712" s="1307" t="str">
        <f t="shared" si="529"/>
        <v/>
      </c>
      <c r="J2712" s="1720" t="str">
        <f t="shared" si="530"/>
        <v/>
      </c>
      <c r="K2712" s="1720" t="str">
        <f t="shared" si="531"/>
        <v/>
      </c>
      <c r="M2712" s="1719"/>
      <c r="R2712" s="1720" t="s">
        <v>2194</v>
      </c>
    </row>
    <row r="2713" spans="1:20" s="1718" customFormat="1" x14ac:dyDescent="0.25">
      <c r="A2713" s="872" t="s">
        <v>1482</v>
      </c>
      <c r="B2713" s="1307" t="str">
        <f>IFERROR(_xlfn.CONCAT("K",('Configurable Tab'!$C$23+7)),"")</f>
        <v>K232</v>
      </c>
      <c r="C2713" s="1307" t="str">
        <f>IFERROR(_xlfn.CONCAT("K",('Configurable Tab'!$C$23+8)),"")</f>
        <v>K233</v>
      </c>
      <c r="D2713" s="852" t="s">
        <v>1350</v>
      </c>
      <c r="E2713" s="852" t="s">
        <v>1742</v>
      </c>
      <c r="F2713" s="1720"/>
      <c r="G2713" s="1720"/>
      <c r="H2713" s="1720"/>
      <c r="I2713" s="1307" t="str">
        <f t="shared" si="529"/>
        <v/>
      </c>
      <c r="J2713" s="1720" t="str">
        <f t="shared" si="530"/>
        <v/>
      </c>
      <c r="K2713" s="1720" t="str">
        <f t="shared" si="531"/>
        <v/>
      </c>
      <c r="M2713" s="1719"/>
      <c r="R2713" s="1720" t="s">
        <v>2194</v>
      </c>
    </row>
    <row r="2714" spans="1:20" s="1718" customFormat="1" x14ac:dyDescent="0.25">
      <c r="A2714" s="872" t="s">
        <v>1397</v>
      </c>
      <c r="B2714" s="1307" t="str">
        <f>IFERROR(_xlfn.CONCAT("K",('Configurable Tab'!$C$23+1)),"")</f>
        <v>K226</v>
      </c>
      <c r="C2714" s="1307" t="str">
        <f>IFERROR(_xlfn.CONCAT("K",('Configurable Tab'!$C$23+2)),"")</f>
        <v>K227</v>
      </c>
      <c r="D2714" s="852" t="s">
        <v>1350</v>
      </c>
      <c r="E2714" s="852" t="s">
        <v>1742</v>
      </c>
      <c r="F2714" s="1720"/>
      <c r="G2714" s="1720"/>
      <c r="H2714" s="1720"/>
      <c r="I2714" s="1307" t="str">
        <f t="shared" si="529"/>
        <v/>
      </c>
      <c r="J2714" s="1720" t="str">
        <f t="shared" si="530"/>
        <v/>
      </c>
      <c r="K2714" s="1720" t="str">
        <f t="shared" si="531"/>
        <v/>
      </c>
      <c r="M2714" s="1719"/>
      <c r="R2714" s="1720" t="s">
        <v>2194</v>
      </c>
    </row>
    <row r="2715" spans="1:20" s="1718" customFormat="1" x14ac:dyDescent="0.25">
      <c r="A2715" s="872" t="s">
        <v>1496</v>
      </c>
      <c r="B2715" s="852" t="str">
        <f ca="1">IFERROR(_xlfn.CONCAT("C",MATCH(A2715,INDIRECT("'"&amp;E2715&amp;"'!C"&amp;$O$2695&amp;":C"&amp;$O$2697),0)+$O$2695-1),"")</f>
        <v>C669</v>
      </c>
      <c r="C2715" s="852" t="str">
        <f ca="1">IFERROR(_xlfn.CONCAT("D",MATCH(A2715,INDIRECT("'"&amp;E2715&amp;"'!C"&amp;$O$2695&amp;":C"&amp;$O$2697),0)+$O$2695-1),"")</f>
        <v>D669</v>
      </c>
      <c r="D2715" s="852" t="s">
        <v>1350</v>
      </c>
      <c r="E2715" s="852" t="s">
        <v>1516</v>
      </c>
      <c r="F2715" s="1720" t="s">
        <v>1496</v>
      </c>
      <c r="G2715" s="1720" t="str">
        <f t="shared" ref="G2715" si="532">IF(T2715&lt;&gt;"","AS","")</f>
        <v/>
      </c>
      <c r="H2715" s="1720" t="s">
        <v>1990</v>
      </c>
      <c r="I2715" s="1307" t="str">
        <f t="shared" si="529"/>
        <v/>
      </c>
      <c r="J2715" s="1720"/>
      <c r="K2715" s="1720" t="str">
        <f t="shared" si="531"/>
        <v/>
      </c>
      <c r="L2715" s="852"/>
      <c r="M2715" s="1721"/>
      <c r="N2715" s="1720"/>
      <c r="R2715" s="1720" t="s">
        <v>2194</v>
      </c>
      <c r="T2715" s="1720" t="str">
        <f t="shared" ref="T2715:T2723" si="533">IF(Q$2695="Yes",47,"")</f>
        <v/>
      </c>
    </row>
    <row r="2716" spans="1:20" s="1718" customFormat="1" x14ac:dyDescent="0.25">
      <c r="A2716" s="873" t="s">
        <v>1495</v>
      </c>
      <c r="B2716" s="852" t="str">
        <f ca="1">IFERROR(_xlfn.CONCAT("C",MATCH(A2716,INDIRECT("'"&amp;E2716&amp;"'!C"&amp;$O$2695&amp;":C"&amp;$O$2697),0)+$O$2695-1),"")</f>
        <v>C667</v>
      </c>
      <c r="C2716" s="852" t="str">
        <f ca="1">IFERROR(_xlfn.CONCAT("D",MATCH(A2716,INDIRECT("'"&amp;E2716&amp;"'!C"&amp;$O$2695&amp;":C"&amp;$O$2697),0)+$O$2695-1),"")</f>
        <v>D667</v>
      </c>
      <c r="D2716" s="852" t="s">
        <v>1350</v>
      </c>
      <c r="E2716" s="852" t="s">
        <v>1516</v>
      </c>
      <c r="F2716" s="1720" t="s">
        <v>1495</v>
      </c>
      <c r="G2716" s="1720" t="str">
        <f>IF(T2716&lt;&gt;"","AN","")</f>
        <v/>
      </c>
      <c r="H2716" s="1720" t="s">
        <v>1990</v>
      </c>
      <c r="I2716" s="1307"/>
      <c r="J2716" s="1720"/>
      <c r="K2716" s="1720"/>
      <c r="L2716" s="852"/>
      <c r="M2716" s="1721"/>
      <c r="N2716" s="1720"/>
      <c r="O2716" s="1606"/>
      <c r="P2716" s="625"/>
      <c r="Q2716" s="625"/>
      <c r="R2716" s="1720" t="s">
        <v>2194</v>
      </c>
      <c r="T2716" s="1720" t="str">
        <f t="shared" si="533"/>
        <v/>
      </c>
    </row>
    <row r="2717" spans="1:20" s="1718" customFormat="1" x14ac:dyDescent="0.25">
      <c r="A2717" s="873" t="s">
        <v>1492</v>
      </c>
      <c r="B2717" s="852" t="str">
        <f ca="1">_xlfn.CONCAT(IFERROR(SUBSTITUTE(ADDRESS(1,MATCH(A2717,INDIRECT("'"&amp;E2717&amp;"'"&amp;"!A" &amp; $O$2695+ 8 &amp; ":Z" &amp; $O$2695 + 8),0),4),1,""),""),$O$2695 + 8)</f>
        <v>H665</v>
      </c>
      <c r="C2717" s="852" t="str">
        <f ca="1">_xlfn.CONCAT(IFERROR(SUBSTITUTE(ADDRESS(1,MATCH(A2717,INDIRECT("'"&amp;E2717&amp;"'"&amp;"!A" &amp; $O$2695+ 8 &amp; ":Z" &amp; $O$2695 + 8),0),4),1,""),""),$O$2695 + 9)</f>
        <v>H666</v>
      </c>
      <c r="D2717" s="852" t="s">
        <v>1350</v>
      </c>
      <c r="E2717" s="852" t="s">
        <v>1516</v>
      </c>
      <c r="F2717" s="1720" t="s">
        <v>1492</v>
      </c>
      <c r="G2717" s="1720" t="str">
        <f>IF(T2717&lt;&gt;"","AL","")</f>
        <v/>
      </c>
      <c r="H2717" s="1720" t="s">
        <v>1990</v>
      </c>
      <c r="I2717" s="1307"/>
      <c r="J2717" s="1720"/>
      <c r="K2717" s="1720"/>
      <c r="L2717" s="852"/>
      <c r="M2717" s="1721"/>
      <c r="N2717" s="1720"/>
      <c r="O2717" s="625"/>
      <c r="P2717" s="625"/>
      <c r="Q2717" s="625"/>
      <c r="R2717" s="1720" t="s">
        <v>2194</v>
      </c>
      <c r="T2717" s="1720" t="str">
        <f t="shared" si="533"/>
        <v/>
      </c>
    </row>
    <row r="2718" spans="1:20" s="1718" customFormat="1" x14ac:dyDescent="0.25">
      <c r="A2718" s="873" t="s">
        <v>1380</v>
      </c>
      <c r="B2718" s="852" t="str">
        <f ca="1">_xlfn.CONCAT(IFERROR(SUBSTITUTE(ADDRESS(1,MATCH(A2718,INDIRECT("'"&amp;E2718&amp;"'"&amp;"!A" &amp; $O$2695+ 2 &amp; ":Z" &amp; $O$2695 + 2),0),4),1,""),""),$O$2695+ 2)</f>
        <v>H659</v>
      </c>
      <c r="C2718" s="852" t="str">
        <f ca="1">_xlfn.CONCAT(IFERROR(SUBSTITUTE(ADDRESS(1,MATCH(A2718,INDIRECT("'"&amp;E2718&amp;"'"&amp;"!A" &amp; $O$2695+ 2 &amp; ":Z" &amp; $O$2695 + 2),0),4),1,""),""),$O$2695+ 3)</f>
        <v>H660</v>
      </c>
      <c r="D2718" s="852" t="s">
        <v>1350</v>
      </c>
      <c r="E2718" s="852" t="s">
        <v>1516</v>
      </c>
      <c r="F2718" s="1720" t="s">
        <v>1991</v>
      </c>
      <c r="G2718" s="1720" t="str">
        <f>IF(T2718&lt;&gt;"","E","")</f>
        <v/>
      </c>
      <c r="H2718" s="1720" t="s">
        <v>1990</v>
      </c>
      <c r="I2718" s="1307"/>
      <c r="J2718" s="1720"/>
      <c r="K2718" s="1720"/>
      <c r="L2718" s="852"/>
      <c r="M2718" s="1721"/>
      <c r="N2718" s="1720"/>
      <c r="O2718" s="625"/>
      <c r="P2718" s="625"/>
      <c r="Q2718" s="625"/>
      <c r="R2718" s="1720" t="s">
        <v>2194</v>
      </c>
      <c r="T2718" s="1720" t="str">
        <f t="shared" si="533"/>
        <v/>
      </c>
    </row>
    <row r="2719" spans="1:20" s="1718" customFormat="1" x14ac:dyDescent="0.25">
      <c r="A2719" s="873" t="s">
        <v>1487</v>
      </c>
      <c r="B2719" s="852" t="str">
        <f ca="1">_xlfn.CONCAT(IFERROR(SUBSTITUTE(ADDRESS(1,MATCH(A2719,INDIRECT("'"&amp;E2719&amp;"'"&amp;"!A" &amp; $O$2695+ 2 &amp; ":Z" &amp; $O$2695 + 2),0),4),1,""),""),$O$2695+ 2)</f>
        <v>R659</v>
      </c>
      <c r="C2719" s="852" t="str">
        <f ca="1">_xlfn.CONCAT(IFERROR(SUBSTITUTE(ADDRESS(1,MATCH(A2719,INDIRECT("'"&amp;E2719&amp;"'"&amp;"!A" &amp; $O$2695+ 2 &amp; ":Z" &amp; $O$2695 + 2),0),4),1,""),""),$O$2695+ 3)</f>
        <v>R660</v>
      </c>
      <c r="D2719" s="852" t="s">
        <v>1350</v>
      </c>
      <c r="E2719" s="852" t="s">
        <v>1516</v>
      </c>
      <c r="F2719" s="1720" t="s">
        <v>1995</v>
      </c>
      <c r="G2719" s="1720" t="str">
        <f>IF(T2719&lt;&gt;"","G","")</f>
        <v/>
      </c>
      <c r="H2719" s="1720" t="s">
        <v>1990</v>
      </c>
      <c r="I2719" s="1307"/>
      <c r="J2719" s="1720"/>
      <c r="K2719" s="1720"/>
      <c r="L2719" s="852"/>
      <c r="M2719" s="1721"/>
      <c r="N2719" s="1720"/>
      <c r="O2719" s="625"/>
      <c r="P2719" s="625"/>
      <c r="Q2719" s="625"/>
      <c r="R2719" s="1720" t="s">
        <v>2194</v>
      </c>
      <c r="T2719" s="1720" t="str">
        <f t="shared" si="533"/>
        <v/>
      </c>
    </row>
    <row r="2720" spans="1:20" s="1718" customFormat="1" x14ac:dyDescent="0.25">
      <c r="A2720" s="873" t="s">
        <v>1488</v>
      </c>
      <c r="B2720" s="852" t="str">
        <f ca="1">_xlfn.CONCAT(IFERROR(SUBSTITUTE(ADDRESS(1,MATCH(A2720,INDIRECT("'"&amp;E2720&amp;"'"&amp;"!A" &amp; $O$2695+ 2 &amp; ":Z" &amp; $O$2695 + 2),0),4),1,""),""),$O$2695+ 2)</f>
        <v>T659</v>
      </c>
      <c r="C2720" s="852" t="str">
        <f ca="1">_xlfn.CONCAT(IFERROR(SUBSTITUTE(ADDRESS(1,MATCH(A2720,INDIRECT("'"&amp;E2720&amp;"'"&amp;"!A" &amp; $O$2695+ 2 &amp; ":Z" &amp; $O$2695 + 2),0),4),1,""),""),$O$2695+ 3)</f>
        <v>T660</v>
      </c>
      <c r="D2720" s="852" t="s">
        <v>1350</v>
      </c>
      <c r="E2720" s="852" t="s">
        <v>1516</v>
      </c>
      <c r="F2720" s="867" t="s">
        <v>1488</v>
      </c>
      <c r="G2720" s="1720" t="str">
        <f>IF(T2720&lt;&gt;"","AW","")</f>
        <v/>
      </c>
      <c r="H2720" s="1720" t="s">
        <v>1990</v>
      </c>
      <c r="I2720" s="1307"/>
      <c r="J2720" s="1720"/>
      <c r="K2720" s="1720"/>
      <c r="L2720" s="852"/>
      <c r="M2720" s="1721"/>
      <c r="N2720" s="1720"/>
      <c r="O2720" s="625"/>
      <c r="P2720" s="625"/>
      <c r="Q2720" s="625"/>
      <c r="R2720" s="1720" t="s">
        <v>2194</v>
      </c>
      <c r="T2720" s="1720" t="str">
        <f t="shared" si="533"/>
        <v/>
      </c>
    </row>
    <row r="2721" spans="1:20" s="1718" customFormat="1" x14ac:dyDescent="0.25">
      <c r="A2721" s="873" t="s">
        <v>1603</v>
      </c>
      <c r="B2721" s="852" t="str">
        <f ca="1">_xlfn.CONCAT(IFERROR(SUBSTITUTE(ADDRESS(1,MATCH(A2721,INDIRECT("'"&amp;E2721&amp;"'"&amp;"!A" &amp; $O$2695+ 5 &amp; ":Z" &amp; $O$2695 + 5),0),4),1,""),""),$O$2695+ 5)</f>
        <v>R662</v>
      </c>
      <c r="C2721" s="852" t="str">
        <f ca="1">_xlfn.CONCAT(IFERROR(SUBSTITUTE(ADDRESS(1,MATCH(A2721,INDIRECT("'"&amp;E2721&amp;"'"&amp;"!A" &amp; $O$2695+ 5 &amp; ":Z" &amp; $O$2695 + 5),0),4),1,""),""),$O$2695+ 6)</f>
        <v>R663</v>
      </c>
      <c r="D2721" s="852" t="s">
        <v>1350</v>
      </c>
      <c r="E2721" s="852" t="s">
        <v>1516</v>
      </c>
      <c r="F2721" s="1720" t="s">
        <v>1999</v>
      </c>
      <c r="G2721" s="1720" t="str">
        <f t="shared" ref="G2721" si="534">IF(T2721&lt;&gt;"","AB","")</f>
        <v/>
      </c>
      <c r="H2721" s="1720" t="s">
        <v>1990</v>
      </c>
      <c r="I2721" s="1307"/>
      <c r="J2721" s="1720"/>
      <c r="K2721" s="1720"/>
      <c r="L2721" s="852"/>
      <c r="M2721" s="1721"/>
      <c r="N2721" s="1720"/>
      <c r="O2721" s="625"/>
      <c r="P2721" s="625"/>
      <c r="Q2721" s="625"/>
      <c r="R2721" s="1720" t="s">
        <v>2194</v>
      </c>
      <c r="T2721" s="1720" t="str">
        <f t="shared" si="533"/>
        <v/>
      </c>
    </row>
    <row r="2722" spans="1:20" s="1718" customFormat="1" x14ac:dyDescent="0.25">
      <c r="A2722" s="873" t="s">
        <v>1604</v>
      </c>
      <c r="B2722" s="852" t="str">
        <f ca="1">_xlfn.CONCAT(IFERROR(SUBSTITUTE(ADDRESS(1,MATCH(A2722,INDIRECT("'"&amp;E2722&amp;"'"&amp;"!A" &amp; $O$2695+ 5 &amp; ":Z" &amp; $O$2695 + 5),0),4),1,""),""),$O$2695+ 5)</f>
        <v>T662</v>
      </c>
      <c r="C2722" s="852" t="str">
        <f ca="1">_xlfn.CONCAT(IFERROR(SUBSTITUTE(ADDRESS(1,MATCH(A2722,INDIRECT("'"&amp;E2722&amp;"'"&amp;"!A" &amp; $O$2695+ 5 &amp; ":Z" &amp; $O$2695 + 5),0),4),1,""),""),$O$2695+ 6)</f>
        <v>T663</v>
      </c>
      <c r="D2722" s="852" t="s">
        <v>1350</v>
      </c>
      <c r="E2722" s="852" t="s">
        <v>1516</v>
      </c>
      <c r="F2722" s="1720" t="s">
        <v>1604</v>
      </c>
      <c r="G2722" s="1720" t="str">
        <f t="shared" ref="G2722" si="535">IF(T2722&lt;&gt;"","AP","")</f>
        <v/>
      </c>
      <c r="H2722" s="1720" t="s">
        <v>1990</v>
      </c>
      <c r="I2722" s="1307"/>
      <c r="J2722" s="1720"/>
      <c r="K2722" s="1720"/>
      <c r="L2722" s="852"/>
      <c r="M2722" s="1721"/>
      <c r="N2722" s="1720"/>
      <c r="O2722" s="625"/>
      <c r="P2722" s="625"/>
      <c r="Q2722" s="625"/>
      <c r="R2722" s="1720" t="s">
        <v>2194</v>
      </c>
      <c r="T2722" s="1720" t="str">
        <f t="shared" si="533"/>
        <v/>
      </c>
    </row>
    <row r="2723" spans="1:20" s="1718" customFormat="1" x14ac:dyDescent="0.25">
      <c r="A2723" s="873" t="s">
        <v>2135</v>
      </c>
      <c r="B2723" s="852" t="str">
        <f ca="1">_xlfn.CONCAT(IFERROR(SUBSTITUTE(ADDRESS(1,MATCH(A2723,INDIRECT("'"&amp;E2723&amp;"'"&amp;"!A" &amp; $O$2695+ 8 &amp; ":Z" &amp; $O$2695 + 8),0),4),1,""),""),$O$2695 + 8)</f>
        <v>L665</v>
      </c>
      <c r="C2723" s="852" t="str">
        <f ca="1">_xlfn.CONCAT(IFERROR(SUBSTITUTE(ADDRESS(1,MATCH(A2723,INDIRECT("'"&amp;E2723&amp;"'"&amp;"!A" &amp; $O$2695+ 8 &amp; ":Z" &amp; $O$2695 + 8),0),4),1,""),""),$O$2695 + 9)</f>
        <v>L666</v>
      </c>
      <c r="D2723" s="852" t="s">
        <v>1350</v>
      </c>
      <c r="E2723" s="852" t="s">
        <v>1516</v>
      </c>
      <c r="F2723" s="1720" t="s">
        <v>2135</v>
      </c>
      <c r="G2723" s="1720" t="str">
        <f>IF(T2723&lt;&gt;"","AZ","")</f>
        <v/>
      </c>
      <c r="H2723" s="1720" t="s">
        <v>1990</v>
      </c>
      <c r="I2723" s="1307"/>
      <c r="J2723" s="1720"/>
      <c r="K2723" s="1720"/>
      <c r="L2723" s="852" t="s">
        <v>2135</v>
      </c>
      <c r="M2723" s="1721">
        <v>1652</v>
      </c>
      <c r="N2723" s="1720"/>
      <c r="O2723" s="625"/>
      <c r="P2723" s="625"/>
      <c r="Q2723" s="625"/>
      <c r="R2723" s="1720" t="s">
        <v>2194</v>
      </c>
      <c r="T2723" s="1720" t="str">
        <f t="shared" si="533"/>
        <v/>
      </c>
    </row>
    <row r="2724" spans="1:20" s="1718" customFormat="1" x14ac:dyDescent="0.25">
      <c r="A2724" s="1722" t="s">
        <v>1491</v>
      </c>
      <c r="B2724" s="852" t="str">
        <f ca="1">IFERROR(_xlfn.CONCAT("C",MATCH(A2724,INDIRECT("'"&amp;E2724&amp;"'!C"&amp;$O$2725&amp;":C"&amp;$O$2727),0)+$O$2725-1),"")</f>
        <v>C675</v>
      </c>
      <c r="C2724" s="852" t="str">
        <f ca="1">IFERROR(_xlfn.CONCAT("D",MATCH(A2724,INDIRECT("'"&amp;E2724&amp;"'!C"&amp;$O$2725&amp;":C"&amp;$O$2727),0)+$O$2725-1),"")</f>
        <v>D675</v>
      </c>
      <c r="D2724" s="852" t="s">
        <v>1350</v>
      </c>
      <c r="E2724" s="852" t="s">
        <v>1516</v>
      </c>
      <c r="F2724" s="852" t="s">
        <v>1491</v>
      </c>
      <c r="G2724" s="1720" t="str">
        <f>IF(T2724&lt;&gt;"","A","")</f>
        <v/>
      </c>
      <c r="H2724" s="1720" t="s">
        <v>1990</v>
      </c>
      <c r="I2724" s="852"/>
      <c r="J2724" s="852"/>
      <c r="K2724" s="852"/>
      <c r="L2724" s="852" t="s">
        <v>1491</v>
      </c>
      <c r="M2724" s="1369">
        <v>1653</v>
      </c>
      <c r="N2724" s="852"/>
      <c r="O2724" s="1718" t="s">
        <v>725</v>
      </c>
      <c r="R2724" s="1720" t="s">
        <v>2195</v>
      </c>
      <c r="T2724" s="1720" t="str">
        <f>IF(Q$2725="Yes",48,"")</f>
        <v/>
      </c>
    </row>
    <row r="2725" spans="1:20" s="1718" customFormat="1" x14ac:dyDescent="0.25">
      <c r="A2725" s="1722" t="s">
        <v>1705</v>
      </c>
      <c r="B2725" s="852" t="str">
        <f ca="1">_xlfn.CONCAT(IFERROR(SUBSTITUTE(ADDRESS(1,MATCH(A2725,INDIRECT("'"&amp;E2725&amp;"'"&amp;"!A" &amp; $O$2725+ 11 &amp; ":Z" &amp; $O$2725 + 11),0),4),1,""),""),$O$2725+ 11)</f>
        <v>T682</v>
      </c>
      <c r="C2725" s="852" t="str">
        <f ca="1">_xlfn.CONCAT(IFERROR(SUBSTITUTE(ADDRESS(1,MATCH(A2725,INDIRECT("'"&amp;E2725&amp;"'"&amp;"!A" &amp; $O$2725+ 11 &amp; ":Z" &amp; $O$2725 + 11),0),4),1,""),""),$O$2725+ 12)</f>
        <v>T683</v>
      </c>
      <c r="D2725" s="852" t="s">
        <v>1350</v>
      </c>
      <c r="E2725" s="852" t="s">
        <v>1516</v>
      </c>
      <c r="F2725" s="852"/>
      <c r="G2725" s="1720"/>
      <c r="H2725" s="1720"/>
      <c r="I2725" s="852"/>
      <c r="J2725" s="852"/>
      <c r="K2725" s="852"/>
      <c r="L2725" s="852" t="s">
        <v>1705</v>
      </c>
      <c r="M2725" s="1369">
        <v>1654</v>
      </c>
      <c r="N2725" s="852"/>
      <c r="O2725" s="1718">
        <f>'Configurable Tab'!H50</f>
        <v>671</v>
      </c>
      <c r="P2725" s="18" t="str">
        <f>'Configurable Tab'!J50</f>
        <v>No</v>
      </c>
      <c r="Q2725" s="1718" t="s">
        <v>648</v>
      </c>
      <c r="R2725" s="1720" t="s">
        <v>2195</v>
      </c>
      <c r="T2725" s="1720" t="str">
        <f t="shared" ref="T2725:T2734" si="536">IF(Q$2725="Yes",48,"")</f>
        <v/>
      </c>
    </row>
    <row r="2726" spans="1:20" s="1718" customFormat="1" x14ac:dyDescent="0.25">
      <c r="A2726" s="1722" t="s">
        <v>1383</v>
      </c>
      <c r="B2726" s="852" t="str">
        <f ca="1">IFERROR(_xlfn.CONCAT("C",MATCH(A2726,INDIRECT("'"&amp;E2726&amp;"'!C"&amp;$O$2725&amp;":C"&amp;$O$2727),0)+$O$2725-1),"")</f>
        <v>C673</v>
      </c>
      <c r="C2726" s="852" t="str">
        <f ca="1">IFERROR(_xlfn.CONCAT("D",MATCH(A2726,INDIRECT("'"&amp;E2726&amp;"'!C"&amp;$O$2725&amp;":C"&amp;$O$2727),0)+$O$2725-1),"")</f>
        <v>D673</v>
      </c>
      <c r="D2726" s="852" t="s">
        <v>1350</v>
      </c>
      <c r="E2726" s="852" t="s">
        <v>1516</v>
      </c>
      <c r="F2726" s="852" t="s">
        <v>1383</v>
      </c>
      <c r="G2726" s="1720" t="str">
        <f>IF(T2726&lt;&gt;"","B","")</f>
        <v/>
      </c>
      <c r="H2726" s="1720" t="s">
        <v>1990</v>
      </c>
      <c r="I2726" s="852"/>
      <c r="J2726" s="852"/>
      <c r="K2726" s="852"/>
      <c r="L2726" s="852" t="s">
        <v>1383</v>
      </c>
      <c r="M2726" s="1369">
        <v>1655</v>
      </c>
      <c r="N2726" s="852"/>
      <c r="O2726" s="1718" t="s">
        <v>726</v>
      </c>
      <c r="R2726" s="1720" t="s">
        <v>2195</v>
      </c>
      <c r="T2726" s="1720" t="str">
        <f t="shared" si="536"/>
        <v/>
      </c>
    </row>
    <row r="2727" spans="1:20" s="1718" customFormat="1" x14ac:dyDescent="0.25">
      <c r="A2727" s="1722" t="s">
        <v>1381</v>
      </c>
      <c r="B2727" s="852" t="str">
        <f ca="1">_xlfn.CONCAT(IFERROR(SUBSTITUTE(ADDRESS(1,MATCH(A2727,INDIRECT("'"&amp;E2727&amp;"'"&amp;"!A" &amp; $O$2725+ 2 &amp; ":Z" &amp; $O$2725 + 2),0),4),1,""),""),$O$2725+ 2)</f>
        <v>J673</v>
      </c>
      <c r="C2727" s="852" t="str">
        <f ca="1">_xlfn.CONCAT(IFERROR(SUBSTITUTE(ADDRESS(1,MATCH(A2727,INDIRECT("'"&amp;E2727&amp;"'"&amp;"!A" &amp; $O$2725+ 2 &amp; ":Z" &amp; $O$2725 + 2),0),4),1,""),""),$O$2725+ 3)</f>
        <v>J674</v>
      </c>
      <c r="D2727" s="852" t="s">
        <v>1350</v>
      </c>
      <c r="E2727" s="852" t="s">
        <v>1516</v>
      </c>
      <c r="F2727" s="852" t="s">
        <v>1992</v>
      </c>
      <c r="G2727" s="1720" t="str">
        <f>IF(T2727&lt;&gt;"","I","")</f>
        <v/>
      </c>
      <c r="H2727" s="1720" t="s">
        <v>1990</v>
      </c>
      <c r="I2727" s="852"/>
      <c r="J2727" s="852"/>
      <c r="K2727" s="852"/>
      <c r="L2727" s="852" t="s">
        <v>1381</v>
      </c>
      <c r="M2727" s="1369">
        <v>1656</v>
      </c>
      <c r="N2727" s="852"/>
      <c r="O2727" s="1718">
        <f>'Configurable Tab'!I50</f>
        <v>684</v>
      </c>
      <c r="R2727" s="1720" t="s">
        <v>2195</v>
      </c>
      <c r="T2727" s="1720" t="str">
        <f t="shared" si="536"/>
        <v/>
      </c>
    </row>
    <row r="2728" spans="1:20" s="1718" customFormat="1" x14ac:dyDescent="0.25">
      <c r="A2728" s="1722" t="s">
        <v>1382</v>
      </c>
      <c r="B2728" s="852" t="str">
        <f ca="1">_xlfn.CONCAT(IFERROR(SUBSTITUTE(ADDRESS(1,MATCH(A2728,INDIRECT("'"&amp;E2728&amp;"'"&amp;"!A" &amp; $O$2725+ 2 &amp; ":Z" &amp; $O$2725 + 2),0),4),1,""),""),$O$2725+ 2)</f>
        <v>N673</v>
      </c>
      <c r="C2728" s="852" t="str">
        <f ca="1">_xlfn.CONCAT(IFERROR(SUBSTITUTE(ADDRESS(1,MATCH(A2728,INDIRECT("'"&amp;E2728&amp;"'"&amp;"!A" &amp; $O$2725+ 2 &amp; ":Z" &amp; $O$2725 + 2),0),4),1,""),""),$O$2725+ 3)</f>
        <v>N674</v>
      </c>
      <c r="D2728" s="852" t="s">
        <v>1350</v>
      </c>
      <c r="E2728" s="852" t="s">
        <v>1516</v>
      </c>
      <c r="F2728" s="852" t="s">
        <v>1382</v>
      </c>
      <c r="G2728" s="1720" t="str">
        <f>IF(T2728&lt;&gt;"",IF(Q2727="Credit Memo","J",IF(Q2727="Check","K","")),"")</f>
        <v/>
      </c>
      <c r="H2728" s="1720" t="s">
        <v>1990</v>
      </c>
      <c r="I2728" s="852"/>
      <c r="J2728" s="852"/>
      <c r="K2728" s="852"/>
      <c r="L2728" s="852" t="s">
        <v>1382</v>
      </c>
      <c r="M2728" s="1369">
        <v>1657</v>
      </c>
      <c r="N2728" s="852"/>
      <c r="O2728" s="1718" t="s">
        <v>2204</v>
      </c>
      <c r="R2728" s="1720" t="s">
        <v>2195</v>
      </c>
      <c r="T2728" s="1720" t="str">
        <f t="shared" si="536"/>
        <v/>
      </c>
    </row>
    <row r="2729" spans="1:20" s="1718" customFormat="1" x14ac:dyDescent="0.25">
      <c r="A2729" s="1722" t="s">
        <v>1385</v>
      </c>
      <c r="B2729" s="852" t="str">
        <f ca="1">IFERROR(_xlfn.CONCAT("C",MATCH(A2729,INDIRECT("'"&amp;E2729&amp;"'!C"&amp;$O$2725&amp;":C"&amp;$O$2727),0)+$O$2725-1),"")</f>
        <v>C677</v>
      </c>
      <c r="C2729" s="852" t="str">
        <f ca="1">IFERROR(_xlfn.CONCAT("D",MATCH(A2729,INDIRECT("'"&amp;E2729&amp;"'!C"&amp;$O$2725&amp;":C"&amp;$O$2727),0)+$O$2725-1),"")</f>
        <v>D677</v>
      </c>
      <c r="D2729" s="852" t="s">
        <v>1350</v>
      </c>
      <c r="E2729" s="852" t="s">
        <v>1516</v>
      </c>
      <c r="F2729" s="852" t="s">
        <v>1385</v>
      </c>
      <c r="G2729" s="1720" t="str">
        <f>IF(T2729&lt;&gt;"","C","")</f>
        <v/>
      </c>
      <c r="H2729" s="1720" t="s">
        <v>1990</v>
      </c>
      <c r="I2729" s="852"/>
      <c r="J2729" s="852"/>
      <c r="K2729" s="852"/>
      <c r="L2729" s="852" t="s">
        <v>1385</v>
      </c>
      <c r="M2729" s="1369">
        <v>1658</v>
      </c>
      <c r="N2729" s="852"/>
      <c r="R2729" s="1720" t="s">
        <v>2195</v>
      </c>
      <c r="T2729" s="1720" t="str">
        <f t="shared" si="536"/>
        <v/>
      </c>
    </row>
    <row r="2730" spans="1:20" s="1718" customFormat="1" x14ac:dyDescent="0.25">
      <c r="A2730" s="1722" t="s">
        <v>1386</v>
      </c>
      <c r="B2730" s="852" t="str">
        <f ca="1">IFERROR(_xlfn.CONCAT("C",MATCH(A2730,INDIRECT("'"&amp;E2730&amp;"'!C"&amp;$O$2725&amp;":C"&amp;$O$2727),0)+$O$2725-1),"")</f>
        <v>C679</v>
      </c>
      <c r="C2730" s="852" t="str">
        <f ca="1">IFERROR(_xlfn.CONCAT("D",MATCH(A2730,INDIRECT("'"&amp;E2730&amp;"'!C"&amp;$O$2725&amp;":C"&amp;$O$2727),0)+$O$2725-1),"")</f>
        <v>D679</v>
      </c>
      <c r="D2730" s="852" t="s">
        <v>1350</v>
      </c>
      <c r="E2730" s="852" t="s">
        <v>1516</v>
      </c>
      <c r="F2730" s="852" t="s">
        <v>1386</v>
      </c>
      <c r="G2730" s="1720" t="str">
        <f>IF(T2730&lt;&gt;"","D","")</f>
        <v/>
      </c>
      <c r="H2730" s="1720" t="s">
        <v>1990</v>
      </c>
      <c r="I2730" s="852"/>
      <c r="J2730" s="852"/>
      <c r="K2730" s="852"/>
      <c r="L2730" s="852" t="s">
        <v>1386</v>
      </c>
      <c r="M2730" s="1369">
        <v>1659</v>
      </c>
      <c r="N2730" s="852"/>
      <c r="R2730" s="1720" t="s">
        <v>2195</v>
      </c>
      <c r="T2730" s="1720" t="str">
        <f t="shared" si="536"/>
        <v/>
      </c>
    </row>
    <row r="2731" spans="1:20" s="1718" customFormat="1" x14ac:dyDescent="0.25">
      <c r="A2731" s="1722" t="s">
        <v>1396</v>
      </c>
      <c r="B2731" s="852" t="str">
        <f ca="1">_xlfn.CONCAT(IFERROR(SUBSTITUTE(ADDRESS(1,MATCH(A2731,INDIRECT("'"&amp;E2731&amp;"'"&amp;"!A" &amp; $O$2725+ 5 &amp; ":Z" &amp; $O$2725 + 5),0),4),1,""),""),$O$2725+ 5)</f>
        <v>H676</v>
      </c>
      <c r="C2731" s="852" t="str">
        <f ca="1">_xlfn.CONCAT(IFERROR(SUBSTITUTE(ADDRESS(1,MATCH(A2731,INDIRECT("'"&amp;E2731&amp;"'"&amp;"!A" &amp; $O$2725+ 5 &amp; ":Z" &amp; $O$2725 + 5),0),4),1,""),""),$O$2725+ 6)</f>
        <v>H677</v>
      </c>
      <c r="D2731" s="852" t="s">
        <v>1350</v>
      </c>
      <c r="E2731" s="852" t="s">
        <v>1516</v>
      </c>
      <c r="F2731" s="1720" t="s">
        <v>1396</v>
      </c>
      <c r="G2731" s="1720" t="str">
        <f>IF(T2731&lt;&gt;"","S","")</f>
        <v/>
      </c>
      <c r="H2731" s="1720" t="s">
        <v>1990</v>
      </c>
      <c r="I2731" s="852"/>
      <c r="J2731" s="852"/>
      <c r="K2731" s="852"/>
      <c r="L2731" s="852" t="s">
        <v>1396</v>
      </c>
      <c r="M2731" s="1369">
        <v>1660</v>
      </c>
      <c r="N2731" s="852"/>
      <c r="R2731" s="1720" t="s">
        <v>2195</v>
      </c>
      <c r="T2731" s="1720" t="str">
        <f t="shared" si="536"/>
        <v/>
      </c>
    </row>
    <row r="2732" spans="1:20" s="1718" customFormat="1" x14ac:dyDescent="0.25">
      <c r="A2732" s="1722" t="s">
        <v>2005</v>
      </c>
      <c r="B2732" s="852" t="str">
        <f ca="1">_xlfn.CONCAT(IFERROR(SUBSTITUTE(ADDRESS(1,MATCH(A2732,INDIRECT("'"&amp;E2732&amp;"'"&amp;"!A" &amp; $O$2725+ 8 &amp; ":Z" &amp; $O$2725 + 8),0),4),1,""),""),$O$2725 + 8)</f>
        <v>J679</v>
      </c>
      <c r="C2732" s="852" t="str">
        <f ca="1">_xlfn.CONCAT(IFERROR(SUBSTITUTE(ADDRESS(1,MATCH(A2732,INDIRECT("'"&amp;E2732&amp;"'"&amp;"!A" &amp; $O$2725+ 8 &amp; ":Z" &amp; $O$2725 + 8),0),4),1,""),""),$O$2725 + 9)</f>
        <v>J680</v>
      </c>
      <c r="D2732" s="852" t="s">
        <v>1350</v>
      </c>
      <c r="E2732" s="852" t="s">
        <v>1516</v>
      </c>
      <c r="F2732" s="852" t="s">
        <v>2005</v>
      </c>
      <c r="G2732" s="1720" t="str">
        <f>IF(T2732&lt;&gt;"","AQ","")</f>
        <v/>
      </c>
      <c r="H2732" s="1720" t="s">
        <v>1990</v>
      </c>
      <c r="I2732" s="852"/>
      <c r="J2732" s="852"/>
      <c r="K2732" s="852"/>
      <c r="L2732" s="852" t="s">
        <v>2005</v>
      </c>
      <c r="M2732" s="1369">
        <v>1661</v>
      </c>
      <c r="N2732" s="852"/>
      <c r="R2732" s="1720" t="s">
        <v>2195</v>
      </c>
      <c r="T2732" s="1720" t="str">
        <f t="shared" si="536"/>
        <v/>
      </c>
    </row>
    <row r="2733" spans="1:20" s="1718" customFormat="1" x14ac:dyDescent="0.25">
      <c r="A2733" s="1722" t="s">
        <v>1482</v>
      </c>
      <c r="B2733" s="852" t="str">
        <f ca="1">_xlfn.CONCAT(IFERROR(SUBSTITUTE(ADDRESS(1,MATCH(A2733,INDIRECT("'"&amp;E2733&amp;"'"&amp;"!A" &amp; $O$2725+ 8 &amp; ":Z" &amp; $O$2725 + 8),0),4),1,""),""),$O$2725 + 8)</f>
        <v>N679</v>
      </c>
      <c r="C2733" s="852" t="str">
        <f ca="1">_xlfn.CONCAT(IFERROR(SUBSTITUTE(ADDRESS(1,MATCH(A2733,INDIRECT("'"&amp;E2733&amp;"'"&amp;"!A" &amp; $O$2725+ 8 &amp; ":Z" &amp; $O$2725 + 8),0),4),1,""),""),$O$2725 + 9)</f>
        <v>N680</v>
      </c>
      <c r="D2733" s="852" t="s">
        <v>1350</v>
      </c>
      <c r="E2733" s="852" t="s">
        <v>1516</v>
      </c>
      <c r="F2733" s="852" t="s">
        <v>2054</v>
      </c>
      <c r="G2733" s="1720" t="str">
        <f>IF(T2733&lt;&gt;"","AA","")</f>
        <v/>
      </c>
      <c r="H2733" s="1720" t="s">
        <v>1990</v>
      </c>
      <c r="I2733" s="852"/>
      <c r="J2733" s="852"/>
      <c r="K2733" s="852"/>
      <c r="L2733" s="852" t="s">
        <v>2006</v>
      </c>
      <c r="M2733" s="1369">
        <v>1662</v>
      </c>
      <c r="N2733" s="852"/>
      <c r="R2733" s="1720" t="s">
        <v>2195</v>
      </c>
      <c r="T2733" s="1720" t="str">
        <f t="shared" si="536"/>
        <v/>
      </c>
    </row>
    <row r="2734" spans="1:20" s="1718" customFormat="1" x14ac:dyDescent="0.25">
      <c r="A2734" s="1722" t="s">
        <v>1397</v>
      </c>
      <c r="B2734" s="852" t="str">
        <f ca="1">_xlfn.CONCAT(IFERROR(SUBSTITUTE(ADDRESS(1,MATCH(A2734,INDIRECT("'"&amp;E2734&amp;"'"&amp;"!A" &amp; $O$2725+ 2 &amp; ":Z" &amp; $O$2725 + 2),0),4),1,""),""),$O$2725 + 2)</f>
        <v>L673</v>
      </c>
      <c r="C2734" s="852" t="str">
        <f ca="1">_xlfn.CONCAT(IFERROR(SUBSTITUTE(ADDRESS(1,MATCH(A2734,INDIRECT("'"&amp;E2734&amp;"'"&amp;"!A" &amp; $O$2725+ 2 &amp; ":Z" &amp; $O$2725 + 2),0),4),1,""),""),$O$2725 + 3)</f>
        <v>L674</v>
      </c>
      <c r="D2734" s="852" t="s">
        <v>1350</v>
      </c>
      <c r="E2734" s="852" t="s">
        <v>1516</v>
      </c>
      <c r="F2734" s="852" t="s">
        <v>1993</v>
      </c>
      <c r="G2734" s="1720" t="str">
        <f>IF(T2734&lt;&gt;"","H","")</f>
        <v/>
      </c>
      <c r="H2734" s="1720" t="s">
        <v>1990</v>
      </c>
      <c r="I2734" s="852"/>
      <c r="J2734" s="852"/>
      <c r="K2734" s="852"/>
      <c r="L2734" s="852" t="s">
        <v>1397</v>
      </c>
      <c r="M2734" s="1369">
        <v>1663</v>
      </c>
      <c r="N2734" s="852"/>
      <c r="R2734" s="1720" t="s">
        <v>2195</v>
      </c>
      <c r="T2734" s="1720" t="str">
        <f t="shared" si="536"/>
        <v/>
      </c>
    </row>
    <row r="2735" spans="1:20" s="1718" customFormat="1" x14ac:dyDescent="0.25">
      <c r="A2735" s="1722" t="s">
        <v>1705</v>
      </c>
      <c r="B2735" s="1307" t="str">
        <f>IFERROR(_xlfn.CONCAT("D",('Configurable Tab'!$C$23+1)),"")</f>
        <v>D226</v>
      </c>
      <c r="C2735" s="1307" t="str">
        <f>IFERROR(_xlfn.CONCAT("E",('Configurable Tab'!$C$23+1)),"")</f>
        <v>E226</v>
      </c>
      <c r="D2735" s="852" t="s">
        <v>1350</v>
      </c>
      <c r="E2735" s="852" t="s">
        <v>1742</v>
      </c>
      <c r="F2735" s="1720"/>
      <c r="G2735" s="1720"/>
      <c r="H2735" s="1720"/>
      <c r="I2735" s="1307" t="str">
        <f t="shared" ref="I2735:I2745" si="537">IF(J2735&lt;&gt;"",A2735,"")</f>
        <v/>
      </c>
      <c r="J2735" s="1720" t="str">
        <f t="shared" ref="J2735:J2744" si="538">IFERROR(IF($Q$2725="Yes",Q$1&amp;M2725,""),"")</f>
        <v/>
      </c>
      <c r="K2735" s="1720" t="str">
        <f t="shared" ref="K2735:K2745" si="539">IF(J2735&lt;&gt;"",E2735,"")</f>
        <v/>
      </c>
      <c r="M2735" s="1719"/>
      <c r="Q2735" s="1307" t="str">
        <f>IFERROR(_xlfn.CONCAT("C",('Configurable Tab'!$C35+1)),"")</f>
        <v>C358</v>
      </c>
      <c r="R2735" s="1720" t="s">
        <v>2195</v>
      </c>
    </row>
    <row r="2736" spans="1:20" s="1718" customFormat="1" x14ac:dyDescent="0.25">
      <c r="A2736" s="1722" t="s">
        <v>1383</v>
      </c>
      <c r="B2736" s="1307" t="str">
        <f>IFERROR(_xlfn.CONCAT("D",('Configurable Tab'!$C$23+2)),"")</f>
        <v>D227</v>
      </c>
      <c r="C2736" s="1307" t="str">
        <f>IFERROR(_xlfn.CONCAT("E",('Configurable Tab'!$C$23+2)),"")</f>
        <v>E227</v>
      </c>
      <c r="D2736" s="852" t="s">
        <v>1350</v>
      </c>
      <c r="E2736" s="852" t="s">
        <v>1742</v>
      </c>
      <c r="F2736" s="1720"/>
      <c r="G2736" s="1720"/>
      <c r="H2736" s="1720"/>
      <c r="I2736" s="1307" t="str">
        <f t="shared" si="537"/>
        <v/>
      </c>
      <c r="J2736" s="1720" t="str">
        <f t="shared" si="538"/>
        <v/>
      </c>
      <c r="K2736" s="1720" t="str">
        <f t="shared" si="539"/>
        <v/>
      </c>
      <c r="M2736" s="1719"/>
      <c r="R2736" s="1720" t="s">
        <v>2195</v>
      </c>
    </row>
    <row r="2737" spans="1:20" s="1718" customFormat="1" x14ac:dyDescent="0.25">
      <c r="A2737" s="1722" t="s">
        <v>1381</v>
      </c>
      <c r="B2737" s="1307" t="str">
        <f>IFERROR(_xlfn.CONCAT("I",('Configurable Tab'!$C$23+1)),"")</f>
        <v>I226</v>
      </c>
      <c r="C2737" s="1307" t="str">
        <f>IFERROR(_xlfn.CONCAT("I",('Configurable Tab'!$C$23+2)),"")</f>
        <v>I227</v>
      </c>
      <c r="D2737" s="852" t="s">
        <v>1350</v>
      </c>
      <c r="E2737" s="852" t="s">
        <v>1742</v>
      </c>
      <c r="F2737" s="1720"/>
      <c r="G2737" s="1720"/>
      <c r="H2737" s="1720"/>
      <c r="I2737" s="1307" t="str">
        <f t="shared" si="537"/>
        <v/>
      </c>
      <c r="J2737" s="1720" t="str">
        <f t="shared" si="538"/>
        <v/>
      </c>
      <c r="K2737" s="1720" t="str">
        <f t="shared" si="539"/>
        <v/>
      </c>
      <c r="M2737" s="1719"/>
      <c r="R2737" s="1720" t="s">
        <v>2195</v>
      </c>
    </row>
    <row r="2738" spans="1:20" s="1718" customFormat="1" x14ac:dyDescent="0.25">
      <c r="A2738" s="1722" t="s">
        <v>1382</v>
      </c>
      <c r="B2738" s="1307" t="str">
        <f>IFERROR(_xlfn.CONCAT("M",('Configurable Tab'!$C$23+1)),"")</f>
        <v>M226</v>
      </c>
      <c r="C2738" s="1307" t="str">
        <f>IFERROR(_xlfn.CONCAT("M",('Configurable Tab'!$C$23+2)),"")</f>
        <v>M227</v>
      </c>
      <c r="D2738" s="852" t="s">
        <v>1350</v>
      </c>
      <c r="E2738" s="852" t="s">
        <v>1742</v>
      </c>
      <c r="F2738" s="1720"/>
      <c r="G2738" s="1720"/>
      <c r="H2738" s="1720"/>
      <c r="I2738" s="1307" t="str">
        <f t="shared" si="537"/>
        <v/>
      </c>
      <c r="J2738" s="1720" t="str">
        <f t="shared" si="538"/>
        <v/>
      </c>
      <c r="K2738" s="1720" t="str">
        <f t="shared" si="539"/>
        <v/>
      </c>
      <c r="M2738" s="1719"/>
      <c r="R2738" s="1720" t="s">
        <v>2195</v>
      </c>
    </row>
    <row r="2739" spans="1:20" s="1718" customFormat="1" x14ac:dyDescent="0.25">
      <c r="A2739" s="1722" t="s">
        <v>1385</v>
      </c>
      <c r="B2739" s="1307" t="str">
        <f>IFERROR(_xlfn.CONCAT("D",('Configurable Tab'!$C$23+4)),"")</f>
        <v>D229</v>
      </c>
      <c r="C2739" s="1307" t="str">
        <f>IFERROR(_xlfn.CONCAT("E",('Configurable Tab'!$C$23+4)),"")</f>
        <v>E229</v>
      </c>
      <c r="D2739" s="852" t="s">
        <v>1350</v>
      </c>
      <c r="E2739" s="852" t="s">
        <v>1742</v>
      </c>
      <c r="F2739" s="1720"/>
      <c r="G2739" s="1720"/>
      <c r="H2739" s="1720"/>
      <c r="I2739" s="1307" t="str">
        <f t="shared" si="537"/>
        <v/>
      </c>
      <c r="J2739" s="1720" t="str">
        <f t="shared" si="538"/>
        <v/>
      </c>
      <c r="K2739" s="1720" t="str">
        <f t="shared" si="539"/>
        <v/>
      </c>
      <c r="M2739" s="1719"/>
      <c r="R2739" s="1720" t="s">
        <v>2195</v>
      </c>
    </row>
    <row r="2740" spans="1:20" s="1718" customFormat="1" x14ac:dyDescent="0.25">
      <c r="A2740" s="1722" t="s">
        <v>1386</v>
      </c>
      <c r="B2740" s="1307" t="str">
        <f>IFERROR(_xlfn.CONCAT("D",('Configurable Tab'!$C$23+5)),"")</f>
        <v>D230</v>
      </c>
      <c r="C2740" s="1307" t="str">
        <f>IFERROR(_xlfn.CONCAT("E",('Configurable Tab'!$C$23+5)),"")</f>
        <v>E230</v>
      </c>
      <c r="D2740" s="852" t="s">
        <v>1350</v>
      </c>
      <c r="E2740" s="852" t="s">
        <v>1742</v>
      </c>
      <c r="F2740" s="1720"/>
      <c r="G2740" s="1720"/>
      <c r="H2740" s="1720"/>
      <c r="I2740" s="1307" t="str">
        <f t="shared" si="537"/>
        <v/>
      </c>
      <c r="J2740" s="1720" t="str">
        <f t="shared" si="538"/>
        <v/>
      </c>
      <c r="K2740" s="1720" t="str">
        <f t="shared" si="539"/>
        <v/>
      </c>
      <c r="M2740" s="1719"/>
      <c r="R2740" s="1720" t="s">
        <v>2195</v>
      </c>
    </row>
    <row r="2741" spans="1:20" s="1718" customFormat="1" x14ac:dyDescent="0.25">
      <c r="A2741" s="1722" t="s">
        <v>1396</v>
      </c>
      <c r="B2741" s="1307" t="str">
        <f>IFERROR(_xlfn.CONCAT("G",('Configurable Tab'!$C$23+7)),"")</f>
        <v>G232</v>
      </c>
      <c r="C2741" s="1307" t="str">
        <f>IFERROR(_xlfn.CONCAT("G",('Configurable Tab'!$C$23+8)),"")</f>
        <v>G233</v>
      </c>
      <c r="D2741" s="852" t="s">
        <v>1350</v>
      </c>
      <c r="E2741" s="852" t="s">
        <v>1742</v>
      </c>
      <c r="F2741" s="1720"/>
      <c r="G2741" s="1720"/>
      <c r="H2741" s="1720"/>
      <c r="I2741" s="1307" t="str">
        <f t="shared" si="537"/>
        <v/>
      </c>
      <c r="J2741" s="1720" t="str">
        <f t="shared" si="538"/>
        <v/>
      </c>
      <c r="K2741" s="1720" t="str">
        <f t="shared" si="539"/>
        <v/>
      </c>
      <c r="M2741" s="1719"/>
      <c r="R2741" s="1720" t="s">
        <v>2195</v>
      </c>
    </row>
    <row r="2742" spans="1:20" s="1718" customFormat="1" x14ac:dyDescent="0.25">
      <c r="A2742" s="1722" t="s">
        <v>2005</v>
      </c>
      <c r="B2742" s="1307" t="str">
        <f>IFERROR(_xlfn.CONCAT("G",('Configurable Tab'!$C$23+7)),"")</f>
        <v>G232</v>
      </c>
      <c r="C2742" s="1307" t="str">
        <f>IFERROR(_xlfn.CONCAT("G",('Configurable Tab'!$C$23+8)),"")</f>
        <v>G233</v>
      </c>
      <c r="D2742" s="852" t="s">
        <v>1350</v>
      </c>
      <c r="E2742" s="852" t="s">
        <v>1742</v>
      </c>
      <c r="F2742" s="1720"/>
      <c r="G2742" s="1720"/>
      <c r="H2742" s="1720"/>
      <c r="I2742" s="1307" t="str">
        <f t="shared" si="537"/>
        <v/>
      </c>
      <c r="J2742" s="1720" t="str">
        <f t="shared" si="538"/>
        <v/>
      </c>
      <c r="K2742" s="1720" t="str">
        <f t="shared" si="539"/>
        <v/>
      </c>
      <c r="M2742" s="1719"/>
      <c r="R2742" s="1720" t="s">
        <v>2195</v>
      </c>
    </row>
    <row r="2743" spans="1:20" s="1718" customFormat="1" x14ac:dyDescent="0.25">
      <c r="A2743" s="1722" t="s">
        <v>1482</v>
      </c>
      <c r="B2743" s="1307" t="str">
        <f>IFERROR(_xlfn.CONCAT("K",('Configurable Tab'!$C$23+7)),"")</f>
        <v>K232</v>
      </c>
      <c r="C2743" s="1307" t="str">
        <f>IFERROR(_xlfn.CONCAT("K",('Configurable Tab'!$C$23+8)),"")</f>
        <v>K233</v>
      </c>
      <c r="D2743" s="852" t="s">
        <v>1350</v>
      </c>
      <c r="E2743" s="852" t="s">
        <v>1742</v>
      </c>
      <c r="F2743" s="1720"/>
      <c r="G2743" s="1720"/>
      <c r="H2743" s="1720"/>
      <c r="I2743" s="1307" t="str">
        <f t="shared" si="537"/>
        <v/>
      </c>
      <c r="J2743" s="1720" t="str">
        <f t="shared" si="538"/>
        <v/>
      </c>
      <c r="K2743" s="1720" t="str">
        <f t="shared" si="539"/>
        <v/>
      </c>
      <c r="M2743" s="1719"/>
      <c r="R2743" s="1720" t="s">
        <v>2195</v>
      </c>
    </row>
    <row r="2744" spans="1:20" s="1718" customFormat="1" x14ac:dyDescent="0.25">
      <c r="A2744" s="1722" t="s">
        <v>1397</v>
      </c>
      <c r="B2744" s="1307" t="str">
        <f>IFERROR(_xlfn.CONCAT("K",('Configurable Tab'!$C$23+1)),"")</f>
        <v>K226</v>
      </c>
      <c r="C2744" s="1307" t="str">
        <f>IFERROR(_xlfn.CONCAT("K",('Configurable Tab'!$C$23+2)),"")</f>
        <v>K227</v>
      </c>
      <c r="D2744" s="852" t="s">
        <v>1350</v>
      </c>
      <c r="E2744" s="852" t="s">
        <v>1742</v>
      </c>
      <c r="F2744" s="1720"/>
      <c r="G2744" s="1720"/>
      <c r="H2744" s="1720"/>
      <c r="I2744" s="1307" t="str">
        <f t="shared" si="537"/>
        <v/>
      </c>
      <c r="J2744" s="1720" t="str">
        <f t="shared" si="538"/>
        <v/>
      </c>
      <c r="K2744" s="1720" t="str">
        <f t="shared" si="539"/>
        <v/>
      </c>
      <c r="M2744" s="1719"/>
      <c r="R2744" s="1720" t="s">
        <v>2195</v>
      </c>
    </row>
    <row r="2745" spans="1:20" s="1718" customFormat="1" x14ac:dyDescent="0.25">
      <c r="A2745" s="1722" t="s">
        <v>1496</v>
      </c>
      <c r="B2745" s="852" t="str">
        <f ca="1">IFERROR(_xlfn.CONCAT("C",MATCH(A2745,INDIRECT("'"&amp;E2745&amp;"'!C"&amp;$O$2725&amp;":C"&amp;$O$2727),0)+$O$2725-1),"")</f>
        <v>C683</v>
      </c>
      <c r="C2745" s="852" t="str">
        <f ca="1">IFERROR(_xlfn.CONCAT("D",MATCH(A2745,INDIRECT("'"&amp;E2745&amp;"'!C"&amp;$O$2725&amp;":C"&amp;$O$2727),0)+$O$2725-1),"")</f>
        <v>D683</v>
      </c>
      <c r="D2745" s="852" t="s">
        <v>1350</v>
      </c>
      <c r="E2745" s="852" t="s">
        <v>1516</v>
      </c>
      <c r="F2745" s="1720" t="s">
        <v>1496</v>
      </c>
      <c r="G2745" s="1720" t="str">
        <f t="shared" ref="G2745" si="540">IF(T2745&lt;&gt;"","AS","")</f>
        <v/>
      </c>
      <c r="H2745" s="1720" t="s">
        <v>1990</v>
      </c>
      <c r="I2745" s="1307" t="str">
        <f t="shared" si="537"/>
        <v/>
      </c>
      <c r="J2745" s="1720"/>
      <c r="K2745" s="1720" t="str">
        <f t="shared" si="539"/>
        <v/>
      </c>
      <c r="L2745" s="852"/>
      <c r="M2745" s="1721"/>
      <c r="N2745" s="1720"/>
      <c r="R2745" s="1720" t="s">
        <v>2195</v>
      </c>
      <c r="T2745" s="1720" t="str">
        <f t="shared" ref="T2745:T2753" si="541">IF(Q$2725="Yes",48,"")</f>
        <v/>
      </c>
    </row>
    <row r="2746" spans="1:20" s="1718" customFormat="1" x14ac:dyDescent="0.25">
      <c r="A2746" s="1723" t="s">
        <v>1495</v>
      </c>
      <c r="B2746" s="852" t="str">
        <f ca="1">IFERROR(_xlfn.CONCAT("C",MATCH(A2746,INDIRECT("'"&amp;E2746&amp;"'!C"&amp;$O$2725&amp;":C"&amp;$O$2727),0)+$O$2725-1),"")</f>
        <v>C681</v>
      </c>
      <c r="C2746" s="852" t="str">
        <f ca="1">IFERROR(_xlfn.CONCAT("D",MATCH(A2746,INDIRECT("'"&amp;E2746&amp;"'!C"&amp;$O$2725&amp;":C"&amp;$O$2727),0)+$O$2725-1),"")</f>
        <v>D681</v>
      </c>
      <c r="D2746" s="852" t="s">
        <v>1350</v>
      </c>
      <c r="E2746" s="852" t="s">
        <v>1516</v>
      </c>
      <c r="F2746" s="1720" t="s">
        <v>1495</v>
      </c>
      <c r="G2746" s="1720" t="str">
        <f>IF(T2746&lt;&gt;"","AN","")</f>
        <v/>
      </c>
      <c r="H2746" s="1720" t="s">
        <v>1990</v>
      </c>
      <c r="I2746" s="1307"/>
      <c r="J2746" s="1720"/>
      <c r="K2746" s="1720"/>
      <c r="L2746" s="852"/>
      <c r="M2746" s="1721"/>
      <c r="N2746" s="1720"/>
      <c r="O2746" s="1606"/>
      <c r="P2746" s="625"/>
      <c r="Q2746" s="625"/>
      <c r="R2746" s="1720" t="s">
        <v>2195</v>
      </c>
      <c r="T2746" s="1720" t="str">
        <f t="shared" si="541"/>
        <v/>
      </c>
    </row>
    <row r="2747" spans="1:20" s="1718" customFormat="1" x14ac:dyDescent="0.25">
      <c r="A2747" s="1723" t="s">
        <v>1492</v>
      </c>
      <c r="B2747" s="852" t="str">
        <f ca="1">_xlfn.CONCAT(IFERROR(SUBSTITUTE(ADDRESS(1,MATCH(A2747,INDIRECT("'"&amp;E2747&amp;"'"&amp;"!A" &amp; $O$2725+ 8 &amp; ":Z" &amp; $O$2725 + 8),0),4),1,""),""),$O$2725 + 8)</f>
        <v>H679</v>
      </c>
      <c r="C2747" s="852" t="str">
        <f ca="1">_xlfn.CONCAT(IFERROR(SUBSTITUTE(ADDRESS(1,MATCH(A2747,INDIRECT("'"&amp;E2747&amp;"'"&amp;"!A" &amp; $O$2725+ 8 &amp; ":Z" &amp; $O$2725 + 8),0),4),1,""),""),$O$2725 + 9)</f>
        <v>H680</v>
      </c>
      <c r="D2747" s="852" t="s">
        <v>1350</v>
      </c>
      <c r="E2747" s="852" t="s">
        <v>1516</v>
      </c>
      <c r="F2747" s="1720" t="s">
        <v>1492</v>
      </c>
      <c r="G2747" s="1720" t="str">
        <f>IF(T2747&lt;&gt;"","AL","")</f>
        <v/>
      </c>
      <c r="H2747" s="1720" t="s">
        <v>1990</v>
      </c>
      <c r="I2747" s="1307"/>
      <c r="J2747" s="1720"/>
      <c r="K2747" s="1720"/>
      <c r="L2747" s="852"/>
      <c r="M2747" s="1721"/>
      <c r="N2747" s="1720"/>
      <c r="O2747" s="625"/>
      <c r="P2747" s="625"/>
      <c r="Q2747" s="625"/>
      <c r="R2747" s="1720" t="s">
        <v>2195</v>
      </c>
      <c r="T2747" s="1720" t="str">
        <f t="shared" si="541"/>
        <v/>
      </c>
    </row>
    <row r="2748" spans="1:20" s="1718" customFormat="1" x14ac:dyDescent="0.25">
      <c r="A2748" s="1723" t="s">
        <v>1380</v>
      </c>
      <c r="B2748" s="852" t="str">
        <f ca="1">_xlfn.CONCAT(IFERROR(SUBSTITUTE(ADDRESS(1,MATCH(A2748,INDIRECT("'"&amp;E2748&amp;"'"&amp;"!A" &amp; $O$2725+ 2 &amp; ":Z" &amp; $O$2725 + 2),0),4),1,""),""),$O$2725+ 2)</f>
        <v>H673</v>
      </c>
      <c r="C2748" s="852" t="str">
        <f ca="1">_xlfn.CONCAT(IFERROR(SUBSTITUTE(ADDRESS(1,MATCH(A2748,INDIRECT("'"&amp;E2748&amp;"'"&amp;"!A" &amp; $O$2725+ 2 &amp; ":Z" &amp; $O$2725 + 2),0),4),1,""),""),$O$2725+ 3)</f>
        <v>H674</v>
      </c>
      <c r="D2748" s="852" t="s">
        <v>1350</v>
      </c>
      <c r="E2748" s="852" t="s">
        <v>1516</v>
      </c>
      <c r="F2748" s="1720" t="s">
        <v>1991</v>
      </c>
      <c r="G2748" s="1720" t="str">
        <f>IF(T2748&lt;&gt;"","E","")</f>
        <v/>
      </c>
      <c r="H2748" s="1720" t="s">
        <v>1990</v>
      </c>
      <c r="I2748" s="1307"/>
      <c r="J2748" s="1720"/>
      <c r="K2748" s="1720"/>
      <c r="L2748" s="852"/>
      <c r="M2748" s="1721"/>
      <c r="N2748" s="1720"/>
      <c r="O2748" s="625"/>
      <c r="P2748" s="625"/>
      <c r="Q2748" s="625"/>
      <c r="R2748" s="1720" t="s">
        <v>2195</v>
      </c>
      <c r="T2748" s="1720" t="str">
        <f t="shared" si="541"/>
        <v/>
      </c>
    </row>
    <row r="2749" spans="1:20" s="1718" customFormat="1" x14ac:dyDescent="0.25">
      <c r="A2749" s="1723" t="s">
        <v>1487</v>
      </c>
      <c r="B2749" s="852" t="str">
        <f ca="1">_xlfn.CONCAT(IFERROR(SUBSTITUTE(ADDRESS(1,MATCH(A2749,INDIRECT("'"&amp;E2749&amp;"'"&amp;"!A" &amp; $O$2725+ 2 &amp; ":Z" &amp; $O$2725 + 2),0),4),1,""),""),$O$2725+ 2)</f>
        <v>R673</v>
      </c>
      <c r="C2749" s="852" t="str">
        <f ca="1">_xlfn.CONCAT(IFERROR(SUBSTITUTE(ADDRESS(1,MATCH(A2749,INDIRECT("'"&amp;E2749&amp;"'"&amp;"!A" &amp; $O$2725+ 2 &amp; ":Z" &amp; $O$2725 + 2),0),4),1,""),""),$O$2725+ 3)</f>
        <v>R674</v>
      </c>
      <c r="D2749" s="852" t="s">
        <v>1350</v>
      </c>
      <c r="E2749" s="852" t="s">
        <v>1516</v>
      </c>
      <c r="F2749" s="1720" t="s">
        <v>1995</v>
      </c>
      <c r="G2749" s="1720" t="str">
        <f>IF(T2749&lt;&gt;"","G","")</f>
        <v/>
      </c>
      <c r="H2749" s="1720" t="s">
        <v>1990</v>
      </c>
      <c r="I2749" s="1307"/>
      <c r="J2749" s="1720"/>
      <c r="K2749" s="1720"/>
      <c r="L2749" s="852"/>
      <c r="M2749" s="1721"/>
      <c r="N2749" s="1720"/>
      <c r="O2749" s="625"/>
      <c r="P2749" s="625"/>
      <c r="Q2749" s="625"/>
      <c r="R2749" s="1720" t="s">
        <v>2195</v>
      </c>
      <c r="T2749" s="1720" t="str">
        <f t="shared" si="541"/>
        <v/>
      </c>
    </row>
    <row r="2750" spans="1:20" s="1718" customFormat="1" x14ac:dyDescent="0.25">
      <c r="A2750" s="1723" t="s">
        <v>1488</v>
      </c>
      <c r="B2750" s="852" t="str">
        <f ca="1">_xlfn.CONCAT(IFERROR(SUBSTITUTE(ADDRESS(1,MATCH(A2750,INDIRECT("'"&amp;E2750&amp;"'"&amp;"!A" &amp; $O$2725+ 2 &amp; ":Z" &amp; $O$2725 + 2),0),4),1,""),""),$O$2725+ 2)</f>
        <v>T673</v>
      </c>
      <c r="C2750" s="852" t="str">
        <f ca="1">_xlfn.CONCAT(IFERROR(SUBSTITUTE(ADDRESS(1,MATCH(A2750,INDIRECT("'"&amp;E2750&amp;"'"&amp;"!A" &amp; $O$2725+ 2 &amp; ":Z" &amp; $O$2725 + 2),0),4),1,""),""),$O$2725+ 3)</f>
        <v>T674</v>
      </c>
      <c r="D2750" s="852" t="s">
        <v>1350</v>
      </c>
      <c r="E2750" s="852" t="s">
        <v>1516</v>
      </c>
      <c r="F2750" s="867" t="s">
        <v>1488</v>
      </c>
      <c r="G2750" s="1720" t="str">
        <f>IF(T2750&lt;&gt;"","AW","")</f>
        <v/>
      </c>
      <c r="H2750" s="1720" t="s">
        <v>1990</v>
      </c>
      <c r="I2750" s="1307"/>
      <c r="J2750" s="1720"/>
      <c r="K2750" s="1720"/>
      <c r="L2750" s="852"/>
      <c r="M2750" s="1721"/>
      <c r="N2750" s="1720"/>
      <c r="O2750" s="625"/>
      <c r="P2750" s="625"/>
      <c r="Q2750" s="625"/>
      <c r="R2750" s="1720" t="s">
        <v>2195</v>
      </c>
      <c r="T2750" s="1720" t="str">
        <f t="shared" si="541"/>
        <v/>
      </c>
    </row>
    <row r="2751" spans="1:20" s="1718" customFormat="1" x14ac:dyDescent="0.25">
      <c r="A2751" s="1723" t="s">
        <v>1603</v>
      </c>
      <c r="B2751" s="852" t="str">
        <f ca="1">_xlfn.CONCAT(IFERROR(SUBSTITUTE(ADDRESS(1,MATCH(A2751,INDIRECT("'"&amp;E2751&amp;"'"&amp;"!A" &amp; $O$2725+ 5 &amp; ":Z" &amp; $O$2725 + 5),0),4),1,""),""),$O$2725+ 5)</f>
        <v>R676</v>
      </c>
      <c r="C2751" s="852" t="str">
        <f ca="1">_xlfn.CONCAT(IFERROR(SUBSTITUTE(ADDRESS(1,MATCH(A2751,INDIRECT("'"&amp;E2751&amp;"'"&amp;"!A" &amp; $O$2725+ 5 &amp; ":Z" &amp; $O$2725 + 5),0),4),1,""),""),$O$2725+ 6)</f>
        <v>R677</v>
      </c>
      <c r="D2751" s="852" t="s">
        <v>1350</v>
      </c>
      <c r="E2751" s="852" t="s">
        <v>1516</v>
      </c>
      <c r="F2751" s="1720" t="s">
        <v>1999</v>
      </c>
      <c r="G2751" s="1720" t="str">
        <f t="shared" ref="G2751" si="542">IF(T2751&lt;&gt;"","AB","")</f>
        <v/>
      </c>
      <c r="H2751" s="1720" t="s">
        <v>1990</v>
      </c>
      <c r="I2751" s="1307"/>
      <c r="J2751" s="1720"/>
      <c r="K2751" s="1720"/>
      <c r="L2751" s="852"/>
      <c r="M2751" s="1721"/>
      <c r="N2751" s="1720"/>
      <c r="O2751" s="625"/>
      <c r="P2751" s="625"/>
      <c r="Q2751" s="625"/>
      <c r="R2751" s="1720" t="s">
        <v>2195</v>
      </c>
      <c r="T2751" s="1720" t="str">
        <f t="shared" si="541"/>
        <v/>
      </c>
    </row>
    <row r="2752" spans="1:20" s="1718" customFormat="1" x14ac:dyDescent="0.25">
      <c r="A2752" s="1723" t="s">
        <v>1604</v>
      </c>
      <c r="B2752" s="852" t="str">
        <f ca="1">_xlfn.CONCAT(IFERROR(SUBSTITUTE(ADDRESS(1,MATCH(A2752,INDIRECT("'"&amp;E2752&amp;"'"&amp;"!A" &amp; $O$2725+ 5 &amp; ":Z" &amp; $O$2725 + 5),0),4),1,""),""),$O$2725+ 5)</f>
        <v>T676</v>
      </c>
      <c r="C2752" s="852" t="str">
        <f ca="1">_xlfn.CONCAT(IFERROR(SUBSTITUTE(ADDRESS(1,MATCH(A2752,INDIRECT("'"&amp;E2752&amp;"'"&amp;"!A" &amp; $O$2725+ 5 &amp; ":Z" &amp; $O$2725 + 5),0),4),1,""),""),$O$2725+ 6)</f>
        <v>T677</v>
      </c>
      <c r="D2752" s="852" t="s">
        <v>1350</v>
      </c>
      <c r="E2752" s="852" t="s">
        <v>1516</v>
      </c>
      <c r="F2752" s="1720" t="s">
        <v>1604</v>
      </c>
      <c r="G2752" s="1720" t="str">
        <f t="shared" ref="G2752" si="543">IF(T2752&lt;&gt;"","AP","")</f>
        <v/>
      </c>
      <c r="H2752" s="1720" t="s">
        <v>1990</v>
      </c>
      <c r="I2752" s="1307"/>
      <c r="J2752" s="1720"/>
      <c r="K2752" s="1720"/>
      <c r="L2752" s="852"/>
      <c r="M2752" s="1721"/>
      <c r="N2752" s="1720"/>
      <c r="O2752" s="625"/>
      <c r="P2752" s="625"/>
      <c r="Q2752" s="625"/>
      <c r="R2752" s="1720" t="s">
        <v>2195</v>
      </c>
      <c r="T2752" s="1720" t="str">
        <f t="shared" si="541"/>
        <v/>
      </c>
    </row>
    <row r="2753" spans="1:20" s="1718" customFormat="1" x14ac:dyDescent="0.25">
      <c r="A2753" s="1723" t="s">
        <v>2135</v>
      </c>
      <c r="B2753" s="852" t="str">
        <f ca="1">_xlfn.CONCAT(IFERROR(SUBSTITUTE(ADDRESS(1,MATCH(A2753,INDIRECT("'"&amp;E2753&amp;"'"&amp;"!A" &amp; $O$2725+ 8 &amp; ":Z" &amp; $O$2725 + 8),0),4),1,""),""),$O$2725 + 8)</f>
        <v>L679</v>
      </c>
      <c r="C2753" s="852" t="str">
        <f ca="1">_xlfn.CONCAT(IFERROR(SUBSTITUTE(ADDRESS(1,MATCH(A2753,INDIRECT("'"&amp;E2753&amp;"'"&amp;"!A" &amp; $O$2725+ 8 &amp; ":Z" &amp; $O$2725 + 8),0),4),1,""),""),$O$2725 + 9)</f>
        <v>L680</v>
      </c>
      <c r="D2753" s="852" t="s">
        <v>1350</v>
      </c>
      <c r="E2753" s="852" t="s">
        <v>1516</v>
      </c>
      <c r="F2753" s="1720" t="s">
        <v>2135</v>
      </c>
      <c r="G2753" s="1720" t="str">
        <f>IF(T2753&lt;&gt;"","AZ","")</f>
        <v/>
      </c>
      <c r="H2753" s="1720" t="s">
        <v>1990</v>
      </c>
      <c r="I2753" s="1307"/>
      <c r="J2753" s="1720"/>
      <c r="K2753" s="1720"/>
      <c r="L2753" s="852" t="s">
        <v>2135</v>
      </c>
      <c r="M2753" s="1721">
        <v>1664</v>
      </c>
      <c r="N2753" s="1720"/>
      <c r="O2753" s="625"/>
      <c r="P2753" s="625"/>
      <c r="Q2753" s="625"/>
      <c r="R2753" s="1720" t="s">
        <v>2195</v>
      </c>
      <c r="T2753" s="1720" t="str">
        <f t="shared" si="541"/>
        <v/>
      </c>
    </row>
    <row r="2754" spans="1:20" s="1718" customFormat="1" x14ac:dyDescent="0.25">
      <c r="A2754" s="872" t="s">
        <v>1491</v>
      </c>
      <c r="B2754" s="852" t="str">
        <f ca="1">IFERROR(_xlfn.CONCAT("C",MATCH(A2754,INDIRECT("'"&amp;E2754&amp;"'!C"&amp;$O$2755&amp;":C"&amp;$O$2757),0)+$O$2755-1),"")</f>
        <v>C689</v>
      </c>
      <c r="C2754" s="852" t="str">
        <f ca="1">IFERROR(_xlfn.CONCAT("D",MATCH(A2754,INDIRECT("'"&amp;E2754&amp;"'!C"&amp;$O$2755&amp;":C"&amp;$O$2757),0)+$O$2755-1),"")</f>
        <v>D689</v>
      </c>
      <c r="D2754" s="852" t="s">
        <v>1350</v>
      </c>
      <c r="E2754" s="852" t="s">
        <v>1516</v>
      </c>
      <c r="F2754" s="852" t="s">
        <v>1491</v>
      </c>
      <c r="G2754" s="1720" t="str">
        <f>IF(T2754&lt;&gt;"","A","")</f>
        <v/>
      </c>
      <c r="H2754" s="1720" t="s">
        <v>1990</v>
      </c>
      <c r="I2754" s="852"/>
      <c r="J2754" s="852"/>
      <c r="K2754" s="852"/>
      <c r="L2754" s="852" t="s">
        <v>1491</v>
      </c>
      <c r="M2754" s="1369">
        <v>1665</v>
      </c>
      <c r="N2754" s="852"/>
      <c r="O2754" s="1718" t="s">
        <v>725</v>
      </c>
      <c r="R2754" s="1720" t="s">
        <v>2196</v>
      </c>
      <c r="T2754" s="1720" t="str">
        <f>IF(Q$2755="Yes",48,"")</f>
        <v/>
      </c>
    </row>
    <row r="2755" spans="1:20" s="1718" customFormat="1" x14ac:dyDescent="0.25">
      <c r="A2755" s="872" t="s">
        <v>1705</v>
      </c>
      <c r="B2755" s="852" t="str">
        <f ca="1">_xlfn.CONCAT(IFERROR(SUBSTITUTE(ADDRESS(1,MATCH(A2755,INDIRECT("'"&amp;E2755&amp;"'"&amp;"!A" &amp; $O$2755+ 11 &amp; ":Z" &amp; $O$2755 + 11),0),4),1,""),""),$O$2755+ 11)</f>
        <v>T696</v>
      </c>
      <c r="C2755" s="852" t="str">
        <f ca="1">_xlfn.CONCAT(IFERROR(SUBSTITUTE(ADDRESS(1,MATCH(A2755,INDIRECT("'"&amp;E2755&amp;"'"&amp;"!A" &amp; $O$2755+ 11 &amp; ":Z" &amp; $O$2755 + 11),0),4),1,""),""),$O$2755+ 12)</f>
        <v>T697</v>
      </c>
      <c r="D2755" s="852" t="s">
        <v>1350</v>
      </c>
      <c r="E2755" s="852" t="s">
        <v>1516</v>
      </c>
      <c r="F2755" s="852"/>
      <c r="G2755" s="1720"/>
      <c r="H2755" s="1720"/>
      <c r="I2755" s="852"/>
      <c r="J2755" s="852"/>
      <c r="K2755" s="852"/>
      <c r="L2755" s="852" t="s">
        <v>1705</v>
      </c>
      <c r="M2755" s="1369">
        <v>1666</v>
      </c>
      <c r="N2755" s="852"/>
      <c r="O2755" s="1718">
        <f>'Configurable Tab'!H51</f>
        <v>685</v>
      </c>
      <c r="P2755" s="18" t="str">
        <f>'Configurable Tab'!J51</f>
        <v>No</v>
      </c>
      <c r="Q2755" s="1718" t="s">
        <v>648</v>
      </c>
      <c r="R2755" s="1720" t="s">
        <v>2196</v>
      </c>
      <c r="T2755" s="1720" t="str">
        <f t="shared" ref="T2755:T2764" si="544">IF(Q$2755="Yes",48,"")</f>
        <v/>
      </c>
    </row>
    <row r="2756" spans="1:20" s="1718" customFormat="1" x14ac:dyDescent="0.25">
      <c r="A2756" s="872" t="s">
        <v>1383</v>
      </c>
      <c r="B2756" s="852" t="str">
        <f ca="1">IFERROR(_xlfn.CONCAT("C",MATCH(A2756,INDIRECT("'"&amp;E2756&amp;"'!C"&amp;$O$2755&amp;":C"&amp;$O$2757),0)+$O$2755-1),"")</f>
        <v>C687</v>
      </c>
      <c r="C2756" s="852" t="str">
        <f ca="1">IFERROR(_xlfn.CONCAT("D",MATCH(A2756,INDIRECT("'"&amp;E2756&amp;"'!C"&amp;$O$2755&amp;":C"&amp;$O$2757),0)+$O$2755-1),"")</f>
        <v>D687</v>
      </c>
      <c r="D2756" s="852" t="s">
        <v>1350</v>
      </c>
      <c r="E2756" s="852" t="s">
        <v>1516</v>
      </c>
      <c r="F2756" s="852" t="s">
        <v>1383</v>
      </c>
      <c r="G2756" s="1720" t="str">
        <f>IF(T2756&lt;&gt;"","B","")</f>
        <v/>
      </c>
      <c r="H2756" s="1720" t="s">
        <v>1990</v>
      </c>
      <c r="I2756" s="852"/>
      <c r="J2756" s="852"/>
      <c r="K2756" s="852"/>
      <c r="L2756" s="852" t="s">
        <v>1383</v>
      </c>
      <c r="M2756" s="1369">
        <v>1667</v>
      </c>
      <c r="N2756" s="852"/>
      <c r="O2756" s="1718" t="s">
        <v>726</v>
      </c>
      <c r="R2756" s="1720" t="s">
        <v>2196</v>
      </c>
      <c r="T2756" s="1720" t="str">
        <f t="shared" si="544"/>
        <v/>
      </c>
    </row>
    <row r="2757" spans="1:20" s="1718" customFormat="1" x14ac:dyDescent="0.25">
      <c r="A2757" s="872" t="s">
        <v>1381</v>
      </c>
      <c r="B2757" s="852" t="str">
        <f ca="1">_xlfn.CONCAT(IFERROR(SUBSTITUTE(ADDRESS(1,MATCH(A2757,INDIRECT("'"&amp;E2757&amp;"'"&amp;"!A" &amp; $O$2755+ 2 &amp; ":Z" &amp; $O$2755 + 2),0),4),1,""),""),$O$2755+ 2)</f>
        <v>J687</v>
      </c>
      <c r="C2757" s="852" t="str">
        <f ca="1">_xlfn.CONCAT(IFERROR(SUBSTITUTE(ADDRESS(1,MATCH(A2757,INDIRECT("'"&amp;E2757&amp;"'"&amp;"!A" &amp; $O$2755+ 2 &amp; ":Z" &amp; $O$2755 + 2),0),4),1,""),""),$O$2755+ 3)</f>
        <v>J688</v>
      </c>
      <c r="D2757" s="852" t="s">
        <v>1350</v>
      </c>
      <c r="E2757" s="852" t="s">
        <v>1516</v>
      </c>
      <c r="F2757" s="852" t="s">
        <v>1992</v>
      </c>
      <c r="G2757" s="1720" t="str">
        <f>IF(T2757&lt;&gt;"","I","")</f>
        <v/>
      </c>
      <c r="H2757" s="1720" t="s">
        <v>1990</v>
      </c>
      <c r="I2757" s="852"/>
      <c r="J2757" s="852"/>
      <c r="K2757" s="852"/>
      <c r="L2757" s="852" t="s">
        <v>1381</v>
      </c>
      <c r="M2757" s="1369">
        <v>1668</v>
      </c>
      <c r="N2757" s="852"/>
      <c r="O2757" s="1718">
        <f>'Configurable Tab'!I51</f>
        <v>698</v>
      </c>
      <c r="R2757" s="1720" t="s">
        <v>2196</v>
      </c>
      <c r="T2757" s="1720" t="str">
        <f t="shared" si="544"/>
        <v/>
      </c>
    </row>
    <row r="2758" spans="1:20" s="1718" customFormat="1" x14ac:dyDescent="0.25">
      <c r="A2758" s="872" t="s">
        <v>1382</v>
      </c>
      <c r="B2758" s="852" t="str">
        <f ca="1">_xlfn.CONCAT(IFERROR(SUBSTITUTE(ADDRESS(1,MATCH(A2758,INDIRECT("'"&amp;E2758&amp;"'"&amp;"!A" &amp; $O$2755+ 2 &amp; ":Z" &amp; $O$2755 + 2),0),4),1,""),""),$O$2755+ 2)</f>
        <v>N687</v>
      </c>
      <c r="C2758" s="852" t="str">
        <f ca="1">_xlfn.CONCAT(IFERROR(SUBSTITUTE(ADDRESS(1,MATCH(A2758,INDIRECT("'"&amp;E2758&amp;"'"&amp;"!A" &amp; $O$2755+ 2 &amp; ":Z" &amp; $O$2755 + 2),0),4),1,""),""),$O$2755+ 3)</f>
        <v>N688</v>
      </c>
      <c r="D2758" s="852" t="s">
        <v>1350</v>
      </c>
      <c r="E2758" s="852" t="s">
        <v>1516</v>
      </c>
      <c r="F2758" s="852" t="s">
        <v>1382</v>
      </c>
      <c r="G2758" s="1720" t="str">
        <f>IF(T2758&lt;&gt;"",IF(Q2757="Credit Memo","J",IF(Q2757="Check","K","")),"")</f>
        <v/>
      </c>
      <c r="H2758" s="1720" t="s">
        <v>1990</v>
      </c>
      <c r="I2758" s="852"/>
      <c r="J2758" s="852"/>
      <c r="K2758" s="852"/>
      <c r="L2758" s="852" t="s">
        <v>1382</v>
      </c>
      <c r="M2758" s="1369">
        <v>1669</v>
      </c>
      <c r="N2758" s="852"/>
      <c r="O2758" s="1718" t="s">
        <v>2205</v>
      </c>
      <c r="R2758" s="1720" t="s">
        <v>2196</v>
      </c>
      <c r="T2758" s="1720" t="str">
        <f t="shared" si="544"/>
        <v/>
      </c>
    </row>
    <row r="2759" spans="1:20" s="1718" customFormat="1" x14ac:dyDescent="0.25">
      <c r="A2759" s="872" t="s">
        <v>1385</v>
      </c>
      <c r="B2759" s="852" t="str">
        <f ca="1">IFERROR(_xlfn.CONCAT("C",MATCH(A2759,INDIRECT("'"&amp;E2759&amp;"'!C"&amp;$O$2755&amp;":C"&amp;$O$2757),0)+$O$2755-1),"")</f>
        <v>C691</v>
      </c>
      <c r="C2759" s="852" t="str">
        <f ca="1">IFERROR(_xlfn.CONCAT("D",MATCH(A2759,INDIRECT("'"&amp;E2759&amp;"'!C"&amp;$O$2755&amp;":C"&amp;$O$2757),0)+$O$2755-1),"")</f>
        <v>D691</v>
      </c>
      <c r="D2759" s="852" t="s">
        <v>1350</v>
      </c>
      <c r="E2759" s="852" t="s">
        <v>1516</v>
      </c>
      <c r="F2759" s="852" t="s">
        <v>1385</v>
      </c>
      <c r="G2759" s="1720" t="str">
        <f>IF(T2759&lt;&gt;"","C","")</f>
        <v/>
      </c>
      <c r="H2759" s="1720" t="s">
        <v>1990</v>
      </c>
      <c r="I2759" s="852"/>
      <c r="J2759" s="852"/>
      <c r="K2759" s="852"/>
      <c r="L2759" s="852" t="s">
        <v>1385</v>
      </c>
      <c r="M2759" s="1369">
        <v>1670</v>
      </c>
      <c r="N2759" s="852"/>
      <c r="R2759" s="1720" t="s">
        <v>2196</v>
      </c>
      <c r="T2759" s="1720" t="str">
        <f t="shared" si="544"/>
        <v/>
      </c>
    </row>
    <row r="2760" spans="1:20" s="1718" customFormat="1" x14ac:dyDescent="0.25">
      <c r="A2760" s="872" t="s">
        <v>1386</v>
      </c>
      <c r="B2760" s="852" t="str">
        <f ca="1">IFERROR(_xlfn.CONCAT("C",MATCH(A2760,INDIRECT("'"&amp;E2760&amp;"'!C"&amp;$O$2755&amp;":C"&amp;$O$2757),0)+$O$2755-1),"")</f>
        <v>C693</v>
      </c>
      <c r="C2760" s="852" t="str">
        <f ca="1">IFERROR(_xlfn.CONCAT("D",MATCH(A2760,INDIRECT("'"&amp;E2760&amp;"'!C"&amp;$O$2755&amp;":C"&amp;$O$2757),0)+$O$2755-1),"")</f>
        <v>D693</v>
      </c>
      <c r="D2760" s="852" t="s">
        <v>1350</v>
      </c>
      <c r="E2760" s="852" t="s">
        <v>1516</v>
      </c>
      <c r="F2760" s="852" t="s">
        <v>1386</v>
      </c>
      <c r="G2760" s="1720" t="str">
        <f>IF(T2760&lt;&gt;"","D","")</f>
        <v/>
      </c>
      <c r="H2760" s="1720" t="s">
        <v>1990</v>
      </c>
      <c r="I2760" s="852"/>
      <c r="J2760" s="852"/>
      <c r="K2760" s="852"/>
      <c r="L2760" s="852" t="s">
        <v>1386</v>
      </c>
      <c r="M2760" s="1369">
        <v>1671</v>
      </c>
      <c r="N2760" s="852"/>
      <c r="R2760" s="1720" t="s">
        <v>2196</v>
      </c>
      <c r="T2760" s="1720" t="str">
        <f t="shared" si="544"/>
        <v/>
      </c>
    </row>
    <row r="2761" spans="1:20" s="1718" customFormat="1" x14ac:dyDescent="0.25">
      <c r="A2761" s="872" t="s">
        <v>1396</v>
      </c>
      <c r="B2761" s="852" t="str">
        <f ca="1">_xlfn.CONCAT(IFERROR(SUBSTITUTE(ADDRESS(1,MATCH(A2761,INDIRECT("'"&amp;E2761&amp;"'"&amp;"!A" &amp; $O$2755+ 5 &amp; ":Z" &amp; $O$2755 + 5),0),4),1,""),""),$O$2755+ 5)</f>
        <v>H690</v>
      </c>
      <c r="C2761" s="852" t="str">
        <f ca="1">_xlfn.CONCAT(IFERROR(SUBSTITUTE(ADDRESS(1,MATCH(A2761,INDIRECT("'"&amp;E2761&amp;"'"&amp;"!A" &amp; $O$2755+ 5 &amp; ":Z" &amp; $O$2755 + 5),0),4),1,""),""),$O$2755+ 6)</f>
        <v>H691</v>
      </c>
      <c r="D2761" s="852" t="s">
        <v>1350</v>
      </c>
      <c r="E2761" s="852" t="s">
        <v>1516</v>
      </c>
      <c r="F2761" s="1720" t="s">
        <v>1396</v>
      </c>
      <c r="G2761" s="1720" t="str">
        <f>IF(T2761&lt;&gt;"","S","")</f>
        <v/>
      </c>
      <c r="H2761" s="1720" t="s">
        <v>1990</v>
      </c>
      <c r="I2761" s="852"/>
      <c r="J2761" s="852"/>
      <c r="K2761" s="852"/>
      <c r="L2761" s="852" t="s">
        <v>1396</v>
      </c>
      <c r="M2761" s="1369">
        <v>1672</v>
      </c>
      <c r="N2761" s="852"/>
      <c r="R2761" s="1720" t="s">
        <v>2196</v>
      </c>
      <c r="T2761" s="1720" t="str">
        <f t="shared" si="544"/>
        <v/>
      </c>
    </row>
    <row r="2762" spans="1:20" s="1718" customFormat="1" x14ac:dyDescent="0.25">
      <c r="A2762" s="872" t="s">
        <v>2005</v>
      </c>
      <c r="B2762" s="852" t="str">
        <f ca="1">_xlfn.CONCAT(IFERROR(SUBSTITUTE(ADDRESS(1,MATCH(A2762,INDIRECT("'"&amp;E2762&amp;"'"&amp;"!A" &amp; $O$2755+ 8 &amp; ":Z" &amp; $O$2755 + 8),0),4),1,""),""),$O$2755 + 8)</f>
        <v>J693</v>
      </c>
      <c r="C2762" s="852" t="str">
        <f ca="1">_xlfn.CONCAT(IFERROR(SUBSTITUTE(ADDRESS(1,MATCH(A2762,INDIRECT("'"&amp;E2762&amp;"'"&amp;"!A" &amp; $O$2755+ 8 &amp; ":Z" &amp; $O$2755 + 8),0),4),1,""),""),$O$2755 + 9)</f>
        <v>J694</v>
      </c>
      <c r="D2762" s="852" t="s">
        <v>1350</v>
      </c>
      <c r="E2762" s="852" t="s">
        <v>1516</v>
      </c>
      <c r="F2762" s="852" t="s">
        <v>2005</v>
      </c>
      <c r="G2762" s="1720" t="str">
        <f>IF(T2762&lt;&gt;"","AQ","")</f>
        <v/>
      </c>
      <c r="H2762" s="1720" t="s">
        <v>1990</v>
      </c>
      <c r="I2762" s="852"/>
      <c r="J2762" s="852"/>
      <c r="K2762" s="852"/>
      <c r="L2762" s="852" t="s">
        <v>2005</v>
      </c>
      <c r="M2762" s="1369">
        <v>1673</v>
      </c>
      <c r="N2762" s="852"/>
      <c r="R2762" s="1720" t="s">
        <v>2196</v>
      </c>
      <c r="T2762" s="1720" t="str">
        <f t="shared" si="544"/>
        <v/>
      </c>
    </row>
    <row r="2763" spans="1:20" s="1718" customFormat="1" x14ac:dyDescent="0.25">
      <c r="A2763" s="872" t="s">
        <v>1482</v>
      </c>
      <c r="B2763" s="852" t="str">
        <f ca="1">_xlfn.CONCAT(IFERROR(SUBSTITUTE(ADDRESS(1,MATCH(A2763,INDIRECT("'"&amp;E2763&amp;"'"&amp;"!A" &amp; $O$2755+ 8 &amp; ":Z" &amp; $O$2755 + 8),0),4),1,""),""),$O$2755 + 8)</f>
        <v>N693</v>
      </c>
      <c r="C2763" s="852" t="str">
        <f ca="1">_xlfn.CONCAT(IFERROR(SUBSTITUTE(ADDRESS(1,MATCH(A2763,INDIRECT("'"&amp;E2763&amp;"'"&amp;"!A" &amp; $O$2755+ 8 &amp; ":Z" &amp; $O$2755 + 8),0),4),1,""),""),$O$2755 + 9)</f>
        <v>N694</v>
      </c>
      <c r="D2763" s="852" t="s">
        <v>1350</v>
      </c>
      <c r="E2763" s="852" t="s">
        <v>1516</v>
      </c>
      <c r="F2763" s="852" t="s">
        <v>2054</v>
      </c>
      <c r="G2763" s="1720" t="str">
        <f>IF(T2763&lt;&gt;"","AA","")</f>
        <v/>
      </c>
      <c r="H2763" s="1720" t="s">
        <v>1990</v>
      </c>
      <c r="I2763" s="852"/>
      <c r="J2763" s="852"/>
      <c r="K2763" s="852"/>
      <c r="L2763" s="852" t="s">
        <v>2006</v>
      </c>
      <c r="M2763" s="1369">
        <v>1674</v>
      </c>
      <c r="N2763" s="852"/>
      <c r="R2763" s="1720" t="s">
        <v>2196</v>
      </c>
      <c r="T2763" s="1720" t="str">
        <f t="shared" si="544"/>
        <v/>
      </c>
    </row>
    <row r="2764" spans="1:20" s="1718" customFormat="1" x14ac:dyDescent="0.25">
      <c r="A2764" s="872" t="s">
        <v>1397</v>
      </c>
      <c r="B2764" s="852" t="str">
        <f ca="1">_xlfn.CONCAT(IFERROR(SUBSTITUTE(ADDRESS(1,MATCH(A2764,INDIRECT("'"&amp;E2764&amp;"'"&amp;"!A" &amp; $O$2755+ 2 &amp; ":Z" &amp; $O$2755 + 2),0),4),1,""),""),$O$2755 + 2)</f>
        <v>L687</v>
      </c>
      <c r="C2764" s="852" t="str">
        <f ca="1">_xlfn.CONCAT(IFERROR(SUBSTITUTE(ADDRESS(1,MATCH(A2764,INDIRECT("'"&amp;E2764&amp;"'"&amp;"!A" &amp; $O$2755+ 2 &amp; ":Z" &amp; $O$2755 + 2),0),4),1,""),""),$O$2755 + 3)</f>
        <v>L688</v>
      </c>
      <c r="D2764" s="852" t="s">
        <v>1350</v>
      </c>
      <c r="E2764" s="852" t="s">
        <v>1516</v>
      </c>
      <c r="F2764" s="852" t="s">
        <v>1993</v>
      </c>
      <c r="G2764" s="1720" t="str">
        <f>IF(T2764&lt;&gt;"","H","")</f>
        <v/>
      </c>
      <c r="H2764" s="1720" t="s">
        <v>1990</v>
      </c>
      <c r="I2764" s="852"/>
      <c r="J2764" s="852"/>
      <c r="K2764" s="852"/>
      <c r="L2764" s="852" t="s">
        <v>1397</v>
      </c>
      <c r="M2764" s="1369">
        <v>1675</v>
      </c>
      <c r="N2764" s="852"/>
      <c r="R2764" s="1720" t="s">
        <v>2196</v>
      </c>
      <c r="T2764" s="1720" t="str">
        <f t="shared" si="544"/>
        <v/>
      </c>
    </row>
    <row r="2765" spans="1:20" s="1718" customFormat="1" x14ac:dyDescent="0.25">
      <c r="A2765" s="872" t="s">
        <v>1705</v>
      </c>
      <c r="B2765" s="1307" t="str">
        <f>IFERROR(_xlfn.CONCAT("D",('Configurable Tab'!$C$23+1)),"")</f>
        <v>D226</v>
      </c>
      <c r="C2765" s="1307" t="str">
        <f>IFERROR(_xlfn.CONCAT("E",('Configurable Tab'!$C$23+1)),"")</f>
        <v>E226</v>
      </c>
      <c r="D2765" s="852" t="s">
        <v>1350</v>
      </c>
      <c r="E2765" s="852" t="s">
        <v>1742</v>
      </c>
      <c r="F2765" s="1720"/>
      <c r="G2765" s="1720"/>
      <c r="H2765" s="1720"/>
      <c r="I2765" s="1307" t="str">
        <f t="shared" ref="I2765:I2775" si="545">IF(J2765&lt;&gt;"",A2765,"")</f>
        <v/>
      </c>
      <c r="J2765" s="1720" t="str">
        <f t="shared" ref="J2765:J2774" si="546">IFERROR(IF($Q$2755="Yes",Q$1&amp;M2755,""),"")</f>
        <v/>
      </c>
      <c r="K2765" s="1720" t="str">
        <f t="shared" ref="K2765:K2775" si="547">IF(J2765&lt;&gt;"",E2765,"")</f>
        <v/>
      </c>
      <c r="M2765" s="1719"/>
      <c r="Q2765" s="1307" t="str">
        <f>IFERROR(_xlfn.CONCAT("C",('Configurable Tab'!$C36+1)),"")</f>
        <v>C369</v>
      </c>
      <c r="R2765" s="1720" t="s">
        <v>2196</v>
      </c>
    </row>
    <row r="2766" spans="1:20" s="1718" customFormat="1" x14ac:dyDescent="0.25">
      <c r="A2766" s="872" t="s">
        <v>1383</v>
      </c>
      <c r="B2766" s="1307" t="str">
        <f>IFERROR(_xlfn.CONCAT("D",('Configurable Tab'!$C$23+2)),"")</f>
        <v>D227</v>
      </c>
      <c r="C2766" s="1307" t="str">
        <f>IFERROR(_xlfn.CONCAT("E",('Configurable Tab'!$C$23+2)),"")</f>
        <v>E227</v>
      </c>
      <c r="D2766" s="852" t="s">
        <v>1350</v>
      </c>
      <c r="E2766" s="852" t="s">
        <v>1742</v>
      </c>
      <c r="F2766" s="1720"/>
      <c r="G2766" s="1720"/>
      <c r="H2766" s="1720"/>
      <c r="I2766" s="1307" t="str">
        <f t="shared" si="545"/>
        <v/>
      </c>
      <c r="J2766" s="1720" t="str">
        <f t="shared" si="546"/>
        <v/>
      </c>
      <c r="K2766" s="1720" t="str">
        <f t="shared" si="547"/>
        <v/>
      </c>
      <c r="M2766" s="1719"/>
      <c r="R2766" s="1720" t="s">
        <v>2196</v>
      </c>
    </row>
    <row r="2767" spans="1:20" s="1718" customFormat="1" x14ac:dyDescent="0.25">
      <c r="A2767" s="872" t="s">
        <v>1381</v>
      </c>
      <c r="B2767" s="1307" t="str">
        <f>IFERROR(_xlfn.CONCAT("I",('Configurable Tab'!$C$23+1)),"")</f>
        <v>I226</v>
      </c>
      <c r="C2767" s="1307" t="str">
        <f>IFERROR(_xlfn.CONCAT("I",('Configurable Tab'!$C$23+2)),"")</f>
        <v>I227</v>
      </c>
      <c r="D2767" s="852" t="s">
        <v>1350</v>
      </c>
      <c r="E2767" s="852" t="s">
        <v>1742</v>
      </c>
      <c r="F2767" s="1720"/>
      <c r="G2767" s="1720"/>
      <c r="H2767" s="1720"/>
      <c r="I2767" s="1307" t="str">
        <f t="shared" si="545"/>
        <v/>
      </c>
      <c r="J2767" s="1720" t="str">
        <f t="shared" si="546"/>
        <v/>
      </c>
      <c r="K2767" s="1720" t="str">
        <f t="shared" si="547"/>
        <v/>
      </c>
      <c r="M2767" s="1719"/>
      <c r="R2767" s="1720" t="s">
        <v>2196</v>
      </c>
    </row>
    <row r="2768" spans="1:20" s="1718" customFormat="1" x14ac:dyDescent="0.25">
      <c r="A2768" s="872" t="s">
        <v>1382</v>
      </c>
      <c r="B2768" s="1307" t="str">
        <f>IFERROR(_xlfn.CONCAT("M",('Configurable Tab'!$C$23+1)),"")</f>
        <v>M226</v>
      </c>
      <c r="C2768" s="1307" t="str">
        <f>IFERROR(_xlfn.CONCAT("M",('Configurable Tab'!$C$23+2)),"")</f>
        <v>M227</v>
      </c>
      <c r="D2768" s="852" t="s">
        <v>1350</v>
      </c>
      <c r="E2768" s="852" t="s">
        <v>1742</v>
      </c>
      <c r="F2768" s="1720"/>
      <c r="G2768" s="1720"/>
      <c r="H2768" s="1720"/>
      <c r="I2768" s="1307" t="str">
        <f t="shared" si="545"/>
        <v/>
      </c>
      <c r="J2768" s="1720" t="str">
        <f t="shared" si="546"/>
        <v/>
      </c>
      <c r="K2768" s="1720" t="str">
        <f t="shared" si="547"/>
        <v/>
      </c>
      <c r="M2768" s="1719"/>
      <c r="R2768" s="1720" t="s">
        <v>2196</v>
      </c>
    </row>
    <row r="2769" spans="1:20" s="1718" customFormat="1" x14ac:dyDescent="0.25">
      <c r="A2769" s="872" t="s">
        <v>1385</v>
      </c>
      <c r="B2769" s="1307" t="str">
        <f>IFERROR(_xlfn.CONCAT("D",('Configurable Tab'!$C$23+4)),"")</f>
        <v>D229</v>
      </c>
      <c r="C2769" s="1307" t="str">
        <f>IFERROR(_xlfn.CONCAT("E",('Configurable Tab'!$C$23+4)),"")</f>
        <v>E229</v>
      </c>
      <c r="D2769" s="852" t="s">
        <v>1350</v>
      </c>
      <c r="E2769" s="852" t="s">
        <v>1742</v>
      </c>
      <c r="F2769" s="1720"/>
      <c r="G2769" s="1720"/>
      <c r="H2769" s="1720"/>
      <c r="I2769" s="1307" t="str">
        <f t="shared" si="545"/>
        <v/>
      </c>
      <c r="J2769" s="1720" t="str">
        <f t="shared" si="546"/>
        <v/>
      </c>
      <c r="K2769" s="1720" t="str">
        <f t="shared" si="547"/>
        <v/>
      </c>
      <c r="M2769" s="1719"/>
      <c r="R2769" s="1720" t="s">
        <v>2196</v>
      </c>
    </row>
    <row r="2770" spans="1:20" s="1718" customFormat="1" x14ac:dyDescent="0.25">
      <c r="A2770" s="872" t="s">
        <v>1386</v>
      </c>
      <c r="B2770" s="1307" t="str">
        <f>IFERROR(_xlfn.CONCAT("D",('Configurable Tab'!$C$23+5)),"")</f>
        <v>D230</v>
      </c>
      <c r="C2770" s="1307" t="str">
        <f>IFERROR(_xlfn.CONCAT("E",('Configurable Tab'!$C$23+5)),"")</f>
        <v>E230</v>
      </c>
      <c r="D2770" s="852" t="s">
        <v>1350</v>
      </c>
      <c r="E2770" s="852" t="s">
        <v>1742</v>
      </c>
      <c r="F2770" s="1720"/>
      <c r="G2770" s="1720"/>
      <c r="H2770" s="1720"/>
      <c r="I2770" s="1307" t="str">
        <f t="shared" si="545"/>
        <v/>
      </c>
      <c r="J2770" s="1720" t="str">
        <f t="shared" si="546"/>
        <v/>
      </c>
      <c r="K2770" s="1720" t="str">
        <f t="shared" si="547"/>
        <v/>
      </c>
      <c r="M2770" s="1719"/>
      <c r="R2770" s="1720" t="s">
        <v>2196</v>
      </c>
    </row>
    <row r="2771" spans="1:20" s="1718" customFormat="1" x14ac:dyDescent="0.25">
      <c r="A2771" s="872" t="s">
        <v>1396</v>
      </c>
      <c r="B2771" s="1307" t="str">
        <f>IFERROR(_xlfn.CONCAT("G",('Configurable Tab'!$C$23+7)),"")</f>
        <v>G232</v>
      </c>
      <c r="C2771" s="1307" t="str">
        <f>IFERROR(_xlfn.CONCAT("G",('Configurable Tab'!$C$23+8)),"")</f>
        <v>G233</v>
      </c>
      <c r="D2771" s="852" t="s">
        <v>1350</v>
      </c>
      <c r="E2771" s="852" t="s">
        <v>1742</v>
      </c>
      <c r="F2771" s="1720"/>
      <c r="G2771" s="1720"/>
      <c r="H2771" s="1720"/>
      <c r="I2771" s="1307" t="str">
        <f t="shared" si="545"/>
        <v/>
      </c>
      <c r="J2771" s="1720" t="str">
        <f t="shared" si="546"/>
        <v/>
      </c>
      <c r="K2771" s="1720" t="str">
        <f t="shared" si="547"/>
        <v/>
      </c>
      <c r="M2771" s="1719"/>
      <c r="R2771" s="1720" t="s">
        <v>2196</v>
      </c>
    </row>
    <row r="2772" spans="1:20" s="1718" customFormat="1" x14ac:dyDescent="0.25">
      <c r="A2772" s="872" t="s">
        <v>2005</v>
      </c>
      <c r="B2772" s="1307" t="str">
        <f>IFERROR(_xlfn.CONCAT("G",('Configurable Tab'!$C$23+7)),"")</f>
        <v>G232</v>
      </c>
      <c r="C2772" s="1307" t="str">
        <f>IFERROR(_xlfn.CONCAT("G",('Configurable Tab'!$C$23+8)),"")</f>
        <v>G233</v>
      </c>
      <c r="D2772" s="852" t="s">
        <v>1350</v>
      </c>
      <c r="E2772" s="852" t="s">
        <v>1742</v>
      </c>
      <c r="F2772" s="1720"/>
      <c r="G2772" s="1720"/>
      <c r="H2772" s="1720"/>
      <c r="I2772" s="1307" t="str">
        <f t="shared" si="545"/>
        <v/>
      </c>
      <c r="J2772" s="1720" t="str">
        <f t="shared" si="546"/>
        <v/>
      </c>
      <c r="K2772" s="1720" t="str">
        <f t="shared" si="547"/>
        <v/>
      </c>
      <c r="M2772" s="1719"/>
      <c r="R2772" s="1720" t="s">
        <v>2196</v>
      </c>
    </row>
    <row r="2773" spans="1:20" s="1718" customFormat="1" x14ac:dyDescent="0.25">
      <c r="A2773" s="872" t="s">
        <v>1482</v>
      </c>
      <c r="B2773" s="1307" t="str">
        <f>IFERROR(_xlfn.CONCAT("K",('Configurable Tab'!$C$23+7)),"")</f>
        <v>K232</v>
      </c>
      <c r="C2773" s="1307" t="str">
        <f>IFERROR(_xlfn.CONCAT("K",('Configurable Tab'!$C$23+8)),"")</f>
        <v>K233</v>
      </c>
      <c r="D2773" s="852" t="s">
        <v>1350</v>
      </c>
      <c r="E2773" s="852" t="s">
        <v>1742</v>
      </c>
      <c r="F2773" s="1720"/>
      <c r="G2773" s="1720"/>
      <c r="H2773" s="1720"/>
      <c r="I2773" s="1307" t="str">
        <f t="shared" si="545"/>
        <v/>
      </c>
      <c r="J2773" s="1720" t="str">
        <f t="shared" si="546"/>
        <v/>
      </c>
      <c r="K2773" s="1720" t="str">
        <f t="shared" si="547"/>
        <v/>
      </c>
      <c r="M2773" s="1719"/>
      <c r="R2773" s="1720" t="s">
        <v>2196</v>
      </c>
    </row>
    <row r="2774" spans="1:20" s="1718" customFormat="1" x14ac:dyDescent="0.25">
      <c r="A2774" s="872" t="s">
        <v>1397</v>
      </c>
      <c r="B2774" s="1307" t="str">
        <f>IFERROR(_xlfn.CONCAT("K",('Configurable Tab'!$C$23+1)),"")</f>
        <v>K226</v>
      </c>
      <c r="C2774" s="1307" t="str">
        <f>IFERROR(_xlfn.CONCAT("K",('Configurable Tab'!$C$23+2)),"")</f>
        <v>K227</v>
      </c>
      <c r="D2774" s="852" t="s">
        <v>1350</v>
      </c>
      <c r="E2774" s="852" t="s">
        <v>1742</v>
      </c>
      <c r="F2774" s="1720"/>
      <c r="G2774" s="1720"/>
      <c r="H2774" s="1720"/>
      <c r="I2774" s="1307" t="str">
        <f t="shared" si="545"/>
        <v/>
      </c>
      <c r="J2774" s="1720" t="str">
        <f t="shared" si="546"/>
        <v/>
      </c>
      <c r="K2774" s="1720" t="str">
        <f t="shared" si="547"/>
        <v/>
      </c>
      <c r="M2774" s="1719"/>
      <c r="R2774" s="1720" t="s">
        <v>2196</v>
      </c>
    </row>
    <row r="2775" spans="1:20" s="1718" customFormat="1" x14ac:dyDescent="0.25">
      <c r="A2775" s="872" t="s">
        <v>1496</v>
      </c>
      <c r="B2775" s="852" t="str">
        <f ca="1">IFERROR(_xlfn.CONCAT("C",MATCH(A2775,INDIRECT("'"&amp;E2775&amp;"'!C"&amp;$O$2755&amp;":C"&amp;$O$2757),0)+$O$2755-1),"")</f>
        <v>C697</v>
      </c>
      <c r="C2775" s="852" t="str">
        <f ca="1">IFERROR(_xlfn.CONCAT("D",MATCH(A2775,INDIRECT("'"&amp;E2775&amp;"'!C"&amp;$O$2755&amp;":C"&amp;$O$2757),0)+$O$2755-1),"")</f>
        <v>D697</v>
      </c>
      <c r="D2775" s="852" t="s">
        <v>1350</v>
      </c>
      <c r="E2775" s="852" t="s">
        <v>1516</v>
      </c>
      <c r="F2775" s="1720" t="s">
        <v>1496</v>
      </c>
      <c r="G2775" s="1720" t="str">
        <f t="shared" ref="G2775" si="548">IF(T2775&lt;&gt;"","AS","")</f>
        <v/>
      </c>
      <c r="H2775" s="1720" t="s">
        <v>1990</v>
      </c>
      <c r="I2775" s="1307" t="str">
        <f t="shared" si="545"/>
        <v/>
      </c>
      <c r="J2775" s="1720"/>
      <c r="K2775" s="1720" t="str">
        <f t="shared" si="547"/>
        <v/>
      </c>
      <c r="L2775" s="852"/>
      <c r="M2775" s="1721"/>
      <c r="N2775" s="1720"/>
      <c r="R2775" s="1720" t="s">
        <v>2196</v>
      </c>
      <c r="T2775" s="1720" t="str">
        <f t="shared" ref="T2775:T2783" si="549">IF(Q$2755="Yes",48,"")</f>
        <v/>
      </c>
    </row>
    <row r="2776" spans="1:20" s="1718" customFormat="1" x14ac:dyDescent="0.25">
      <c r="A2776" s="873" t="s">
        <v>1495</v>
      </c>
      <c r="B2776" s="852" t="str">
        <f ca="1">IFERROR(_xlfn.CONCAT("C",MATCH(A2776,INDIRECT("'"&amp;E2776&amp;"'!C"&amp;$O$2755&amp;":C"&amp;$O$2757),0)+$O$2755-1),"")</f>
        <v>C695</v>
      </c>
      <c r="C2776" s="852" t="str">
        <f ca="1">IFERROR(_xlfn.CONCAT("D",MATCH(A2776,INDIRECT("'"&amp;E2776&amp;"'!C"&amp;$O$2755&amp;":C"&amp;$O$2757),0)+$O$2755-1),"")</f>
        <v>D695</v>
      </c>
      <c r="D2776" s="852" t="s">
        <v>1350</v>
      </c>
      <c r="E2776" s="852" t="s">
        <v>1516</v>
      </c>
      <c r="F2776" s="1720" t="s">
        <v>1495</v>
      </c>
      <c r="G2776" s="1720" t="str">
        <f>IF(T2776&lt;&gt;"","AN","")</f>
        <v/>
      </c>
      <c r="H2776" s="1720" t="s">
        <v>1990</v>
      </c>
      <c r="I2776" s="1307"/>
      <c r="J2776" s="1720"/>
      <c r="K2776" s="1720"/>
      <c r="L2776" s="852"/>
      <c r="M2776" s="1721"/>
      <c r="N2776" s="1720"/>
      <c r="O2776" s="1606"/>
      <c r="P2776" s="625"/>
      <c r="Q2776" s="625"/>
      <c r="R2776" s="1720" t="s">
        <v>2196</v>
      </c>
      <c r="T2776" s="1720" t="str">
        <f t="shared" si="549"/>
        <v/>
      </c>
    </row>
    <row r="2777" spans="1:20" s="1718" customFormat="1" x14ac:dyDescent="0.25">
      <c r="A2777" s="873" t="s">
        <v>1492</v>
      </c>
      <c r="B2777" s="852" t="str">
        <f ca="1">_xlfn.CONCAT(IFERROR(SUBSTITUTE(ADDRESS(1,MATCH(A2777,INDIRECT("'"&amp;E2777&amp;"'"&amp;"!A" &amp; $O$2755+ 8 &amp; ":Z" &amp; $O$2755 + 8),0),4),1,""),""),$O$2755 + 8)</f>
        <v>H693</v>
      </c>
      <c r="C2777" s="852" t="str">
        <f ca="1">_xlfn.CONCAT(IFERROR(SUBSTITUTE(ADDRESS(1,MATCH(A2777,INDIRECT("'"&amp;E2777&amp;"'"&amp;"!A" &amp; $O$2755+ 8 &amp; ":Z" &amp; $O$2755 + 8),0),4),1,""),""),$O$2755 + 9)</f>
        <v>H694</v>
      </c>
      <c r="D2777" s="852" t="s">
        <v>1350</v>
      </c>
      <c r="E2777" s="852" t="s">
        <v>1516</v>
      </c>
      <c r="F2777" s="1720" t="s">
        <v>1492</v>
      </c>
      <c r="G2777" s="1720" t="str">
        <f>IF(T2777&lt;&gt;"","AL","")</f>
        <v/>
      </c>
      <c r="H2777" s="1720" t="s">
        <v>1990</v>
      </c>
      <c r="I2777" s="1307"/>
      <c r="J2777" s="1720"/>
      <c r="K2777" s="1720"/>
      <c r="L2777" s="852"/>
      <c r="M2777" s="1721"/>
      <c r="N2777" s="1720"/>
      <c r="O2777" s="625"/>
      <c r="P2777" s="625"/>
      <c r="Q2777" s="625"/>
      <c r="R2777" s="1720" t="s">
        <v>2196</v>
      </c>
      <c r="T2777" s="1720" t="str">
        <f t="shared" si="549"/>
        <v/>
      </c>
    </row>
    <row r="2778" spans="1:20" s="1718" customFormat="1" x14ac:dyDescent="0.25">
      <c r="A2778" s="873" t="s">
        <v>1380</v>
      </c>
      <c r="B2778" s="852" t="str">
        <f ca="1">_xlfn.CONCAT(IFERROR(SUBSTITUTE(ADDRESS(1,MATCH(A2778,INDIRECT("'"&amp;E2778&amp;"'"&amp;"!A" &amp; $O$2755+ 2 &amp; ":Z" &amp; $O$2755 + 2),0),4),1,""),""),$O$2755+ 2)</f>
        <v>H687</v>
      </c>
      <c r="C2778" s="852" t="str">
        <f ca="1">_xlfn.CONCAT(IFERROR(SUBSTITUTE(ADDRESS(1,MATCH(A2778,INDIRECT("'"&amp;E2778&amp;"'"&amp;"!A" &amp; $O$2755+ 2 &amp; ":Z" &amp; $O$2755 + 2),0),4),1,""),""),$O$2755+ 3)</f>
        <v>H688</v>
      </c>
      <c r="D2778" s="852" t="s">
        <v>1350</v>
      </c>
      <c r="E2778" s="852" t="s">
        <v>1516</v>
      </c>
      <c r="F2778" s="1720" t="s">
        <v>1991</v>
      </c>
      <c r="G2778" s="1720" t="str">
        <f>IF(T2778&lt;&gt;"","E","")</f>
        <v/>
      </c>
      <c r="H2778" s="1720" t="s">
        <v>1990</v>
      </c>
      <c r="I2778" s="1307"/>
      <c r="J2778" s="1720"/>
      <c r="K2778" s="1720"/>
      <c r="L2778" s="852"/>
      <c r="M2778" s="1721"/>
      <c r="N2778" s="1720"/>
      <c r="O2778" s="625"/>
      <c r="P2778" s="625"/>
      <c r="Q2778" s="625"/>
      <c r="R2778" s="1720" t="s">
        <v>2196</v>
      </c>
      <c r="T2778" s="1720" t="str">
        <f t="shared" si="549"/>
        <v/>
      </c>
    </row>
    <row r="2779" spans="1:20" s="1718" customFormat="1" x14ac:dyDescent="0.25">
      <c r="A2779" s="873" t="s">
        <v>1487</v>
      </c>
      <c r="B2779" s="852" t="str">
        <f ca="1">_xlfn.CONCAT(IFERROR(SUBSTITUTE(ADDRESS(1,MATCH(A2779,INDIRECT("'"&amp;E2779&amp;"'"&amp;"!A" &amp; $O$2755+ 2 &amp; ":Z" &amp; $O$2755 + 2),0),4),1,""),""),$O$2755+ 2)</f>
        <v>R687</v>
      </c>
      <c r="C2779" s="852" t="str">
        <f ca="1">_xlfn.CONCAT(IFERROR(SUBSTITUTE(ADDRESS(1,MATCH(A2779,INDIRECT("'"&amp;E2779&amp;"'"&amp;"!A" &amp; $O$2755+ 2 &amp; ":Z" &amp; $O$2755 + 2),0),4),1,""),""),$O$2755+ 3)</f>
        <v>R688</v>
      </c>
      <c r="D2779" s="852" t="s">
        <v>1350</v>
      </c>
      <c r="E2779" s="852" t="s">
        <v>1516</v>
      </c>
      <c r="F2779" s="1720" t="s">
        <v>1995</v>
      </c>
      <c r="G2779" s="1720" t="str">
        <f>IF(T2779&lt;&gt;"","G","")</f>
        <v/>
      </c>
      <c r="H2779" s="1720" t="s">
        <v>1990</v>
      </c>
      <c r="I2779" s="1307"/>
      <c r="J2779" s="1720"/>
      <c r="K2779" s="1720"/>
      <c r="L2779" s="852"/>
      <c r="M2779" s="1721"/>
      <c r="N2779" s="1720"/>
      <c r="O2779" s="625"/>
      <c r="P2779" s="625"/>
      <c r="Q2779" s="625"/>
      <c r="R2779" s="1720" t="s">
        <v>2196</v>
      </c>
      <c r="T2779" s="1720" t="str">
        <f t="shared" si="549"/>
        <v/>
      </c>
    </row>
    <row r="2780" spans="1:20" s="1718" customFormat="1" x14ac:dyDescent="0.25">
      <c r="A2780" s="873" t="s">
        <v>1488</v>
      </c>
      <c r="B2780" s="852" t="str">
        <f ca="1">_xlfn.CONCAT(IFERROR(SUBSTITUTE(ADDRESS(1,MATCH(A2780,INDIRECT("'"&amp;E2780&amp;"'"&amp;"!A" &amp; $O$2755+ 2 &amp; ":Z" &amp; $O$2755 + 2),0),4),1,""),""),$O$2755+ 2)</f>
        <v>T687</v>
      </c>
      <c r="C2780" s="852" t="str">
        <f ca="1">_xlfn.CONCAT(IFERROR(SUBSTITUTE(ADDRESS(1,MATCH(A2780,INDIRECT("'"&amp;E2780&amp;"'"&amp;"!A" &amp; $O$2755+ 2 &amp; ":Z" &amp; $O$2755 + 2),0),4),1,""),""),$O$2755+ 3)</f>
        <v>T688</v>
      </c>
      <c r="D2780" s="852" t="s">
        <v>1350</v>
      </c>
      <c r="E2780" s="852" t="s">
        <v>1516</v>
      </c>
      <c r="F2780" s="867" t="s">
        <v>1488</v>
      </c>
      <c r="G2780" s="1720" t="str">
        <f>IF(T2780&lt;&gt;"","AW","")</f>
        <v/>
      </c>
      <c r="H2780" s="1720" t="s">
        <v>1990</v>
      </c>
      <c r="I2780" s="1307"/>
      <c r="J2780" s="1720"/>
      <c r="K2780" s="1720"/>
      <c r="L2780" s="852"/>
      <c r="M2780" s="1721"/>
      <c r="N2780" s="1720"/>
      <c r="O2780" s="625"/>
      <c r="P2780" s="625"/>
      <c r="Q2780" s="625"/>
      <c r="R2780" s="1720" t="s">
        <v>2196</v>
      </c>
      <c r="T2780" s="1720" t="str">
        <f t="shared" si="549"/>
        <v/>
      </c>
    </row>
    <row r="2781" spans="1:20" s="1718" customFormat="1" x14ac:dyDescent="0.25">
      <c r="A2781" s="873" t="s">
        <v>1603</v>
      </c>
      <c r="B2781" s="852" t="str">
        <f ca="1">_xlfn.CONCAT(IFERROR(SUBSTITUTE(ADDRESS(1,MATCH(A2781,INDIRECT("'"&amp;E2781&amp;"'"&amp;"!A" &amp; $O$2755+ 5 &amp; ":Z" &amp; $O$2755 + 5),0),4),1,""),""),$O$2755+ 5)</f>
        <v>R690</v>
      </c>
      <c r="C2781" s="852" t="str">
        <f ca="1">_xlfn.CONCAT(IFERROR(SUBSTITUTE(ADDRESS(1,MATCH(A2781,INDIRECT("'"&amp;E2781&amp;"'"&amp;"!A" &amp; $O$2755+ 5 &amp; ":Z" &amp; $O$2755 + 5),0),4),1,""),""),$O$2755+ 6)</f>
        <v>R691</v>
      </c>
      <c r="D2781" s="852" t="s">
        <v>1350</v>
      </c>
      <c r="E2781" s="852" t="s">
        <v>1516</v>
      </c>
      <c r="F2781" s="1720" t="s">
        <v>1999</v>
      </c>
      <c r="G2781" s="1720" t="str">
        <f t="shared" ref="G2781" si="550">IF(T2781&lt;&gt;"","AB","")</f>
        <v/>
      </c>
      <c r="H2781" s="1720" t="s">
        <v>1990</v>
      </c>
      <c r="I2781" s="1307"/>
      <c r="J2781" s="1720"/>
      <c r="K2781" s="1720"/>
      <c r="L2781" s="852"/>
      <c r="M2781" s="1721"/>
      <c r="N2781" s="1720"/>
      <c r="O2781" s="625"/>
      <c r="P2781" s="625"/>
      <c r="Q2781" s="625"/>
      <c r="R2781" s="1720" t="s">
        <v>2196</v>
      </c>
      <c r="T2781" s="1720" t="str">
        <f t="shared" si="549"/>
        <v/>
      </c>
    </row>
    <row r="2782" spans="1:20" s="1718" customFormat="1" x14ac:dyDescent="0.25">
      <c r="A2782" s="873" t="s">
        <v>1604</v>
      </c>
      <c r="B2782" s="852" t="str">
        <f ca="1">_xlfn.CONCAT(IFERROR(SUBSTITUTE(ADDRESS(1,MATCH(A2782,INDIRECT("'"&amp;E2782&amp;"'"&amp;"!A" &amp; $O$2755+ 5 &amp; ":Z" &amp; $O$2755 + 5),0),4),1,""),""),$O$2755+ 5)</f>
        <v>T690</v>
      </c>
      <c r="C2782" s="852" t="str">
        <f ca="1">_xlfn.CONCAT(IFERROR(SUBSTITUTE(ADDRESS(1,MATCH(A2782,INDIRECT("'"&amp;E2782&amp;"'"&amp;"!A" &amp; $O$2755+ 5 &amp; ":Z" &amp; $O$2755 + 5),0),4),1,""),""),$O$2755+ 6)</f>
        <v>T691</v>
      </c>
      <c r="D2782" s="852" t="s">
        <v>1350</v>
      </c>
      <c r="E2782" s="852" t="s">
        <v>1516</v>
      </c>
      <c r="F2782" s="1720" t="s">
        <v>1604</v>
      </c>
      <c r="G2782" s="1720" t="str">
        <f t="shared" ref="G2782" si="551">IF(T2782&lt;&gt;"","AP","")</f>
        <v/>
      </c>
      <c r="H2782" s="1720" t="s">
        <v>1990</v>
      </c>
      <c r="I2782" s="1307"/>
      <c r="J2782" s="1720"/>
      <c r="K2782" s="1720"/>
      <c r="L2782" s="852"/>
      <c r="M2782" s="1721"/>
      <c r="N2782" s="1720"/>
      <c r="O2782" s="625"/>
      <c r="P2782" s="625"/>
      <c r="Q2782" s="625"/>
      <c r="R2782" s="1720" t="s">
        <v>2196</v>
      </c>
      <c r="T2782" s="1720" t="str">
        <f t="shared" si="549"/>
        <v/>
      </c>
    </row>
    <row r="2783" spans="1:20" s="1718" customFormat="1" x14ac:dyDescent="0.25">
      <c r="A2783" s="873" t="s">
        <v>2135</v>
      </c>
      <c r="B2783" s="852" t="str">
        <f ca="1">_xlfn.CONCAT(IFERROR(SUBSTITUTE(ADDRESS(1,MATCH(A2783,INDIRECT("'"&amp;E2783&amp;"'"&amp;"!A" &amp; $O$2755+ 8 &amp; ":Z" &amp; $O$2755 + 8),0),4),1,""),""),$O$2755 + 8)</f>
        <v>L693</v>
      </c>
      <c r="C2783" s="852" t="str">
        <f ca="1">_xlfn.CONCAT(IFERROR(SUBSTITUTE(ADDRESS(1,MATCH(A2783,INDIRECT("'"&amp;E2783&amp;"'"&amp;"!A" &amp; $O$2755+ 8 &amp; ":Z" &amp; $O$2755 + 8),0),4),1,""),""),$O$2755 + 9)</f>
        <v>L694</v>
      </c>
      <c r="D2783" s="852" t="s">
        <v>1350</v>
      </c>
      <c r="E2783" s="852" t="s">
        <v>1516</v>
      </c>
      <c r="F2783" s="1720" t="s">
        <v>2135</v>
      </c>
      <c r="G2783" s="1720" t="str">
        <f>IF(T2783&lt;&gt;"","AZ","")</f>
        <v/>
      </c>
      <c r="H2783" s="1720" t="s">
        <v>1990</v>
      </c>
      <c r="I2783" s="1307"/>
      <c r="J2783" s="1720"/>
      <c r="K2783" s="1720"/>
      <c r="L2783" s="852" t="s">
        <v>2135</v>
      </c>
      <c r="M2783" s="1721">
        <v>1676</v>
      </c>
      <c r="N2783" s="1720"/>
      <c r="O2783" s="625"/>
      <c r="P2783" s="625"/>
      <c r="Q2783" s="625"/>
      <c r="R2783" s="1720" t="s">
        <v>2196</v>
      </c>
      <c r="T2783" s="1720" t="str">
        <f t="shared" si="549"/>
        <v/>
      </c>
    </row>
    <row r="2784" spans="1:20" s="1718" customFormat="1" x14ac:dyDescent="0.25">
      <c r="A2784" s="1722" t="s">
        <v>1491</v>
      </c>
      <c r="B2784" s="852" t="str">
        <f ca="1">IFERROR(_xlfn.CONCAT("C",MATCH(A2784,INDIRECT("'"&amp;E2784&amp;"'!C"&amp;$O$2785&amp;":C"&amp;$O$2787),0)+$O$2785-1),"")</f>
        <v>C703</v>
      </c>
      <c r="C2784" s="852" t="str">
        <f ca="1">IFERROR(_xlfn.CONCAT("D",MATCH(A2784,INDIRECT("'"&amp;E2784&amp;"'!C"&amp;$O$2785&amp;":C"&amp;$O$2787),0)+$O$2785-1),"")</f>
        <v>D703</v>
      </c>
      <c r="D2784" s="852" t="s">
        <v>1350</v>
      </c>
      <c r="E2784" s="852" t="s">
        <v>1516</v>
      </c>
      <c r="F2784" s="852" t="s">
        <v>1491</v>
      </c>
      <c r="G2784" s="1720" t="str">
        <f>IF(T2784&lt;&gt;"","A","")</f>
        <v/>
      </c>
      <c r="H2784" s="1720" t="s">
        <v>1990</v>
      </c>
      <c r="I2784" s="852"/>
      <c r="J2784" s="852"/>
      <c r="K2784" s="852"/>
      <c r="L2784" s="852" t="s">
        <v>1491</v>
      </c>
      <c r="M2784" s="1369">
        <v>1677</v>
      </c>
      <c r="N2784" s="852"/>
      <c r="O2784" s="1718" t="s">
        <v>725</v>
      </c>
      <c r="R2784" s="1720" t="s">
        <v>2197</v>
      </c>
      <c r="T2784" s="1720" t="str">
        <f>IF(Q$2785="Yes",49,"")</f>
        <v/>
      </c>
    </row>
    <row r="2785" spans="1:20" s="1718" customFormat="1" x14ac:dyDescent="0.25">
      <c r="A2785" s="1722" t="s">
        <v>1705</v>
      </c>
      <c r="B2785" s="852" t="str">
        <f ca="1">_xlfn.CONCAT(IFERROR(SUBSTITUTE(ADDRESS(1,MATCH(A2785,INDIRECT("'"&amp;E2785&amp;"'"&amp;"!A" &amp; $O$2785+ 11 &amp; ":Z" &amp; $O$2785 + 11),0),4),1,""),""),$O$2785+ 11)</f>
        <v>T710</v>
      </c>
      <c r="C2785" s="852" t="str">
        <f ca="1">_xlfn.CONCAT(IFERROR(SUBSTITUTE(ADDRESS(1,MATCH(A2785,INDIRECT("'"&amp;E2785&amp;"'"&amp;"!A" &amp; $O$2785+ 11 &amp; ":Z" &amp; $O$2785 + 11),0),4),1,""),""),$O$2785+ 12)</f>
        <v>T711</v>
      </c>
      <c r="D2785" s="852" t="s">
        <v>1350</v>
      </c>
      <c r="E2785" s="852" t="s">
        <v>1516</v>
      </c>
      <c r="F2785" s="852"/>
      <c r="G2785" s="1720"/>
      <c r="H2785" s="1720"/>
      <c r="I2785" s="852"/>
      <c r="J2785" s="852"/>
      <c r="K2785" s="852"/>
      <c r="L2785" s="852" t="s">
        <v>1705</v>
      </c>
      <c r="M2785" s="1369">
        <v>1678</v>
      </c>
      <c r="N2785" s="852"/>
      <c r="O2785" s="1718">
        <f>'Configurable Tab'!H52</f>
        <v>699</v>
      </c>
      <c r="P2785" s="18" t="str">
        <f>'Configurable Tab'!J52</f>
        <v>No</v>
      </c>
      <c r="Q2785" s="1718" t="s">
        <v>648</v>
      </c>
      <c r="R2785" s="1720" t="s">
        <v>2197</v>
      </c>
      <c r="T2785" s="1720" t="str">
        <f t="shared" ref="T2785:T2794" si="552">IF(Q$2785="Yes",49,"")</f>
        <v/>
      </c>
    </row>
    <row r="2786" spans="1:20" s="1718" customFormat="1" x14ac:dyDescent="0.25">
      <c r="A2786" s="1722" t="s">
        <v>1383</v>
      </c>
      <c r="B2786" s="852" t="str">
        <f ca="1">IFERROR(_xlfn.CONCAT("C",MATCH(A2786,INDIRECT("'"&amp;E2786&amp;"'!C"&amp;$O$2785&amp;":C"&amp;$O$2787),0)+$O$2785-1),"")</f>
        <v>C701</v>
      </c>
      <c r="C2786" s="852" t="str">
        <f ca="1">IFERROR(_xlfn.CONCAT("D",MATCH(A2786,INDIRECT("'"&amp;E2786&amp;"'!C"&amp;$O$2785&amp;":C"&amp;$O$2787),0)+$O$2785-1),"")</f>
        <v>D701</v>
      </c>
      <c r="D2786" s="852" t="s">
        <v>1350</v>
      </c>
      <c r="E2786" s="852" t="s">
        <v>1516</v>
      </c>
      <c r="F2786" s="852" t="s">
        <v>1383</v>
      </c>
      <c r="G2786" s="1720" t="str">
        <f>IF(T2786&lt;&gt;"","B","")</f>
        <v/>
      </c>
      <c r="H2786" s="1720" t="s">
        <v>1990</v>
      </c>
      <c r="I2786" s="852"/>
      <c r="J2786" s="852"/>
      <c r="K2786" s="852"/>
      <c r="L2786" s="852" t="s">
        <v>1383</v>
      </c>
      <c r="M2786" s="1369">
        <v>1679</v>
      </c>
      <c r="N2786" s="852"/>
      <c r="O2786" s="1718" t="s">
        <v>726</v>
      </c>
      <c r="R2786" s="1720" t="s">
        <v>2197</v>
      </c>
      <c r="T2786" s="1720" t="str">
        <f t="shared" si="552"/>
        <v/>
      </c>
    </row>
    <row r="2787" spans="1:20" s="1718" customFormat="1" x14ac:dyDescent="0.25">
      <c r="A2787" s="1722" t="s">
        <v>1381</v>
      </c>
      <c r="B2787" s="852" t="str">
        <f ca="1">_xlfn.CONCAT(IFERROR(SUBSTITUTE(ADDRESS(1,MATCH(A2787,INDIRECT("'"&amp;E2787&amp;"'"&amp;"!A" &amp; $O$2785+ 2 &amp; ":Z" &amp; $O$2785 + 2),0),4),1,""),""),$O$2785+ 2)</f>
        <v>J701</v>
      </c>
      <c r="C2787" s="852" t="str">
        <f ca="1">_xlfn.CONCAT(IFERROR(SUBSTITUTE(ADDRESS(1,MATCH(A2787,INDIRECT("'"&amp;E2787&amp;"'"&amp;"!A" &amp; $O$2785+ 2 &amp; ":Z" &amp; $O$2785 + 2),0),4),1,""),""),$O$2785+ 3)</f>
        <v>J702</v>
      </c>
      <c r="D2787" s="852" t="s">
        <v>1350</v>
      </c>
      <c r="E2787" s="852" t="s">
        <v>1516</v>
      </c>
      <c r="F2787" s="852" t="s">
        <v>1992</v>
      </c>
      <c r="G2787" s="1720" t="str">
        <f>IF(T2787&lt;&gt;"","I","")</f>
        <v/>
      </c>
      <c r="H2787" s="1720" t="s">
        <v>1990</v>
      </c>
      <c r="I2787" s="852"/>
      <c r="J2787" s="852"/>
      <c r="K2787" s="852"/>
      <c r="L2787" s="852" t="s">
        <v>1381</v>
      </c>
      <c r="M2787" s="1369">
        <v>1680</v>
      </c>
      <c r="N2787" s="852"/>
      <c r="O2787" s="1718">
        <f>'Configurable Tab'!I52</f>
        <v>712</v>
      </c>
      <c r="R2787" s="1720" t="s">
        <v>2197</v>
      </c>
      <c r="T2787" s="1720" t="str">
        <f t="shared" si="552"/>
        <v/>
      </c>
    </row>
    <row r="2788" spans="1:20" s="1718" customFormat="1" x14ac:dyDescent="0.25">
      <c r="A2788" s="1722" t="s">
        <v>1382</v>
      </c>
      <c r="B2788" s="852" t="str">
        <f ca="1">_xlfn.CONCAT(IFERROR(SUBSTITUTE(ADDRESS(1,MATCH(A2788,INDIRECT("'"&amp;E2788&amp;"'"&amp;"!A" &amp; $O$2785+ 2 &amp; ":Z" &amp; $O$2785 + 2),0),4),1,""),""),$O$2785+ 2)</f>
        <v>N701</v>
      </c>
      <c r="C2788" s="852" t="str">
        <f ca="1">_xlfn.CONCAT(IFERROR(SUBSTITUTE(ADDRESS(1,MATCH(A2788,INDIRECT("'"&amp;E2788&amp;"'"&amp;"!A" &amp; $O$2785+ 2 &amp; ":Z" &amp; $O$2785 + 2),0),4),1,""),""),$O$2785+ 3)</f>
        <v>N702</v>
      </c>
      <c r="D2788" s="852" t="s">
        <v>1350</v>
      </c>
      <c r="E2788" s="852" t="s">
        <v>1516</v>
      </c>
      <c r="F2788" s="852" t="s">
        <v>1382</v>
      </c>
      <c r="G2788" s="1720" t="str">
        <f>IF(T2788&lt;&gt;"",IF(Q2787="Credit Memo","J",IF(Q2787="Check","K","")),"")</f>
        <v/>
      </c>
      <c r="H2788" s="1720" t="s">
        <v>1990</v>
      </c>
      <c r="I2788" s="852"/>
      <c r="J2788" s="852"/>
      <c r="K2788" s="852"/>
      <c r="L2788" s="852" t="s">
        <v>1382</v>
      </c>
      <c r="M2788" s="1369">
        <v>1681</v>
      </c>
      <c r="N2788" s="852"/>
      <c r="O2788" s="1718" t="s">
        <v>2206</v>
      </c>
      <c r="R2788" s="1720" t="s">
        <v>2197</v>
      </c>
      <c r="T2788" s="1720" t="str">
        <f t="shared" si="552"/>
        <v/>
      </c>
    </row>
    <row r="2789" spans="1:20" s="1718" customFormat="1" x14ac:dyDescent="0.25">
      <c r="A2789" s="1722" t="s">
        <v>1385</v>
      </c>
      <c r="B2789" s="852" t="str">
        <f ca="1">IFERROR(_xlfn.CONCAT("C",MATCH(A2789,INDIRECT("'"&amp;E2789&amp;"'!C"&amp;$O$2785&amp;":C"&amp;$O$2787),0)+$O$2785-1),"")</f>
        <v>C705</v>
      </c>
      <c r="C2789" s="852" t="str">
        <f ca="1">IFERROR(_xlfn.CONCAT("D",MATCH(A2789,INDIRECT("'"&amp;E2789&amp;"'!C"&amp;$O$2785&amp;":C"&amp;$O$2787),0)+$O$2785-1),"")</f>
        <v>D705</v>
      </c>
      <c r="D2789" s="852" t="s">
        <v>1350</v>
      </c>
      <c r="E2789" s="852" t="s">
        <v>1516</v>
      </c>
      <c r="F2789" s="852" t="s">
        <v>1385</v>
      </c>
      <c r="G2789" s="1720" t="str">
        <f>IF(T2789&lt;&gt;"","C","")</f>
        <v/>
      </c>
      <c r="H2789" s="1720" t="s">
        <v>1990</v>
      </c>
      <c r="I2789" s="852"/>
      <c r="J2789" s="852"/>
      <c r="K2789" s="852"/>
      <c r="L2789" s="852" t="s">
        <v>1385</v>
      </c>
      <c r="M2789" s="1369">
        <v>1682</v>
      </c>
      <c r="N2789" s="852"/>
      <c r="R2789" s="1720" t="s">
        <v>2197</v>
      </c>
      <c r="T2789" s="1720" t="str">
        <f t="shared" si="552"/>
        <v/>
      </c>
    </row>
    <row r="2790" spans="1:20" s="1718" customFormat="1" x14ac:dyDescent="0.25">
      <c r="A2790" s="1722" t="s">
        <v>1386</v>
      </c>
      <c r="B2790" s="852" t="str">
        <f ca="1">IFERROR(_xlfn.CONCAT("C",MATCH(A2790,INDIRECT("'"&amp;E2790&amp;"'!C"&amp;$O$2785&amp;":C"&amp;$O$2787),0)+$O$2785-1),"")</f>
        <v>C707</v>
      </c>
      <c r="C2790" s="852" t="str">
        <f ca="1">IFERROR(_xlfn.CONCAT("D",MATCH(A2790,INDIRECT("'"&amp;E2790&amp;"'!C"&amp;$O$2785&amp;":C"&amp;$O$2787),0)+$O$2785-1),"")</f>
        <v>D707</v>
      </c>
      <c r="D2790" s="852" t="s">
        <v>1350</v>
      </c>
      <c r="E2790" s="852" t="s">
        <v>1516</v>
      </c>
      <c r="F2790" s="852" t="s">
        <v>1386</v>
      </c>
      <c r="G2790" s="1720" t="str">
        <f>IF(T2790&lt;&gt;"","D","")</f>
        <v/>
      </c>
      <c r="H2790" s="1720" t="s">
        <v>1990</v>
      </c>
      <c r="I2790" s="852"/>
      <c r="J2790" s="852"/>
      <c r="K2790" s="852"/>
      <c r="L2790" s="852" t="s">
        <v>1386</v>
      </c>
      <c r="M2790" s="1369">
        <v>1683</v>
      </c>
      <c r="N2790" s="852"/>
      <c r="R2790" s="1720" t="s">
        <v>2197</v>
      </c>
      <c r="T2790" s="1720" t="str">
        <f t="shared" si="552"/>
        <v/>
      </c>
    </row>
    <row r="2791" spans="1:20" s="1718" customFormat="1" x14ac:dyDescent="0.25">
      <c r="A2791" s="1722" t="s">
        <v>1396</v>
      </c>
      <c r="B2791" s="852" t="str">
        <f ca="1">_xlfn.CONCAT(IFERROR(SUBSTITUTE(ADDRESS(1,MATCH(A2791,INDIRECT("'"&amp;E2791&amp;"'"&amp;"!A" &amp; $O$2785+ 5 &amp; ":Z" &amp; $O$2785 + 5),0),4),1,""),""),$O$2785+ 5)</f>
        <v>H704</v>
      </c>
      <c r="C2791" s="852" t="str">
        <f ca="1">_xlfn.CONCAT(IFERROR(SUBSTITUTE(ADDRESS(1,MATCH(A2791,INDIRECT("'"&amp;E2791&amp;"'"&amp;"!A" &amp; $O$2785+ 5 &amp; ":Z" &amp; $O$2785 + 5),0),4),1,""),""),$O$2785+ 6)</f>
        <v>H705</v>
      </c>
      <c r="D2791" s="852" t="s">
        <v>1350</v>
      </c>
      <c r="E2791" s="852" t="s">
        <v>1516</v>
      </c>
      <c r="F2791" s="1720" t="s">
        <v>1396</v>
      </c>
      <c r="G2791" s="1720" t="str">
        <f>IF(T2791&lt;&gt;"","S","")</f>
        <v/>
      </c>
      <c r="H2791" s="1720" t="s">
        <v>1990</v>
      </c>
      <c r="I2791" s="852"/>
      <c r="J2791" s="852"/>
      <c r="K2791" s="852"/>
      <c r="L2791" s="852" t="s">
        <v>1396</v>
      </c>
      <c r="M2791" s="1369">
        <v>1684</v>
      </c>
      <c r="N2791" s="852"/>
      <c r="R2791" s="1720" t="s">
        <v>2197</v>
      </c>
      <c r="T2791" s="1720" t="str">
        <f t="shared" si="552"/>
        <v/>
      </c>
    </row>
    <row r="2792" spans="1:20" s="1718" customFormat="1" x14ac:dyDescent="0.25">
      <c r="A2792" s="1722" t="s">
        <v>2005</v>
      </c>
      <c r="B2792" s="852" t="str">
        <f ca="1">_xlfn.CONCAT(IFERROR(SUBSTITUTE(ADDRESS(1,MATCH(A2792,INDIRECT("'"&amp;E2792&amp;"'"&amp;"!A" &amp; $O$2785+ 8 &amp; ":Z" &amp; $O$2785 + 8),0),4),1,""),""),$O$2785 + 8)</f>
        <v>J707</v>
      </c>
      <c r="C2792" s="852" t="str">
        <f ca="1">_xlfn.CONCAT(IFERROR(SUBSTITUTE(ADDRESS(1,MATCH(A2792,INDIRECT("'"&amp;E2792&amp;"'"&amp;"!A" &amp; $O$2785+ 8 &amp; ":Z" &amp; $O$2785 + 8),0),4),1,""),""),$O$2785 + 9)</f>
        <v>J708</v>
      </c>
      <c r="D2792" s="852" t="s">
        <v>1350</v>
      </c>
      <c r="E2792" s="852" t="s">
        <v>1516</v>
      </c>
      <c r="F2792" s="852" t="s">
        <v>2005</v>
      </c>
      <c r="G2792" s="1720" t="str">
        <f>IF(T2792&lt;&gt;"","AQ","")</f>
        <v/>
      </c>
      <c r="H2792" s="1720" t="s">
        <v>1990</v>
      </c>
      <c r="I2792" s="852"/>
      <c r="J2792" s="852"/>
      <c r="K2792" s="852"/>
      <c r="L2792" s="852" t="s">
        <v>2005</v>
      </c>
      <c r="M2792" s="1369">
        <v>1685</v>
      </c>
      <c r="N2792" s="852"/>
      <c r="R2792" s="1720" t="s">
        <v>2197</v>
      </c>
      <c r="T2792" s="1720" t="str">
        <f t="shared" si="552"/>
        <v/>
      </c>
    </row>
    <row r="2793" spans="1:20" s="1718" customFormat="1" x14ac:dyDescent="0.25">
      <c r="A2793" s="1722" t="s">
        <v>1482</v>
      </c>
      <c r="B2793" s="852" t="str">
        <f ca="1">_xlfn.CONCAT(IFERROR(SUBSTITUTE(ADDRESS(1,MATCH(A2793,INDIRECT("'"&amp;E2793&amp;"'"&amp;"!A" &amp; $O$2785+ 8 &amp; ":Z" &amp; $O$2785 + 8),0),4),1,""),""),$O$2785 + 8)</f>
        <v>N707</v>
      </c>
      <c r="C2793" s="852" t="str">
        <f ca="1">_xlfn.CONCAT(IFERROR(SUBSTITUTE(ADDRESS(1,MATCH(A2793,INDIRECT("'"&amp;E2793&amp;"'"&amp;"!A" &amp; $O$2785+ 8 &amp; ":Z" &amp; $O$2785 + 8),0),4),1,""),""),$O$2785 + 9)</f>
        <v>N708</v>
      </c>
      <c r="D2793" s="852" t="s">
        <v>1350</v>
      </c>
      <c r="E2793" s="852" t="s">
        <v>1516</v>
      </c>
      <c r="F2793" s="852" t="s">
        <v>2054</v>
      </c>
      <c r="G2793" s="1720" t="str">
        <f>IF(T2793&lt;&gt;"","AA","")</f>
        <v/>
      </c>
      <c r="H2793" s="1720" t="s">
        <v>1990</v>
      </c>
      <c r="I2793" s="852"/>
      <c r="J2793" s="852"/>
      <c r="K2793" s="852"/>
      <c r="L2793" s="852" t="s">
        <v>2006</v>
      </c>
      <c r="M2793" s="1369">
        <v>1686</v>
      </c>
      <c r="N2793" s="852"/>
      <c r="R2793" s="1720" t="s">
        <v>2197</v>
      </c>
      <c r="T2793" s="1720" t="str">
        <f t="shared" si="552"/>
        <v/>
      </c>
    </row>
    <row r="2794" spans="1:20" s="1718" customFormat="1" x14ac:dyDescent="0.25">
      <c r="A2794" s="1722" t="s">
        <v>1397</v>
      </c>
      <c r="B2794" s="852" t="str">
        <f ca="1">_xlfn.CONCAT(IFERROR(SUBSTITUTE(ADDRESS(1,MATCH(A2794,INDIRECT("'"&amp;E2794&amp;"'"&amp;"!A" &amp; $O$2785+ 2 &amp; ":Z" &amp; $O$2785 + 2),0),4),1,""),""),$O$2785 + 2)</f>
        <v>L701</v>
      </c>
      <c r="C2794" s="852" t="str">
        <f ca="1">_xlfn.CONCAT(IFERROR(SUBSTITUTE(ADDRESS(1,MATCH(A2794,INDIRECT("'"&amp;E2794&amp;"'"&amp;"!A" &amp; $O$2785+ 2 &amp; ":Z" &amp; $O$2785 + 2),0),4),1,""),""),$O$2785 + 3)</f>
        <v>L702</v>
      </c>
      <c r="D2794" s="852" t="s">
        <v>1350</v>
      </c>
      <c r="E2794" s="852" t="s">
        <v>1516</v>
      </c>
      <c r="F2794" s="852" t="s">
        <v>1993</v>
      </c>
      <c r="G2794" s="1720" t="str">
        <f>IF(T2794&lt;&gt;"","H","")</f>
        <v/>
      </c>
      <c r="H2794" s="1720" t="s">
        <v>1990</v>
      </c>
      <c r="I2794" s="852"/>
      <c r="J2794" s="852"/>
      <c r="K2794" s="852"/>
      <c r="L2794" s="852" t="s">
        <v>1397</v>
      </c>
      <c r="M2794" s="1369">
        <v>1687</v>
      </c>
      <c r="N2794" s="852"/>
      <c r="R2794" s="1720" t="s">
        <v>2197</v>
      </c>
      <c r="T2794" s="1720" t="str">
        <f t="shared" si="552"/>
        <v/>
      </c>
    </row>
    <row r="2795" spans="1:20" s="1718" customFormat="1" x14ac:dyDescent="0.25">
      <c r="A2795" s="1722" t="s">
        <v>1705</v>
      </c>
      <c r="B2795" s="1307" t="str">
        <f>IFERROR(_xlfn.CONCAT("D",('Configurable Tab'!$C$23+1)),"")</f>
        <v>D226</v>
      </c>
      <c r="C2795" s="1307" t="str">
        <f>IFERROR(_xlfn.CONCAT("E",('Configurable Tab'!$C$23+1)),"")</f>
        <v>E226</v>
      </c>
      <c r="D2795" s="852" t="s">
        <v>1350</v>
      </c>
      <c r="E2795" s="852" t="s">
        <v>1742</v>
      </c>
      <c r="F2795" s="1720"/>
      <c r="G2795" s="1720"/>
      <c r="H2795" s="1720"/>
      <c r="I2795" s="1307" t="str">
        <f t="shared" ref="I2795:I2805" si="553">IF(J2795&lt;&gt;"",A2795,"")</f>
        <v/>
      </c>
      <c r="J2795" s="1720" t="str">
        <f t="shared" ref="J2795:J2804" si="554">IFERROR(IF($Q$2785="Yes",Q$1&amp;M2785,""),"")</f>
        <v/>
      </c>
      <c r="K2795" s="1720" t="str">
        <f t="shared" ref="K2795:K2805" si="555">IF(J2795&lt;&gt;"",E2795,"")</f>
        <v/>
      </c>
      <c r="M2795" s="1719"/>
      <c r="Q2795" s="1307" t="str">
        <f>IFERROR(_xlfn.CONCAT("C",('Configurable Tab'!$C37+1)),"")</f>
        <v>C380</v>
      </c>
      <c r="R2795" s="1720" t="s">
        <v>2197</v>
      </c>
    </row>
    <row r="2796" spans="1:20" s="1718" customFormat="1" x14ac:dyDescent="0.25">
      <c r="A2796" s="1722" t="s">
        <v>1383</v>
      </c>
      <c r="B2796" s="1307" t="str">
        <f>IFERROR(_xlfn.CONCAT("D",('Configurable Tab'!$C$23+2)),"")</f>
        <v>D227</v>
      </c>
      <c r="C2796" s="1307" t="str">
        <f>IFERROR(_xlfn.CONCAT("E",('Configurable Tab'!$C$23+2)),"")</f>
        <v>E227</v>
      </c>
      <c r="D2796" s="852" t="s">
        <v>1350</v>
      </c>
      <c r="E2796" s="852" t="s">
        <v>1742</v>
      </c>
      <c r="F2796" s="1720"/>
      <c r="G2796" s="1720"/>
      <c r="H2796" s="1720"/>
      <c r="I2796" s="1307" t="str">
        <f t="shared" si="553"/>
        <v/>
      </c>
      <c r="J2796" s="1720" t="str">
        <f t="shared" si="554"/>
        <v/>
      </c>
      <c r="K2796" s="1720" t="str">
        <f t="shared" si="555"/>
        <v/>
      </c>
      <c r="M2796" s="1719"/>
      <c r="R2796" s="1720" t="s">
        <v>2197</v>
      </c>
    </row>
    <row r="2797" spans="1:20" s="1718" customFormat="1" x14ac:dyDescent="0.25">
      <c r="A2797" s="1722" t="s">
        <v>1381</v>
      </c>
      <c r="B2797" s="1307" t="str">
        <f>IFERROR(_xlfn.CONCAT("I",('Configurable Tab'!$C$23+1)),"")</f>
        <v>I226</v>
      </c>
      <c r="C2797" s="1307" t="str">
        <f>IFERROR(_xlfn.CONCAT("I",('Configurable Tab'!$C$23+2)),"")</f>
        <v>I227</v>
      </c>
      <c r="D2797" s="852" t="s">
        <v>1350</v>
      </c>
      <c r="E2797" s="852" t="s">
        <v>1742</v>
      </c>
      <c r="F2797" s="1720"/>
      <c r="G2797" s="1720"/>
      <c r="H2797" s="1720"/>
      <c r="I2797" s="1307" t="str">
        <f t="shared" si="553"/>
        <v/>
      </c>
      <c r="J2797" s="1720" t="str">
        <f t="shared" si="554"/>
        <v/>
      </c>
      <c r="K2797" s="1720" t="str">
        <f t="shared" si="555"/>
        <v/>
      </c>
      <c r="M2797" s="1719"/>
      <c r="R2797" s="1720" t="s">
        <v>2197</v>
      </c>
    </row>
    <row r="2798" spans="1:20" s="1718" customFormat="1" x14ac:dyDescent="0.25">
      <c r="A2798" s="1722" t="s">
        <v>1382</v>
      </c>
      <c r="B2798" s="1307" t="str">
        <f>IFERROR(_xlfn.CONCAT("M",('Configurable Tab'!$C$23+1)),"")</f>
        <v>M226</v>
      </c>
      <c r="C2798" s="1307" t="str">
        <f>IFERROR(_xlfn.CONCAT("M",('Configurable Tab'!$C$23+2)),"")</f>
        <v>M227</v>
      </c>
      <c r="D2798" s="852" t="s">
        <v>1350</v>
      </c>
      <c r="E2798" s="852" t="s">
        <v>1742</v>
      </c>
      <c r="F2798" s="1720"/>
      <c r="G2798" s="1720"/>
      <c r="H2798" s="1720"/>
      <c r="I2798" s="1307" t="str">
        <f t="shared" si="553"/>
        <v/>
      </c>
      <c r="J2798" s="1720" t="str">
        <f t="shared" si="554"/>
        <v/>
      </c>
      <c r="K2798" s="1720" t="str">
        <f t="shared" si="555"/>
        <v/>
      </c>
      <c r="M2798" s="1719"/>
      <c r="R2798" s="1720" t="s">
        <v>2197</v>
      </c>
    </row>
    <row r="2799" spans="1:20" s="1718" customFormat="1" x14ac:dyDescent="0.25">
      <c r="A2799" s="1722" t="s">
        <v>1385</v>
      </c>
      <c r="B2799" s="1307" t="str">
        <f>IFERROR(_xlfn.CONCAT("D",('Configurable Tab'!$C$23+4)),"")</f>
        <v>D229</v>
      </c>
      <c r="C2799" s="1307" t="str">
        <f>IFERROR(_xlfn.CONCAT("E",('Configurable Tab'!$C$23+4)),"")</f>
        <v>E229</v>
      </c>
      <c r="D2799" s="852" t="s">
        <v>1350</v>
      </c>
      <c r="E2799" s="852" t="s">
        <v>1742</v>
      </c>
      <c r="F2799" s="1720"/>
      <c r="G2799" s="1720"/>
      <c r="H2799" s="1720"/>
      <c r="I2799" s="1307" t="str">
        <f t="shared" si="553"/>
        <v/>
      </c>
      <c r="J2799" s="1720" t="str">
        <f t="shared" si="554"/>
        <v/>
      </c>
      <c r="K2799" s="1720" t="str">
        <f t="shared" si="555"/>
        <v/>
      </c>
      <c r="M2799" s="1719"/>
      <c r="R2799" s="1720" t="s">
        <v>2197</v>
      </c>
    </row>
    <row r="2800" spans="1:20" s="1718" customFormat="1" x14ac:dyDescent="0.25">
      <c r="A2800" s="1722" t="s">
        <v>1386</v>
      </c>
      <c r="B2800" s="1307" t="str">
        <f>IFERROR(_xlfn.CONCAT("D",('Configurable Tab'!$C$23+5)),"")</f>
        <v>D230</v>
      </c>
      <c r="C2800" s="1307" t="str">
        <f>IFERROR(_xlfn.CONCAT("E",('Configurable Tab'!$C$23+5)),"")</f>
        <v>E230</v>
      </c>
      <c r="D2800" s="852" t="s">
        <v>1350</v>
      </c>
      <c r="E2800" s="852" t="s">
        <v>1742</v>
      </c>
      <c r="F2800" s="1720"/>
      <c r="G2800" s="1720"/>
      <c r="H2800" s="1720"/>
      <c r="I2800" s="1307" t="str">
        <f t="shared" si="553"/>
        <v/>
      </c>
      <c r="J2800" s="1720" t="str">
        <f t="shared" si="554"/>
        <v/>
      </c>
      <c r="K2800" s="1720" t="str">
        <f t="shared" si="555"/>
        <v/>
      </c>
      <c r="M2800" s="1719"/>
      <c r="R2800" s="1720" t="s">
        <v>2197</v>
      </c>
    </row>
    <row r="2801" spans="1:20" s="1718" customFormat="1" x14ac:dyDescent="0.25">
      <c r="A2801" s="1722" t="s">
        <v>1396</v>
      </c>
      <c r="B2801" s="1307" t="str">
        <f>IFERROR(_xlfn.CONCAT("G",('Configurable Tab'!$C$23+7)),"")</f>
        <v>G232</v>
      </c>
      <c r="C2801" s="1307" t="str">
        <f>IFERROR(_xlfn.CONCAT("G",('Configurable Tab'!$C$23+8)),"")</f>
        <v>G233</v>
      </c>
      <c r="D2801" s="852" t="s">
        <v>1350</v>
      </c>
      <c r="E2801" s="852" t="s">
        <v>1742</v>
      </c>
      <c r="F2801" s="1720"/>
      <c r="G2801" s="1720"/>
      <c r="H2801" s="1720"/>
      <c r="I2801" s="1307" t="str">
        <f t="shared" si="553"/>
        <v/>
      </c>
      <c r="J2801" s="1720" t="str">
        <f t="shared" si="554"/>
        <v/>
      </c>
      <c r="K2801" s="1720" t="str">
        <f t="shared" si="555"/>
        <v/>
      </c>
      <c r="M2801" s="1719"/>
      <c r="R2801" s="1720" t="s">
        <v>2197</v>
      </c>
    </row>
    <row r="2802" spans="1:20" s="1718" customFormat="1" x14ac:dyDescent="0.25">
      <c r="A2802" s="1722" t="s">
        <v>2005</v>
      </c>
      <c r="B2802" s="1307" t="str">
        <f>IFERROR(_xlfn.CONCAT("G",('Configurable Tab'!$C$23+7)),"")</f>
        <v>G232</v>
      </c>
      <c r="C2802" s="1307" t="str">
        <f>IFERROR(_xlfn.CONCAT("G",('Configurable Tab'!$C$23+8)),"")</f>
        <v>G233</v>
      </c>
      <c r="D2802" s="852" t="s">
        <v>1350</v>
      </c>
      <c r="E2802" s="852" t="s">
        <v>1742</v>
      </c>
      <c r="F2802" s="1720"/>
      <c r="G2802" s="1720"/>
      <c r="H2802" s="1720"/>
      <c r="I2802" s="1307" t="str">
        <f t="shared" si="553"/>
        <v/>
      </c>
      <c r="J2802" s="1720" t="str">
        <f t="shared" si="554"/>
        <v/>
      </c>
      <c r="K2802" s="1720" t="str">
        <f t="shared" si="555"/>
        <v/>
      </c>
      <c r="M2802" s="1719"/>
      <c r="R2802" s="1720" t="s">
        <v>2197</v>
      </c>
    </row>
    <row r="2803" spans="1:20" s="1718" customFormat="1" x14ac:dyDescent="0.25">
      <c r="A2803" s="1722" t="s">
        <v>1482</v>
      </c>
      <c r="B2803" s="1307" t="str">
        <f>IFERROR(_xlfn.CONCAT("K",('Configurable Tab'!$C$23+7)),"")</f>
        <v>K232</v>
      </c>
      <c r="C2803" s="1307" t="str">
        <f>IFERROR(_xlfn.CONCAT("K",('Configurable Tab'!$C$23+8)),"")</f>
        <v>K233</v>
      </c>
      <c r="D2803" s="852" t="s">
        <v>1350</v>
      </c>
      <c r="E2803" s="852" t="s">
        <v>1742</v>
      </c>
      <c r="F2803" s="1720"/>
      <c r="G2803" s="1720"/>
      <c r="H2803" s="1720"/>
      <c r="I2803" s="1307" t="str">
        <f t="shared" si="553"/>
        <v/>
      </c>
      <c r="J2803" s="1720" t="str">
        <f t="shared" si="554"/>
        <v/>
      </c>
      <c r="K2803" s="1720" t="str">
        <f t="shared" si="555"/>
        <v/>
      </c>
      <c r="M2803" s="1719"/>
      <c r="R2803" s="1720" t="s">
        <v>2197</v>
      </c>
    </row>
    <row r="2804" spans="1:20" s="1718" customFormat="1" x14ac:dyDescent="0.25">
      <c r="A2804" s="1722" t="s">
        <v>1397</v>
      </c>
      <c r="B2804" s="1307" t="str">
        <f>IFERROR(_xlfn.CONCAT("K",('Configurable Tab'!$C$23+1)),"")</f>
        <v>K226</v>
      </c>
      <c r="C2804" s="1307" t="str">
        <f>IFERROR(_xlfn.CONCAT("K",('Configurable Tab'!$C$23+2)),"")</f>
        <v>K227</v>
      </c>
      <c r="D2804" s="852" t="s">
        <v>1350</v>
      </c>
      <c r="E2804" s="852" t="s">
        <v>1742</v>
      </c>
      <c r="F2804" s="1720"/>
      <c r="G2804" s="1720"/>
      <c r="H2804" s="1720"/>
      <c r="I2804" s="1307" t="str">
        <f t="shared" si="553"/>
        <v/>
      </c>
      <c r="J2804" s="1720" t="str">
        <f t="shared" si="554"/>
        <v/>
      </c>
      <c r="K2804" s="1720" t="str">
        <f t="shared" si="555"/>
        <v/>
      </c>
      <c r="M2804" s="1719"/>
      <c r="R2804" s="1720" t="s">
        <v>2197</v>
      </c>
    </row>
    <row r="2805" spans="1:20" s="1718" customFormat="1" x14ac:dyDescent="0.25">
      <c r="A2805" s="1722" t="s">
        <v>1496</v>
      </c>
      <c r="B2805" s="852" t="str">
        <f ca="1">IFERROR(_xlfn.CONCAT("C",MATCH(A2805,INDIRECT("'"&amp;E2805&amp;"'!C"&amp;$O$2785&amp;":C"&amp;$O$2787),0)+$O$2785-1),"")</f>
        <v>C711</v>
      </c>
      <c r="C2805" s="852" t="str">
        <f ca="1">IFERROR(_xlfn.CONCAT("D",MATCH(A2805,INDIRECT("'"&amp;E2805&amp;"'!C"&amp;$O$2785&amp;":C"&amp;$O$2787),0)+$O$2785-1),"")</f>
        <v>D711</v>
      </c>
      <c r="D2805" s="852" t="s">
        <v>1350</v>
      </c>
      <c r="E2805" s="852" t="s">
        <v>1516</v>
      </c>
      <c r="F2805" s="1720" t="s">
        <v>1496</v>
      </c>
      <c r="G2805" s="1720" t="str">
        <f t="shared" ref="G2805" si="556">IF(T2805&lt;&gt;"","AS","")</f>
        <v/>
      </c>
      <c r="H2805" s="1720" t="s">
        <v>1990</v>
      </c>
      <c r="I2805" s="1307" t="str">
        <f t="shared" si="553"/>
        <v/>
      </c>
      <c r="J2805" s="1720"/>
      <c r="K2805" s="1720" t="str">
        <f t="shared" si="555"/>
        <v/>
      </c>
      <c r="L2805" s="852"/>
      <c r="M2805" s="1721"/>
      <c r="N2805" s="1720"/>
      <c r="R2805" s="1720" t="s">
        <v>2197</v>
      </c>
      <c r="T2805" s="1720" t="str">
        <f t="shared" ref="T2805:T2813" si="557">IF(Q$2785="Yes",49,"")</f>
        <v/>
      </c>
    </row>
    <row r="2806" spans="1:20" s="1718" customFormat="1" x14ac:dyDescent="0.25">
      <c r="A2806" s="1723" t="s">
        <v>1495</v>
      </c>
      <c r="B2806" s="852" t="str">
        <f ca="1">IFERROR(_xlfn.CONCAT("C",MATCH(A2806,INDIRECT("'"&amp;E2806&amp;"'!C"&amp;$O$2785&amp;":C"&amp;$O$2787),0)+$O$2785-1),"")</f>
        <v>C709</v>
      </c>
      <c r="C2806" s="852" t="str">
        <f ca="1">IFERROR(_xlfn.CONCAT("D",MATCH(A2806,INDIRECT("'"&amp;E2806&amp;"'!C"&amp;$O$2785&amp;":C"&amp;$O$2787),0)+$O$2785-1),"")</f>
        <v>D709</v>
      </c>
      <c r="D2806" s="852" t="s">
        <v>1350</v>
      </c>
      <c r="E2806" s="852" t="s">
        <v>1516</v>
      </c>
      <c r="F2806" s="1720" t="s">
        <v>1495</v>
      </c>
      <c r="G2806" s="1720" t="str">
        <f>IF(T2806&lt;&gt;"","AN","")</f>
        <v/>
      </c>
      <c r="H2806" s="1720" t="s">
        <v>1990</v>
      </c>
      <c r="I2806" s="1307"/>
      <c r="J2806" s="1720"/>
      <c r="K2806" s="1720"/>
      <c r="L2806" s="852"/>
      <c r="M2806" s="1721"/>
      <c r="N2806" s="1720"/>
      <c r="O2806" s="1606"/>
      <c r="P2806" s="625"/>
      <c r="Q2806" s="625"/>
      <c r="R2806" s="1720" t="s">
        <v>2197</v>
      </c>
      <c r="T2806" s="1720" t="str">
        <f t="shared" si="557"/>
        <v/>
      </c>
    </row>
    <row r="2807" spans="1:20" s="1718" customFormat="1" x14ac:dyDescent="0.25">
      <c r="A2807" s="1723" t="s">
        <v>1492</v>
      </c>
      <c r="B2807" s="852" t="str">
        <f ca="1">_xlfn.CONCAT(IFERROR(SUBSTITUTE(ADDRESS(1,MATCH(A2807,INDIRECT("'"&amp;E2807&amp;"'"&amp;"!A" &amp; $O$2785+ 8 &amp; ":Z" &amp; $O$2785 + 8),0),4),1,""),""),$O$2785 + 8)</f>
        <v>H707</v>
      </c>
      <c r="C2807" s="852" t="str">
        <f ca="1">_xlfn.CONCAT(IFERROR(SUBSTITUTE(ADDRESS(1,MATCH(A2807,INDIRECT("'"&amp;E2807&amp;"'"&amp;"!A" &amp; $O$2785+ 8 &amp; ":Z" &amp; $O$2785 + 8),0),4),1,""),""),$O$2785 + 9)</f>
        <v>H708</v>
      </c>
      <c r="D2807" s="852" t="s">
        <v>1350</v>
      </c>
      <c r="E2807" s="852" t="s">
        <v>1516</v>
      </c>
      <c r="F2807" s="1720" t="s">
        <v>1492</v>
      </c>
      <c r="G2807" s="1720" t="str">
        <f>IF(T2807&lt;&gt;"","AL","")</f>
        <v/>
      </c>
      <c r="H2807" s="1720" t="s">
        <v>1990</v>
      </c>
      <c r="I2807" s="1307"/>
      <c r="J2807" s="1720"/>
      <c r="K2807" s="1720"/>
      <c r="L2807" s="852"/>
      <c r="M2807" s="1721"/>
      <c r="N2807" s="1720"/>
      <c r="O2807" s="625"/>
      <c r="P2807" s="625"/>
      <c r="Q2807" s="625"/>
      <c r="R2807" s="1720" t="s">
        <v>2197</v>
      </c>
      <c r="T2807" s="1720" t="str">
        <f t="shared" si="557"/>
        <v/>
      </c>
    </row>
    <row r="2808" spans="1:20" s="1718" customFormat="1" x14ac:dyDescent="0.25">
      <c r="A2808" s="1723" t="s">
        <v>1380</v>
      </c>
      <c r="B2808" s="852" t="str">
        <f ca="1">_xlfn.CONCAT(IFERROR(SUBSTITUTE(ADDRESS(1,MATCH(A2808,INDIRECT("'"&amp;E2808&amp;"'"&amp;"!A" &amp; $O$2785+ 2 &amp; ":Z" &amp; $O$2785 + 2),0),4),1,""),""),$O$2785+ 2)</f>
        <v>H701</v>
      </c>
      <c r="C2808" s="852" t="str">
        <f ca="1">_xlfn.CONCAT(IFERROR(SUBSTITUTE(ADDRESS(1,MATCH(A2808,INDIRECT("'"&amp;E2808&amp;"'"&amp;"!A" &amp; $O$2785+ 2 &amp; ":Z" &amp; $O$2785 + 2),0),4),1,""),""),$O$2785+ 3)</f>
        <v>H702</v>
      </c>
      <c r="D2808" s="852" t="s">
        <v>1350</v>
      </c>
      <c r="E2808" s="852" t="s">
        <v>1516</v>
      </c>
      <c r="F2808" s="1720" t="s">
        <v>1991</v>
      </c>
      <c r="G2808" s="1720" t="str">
        <f>IF(T2808&lt;&gt;"","E","")</f>
        <v/>
      </c>
      <c r="H2808" s="1720" t="s">
        <v>1990</v>
      </c>
      <c r="I2808" s="1307"/>
      <c r="J2808" s="1720"/>
      <c r="K2808" s="1720"/>
      <c r="L2808" s="852"/>
      <c r="M2808" s="1721"/>
      <c r="N2808" s="1720"/>
      <c r="O2808" s="625"/>
      <c r="P2808" s="625"/>
      <c r="Q2808" s="625"/>
      <c r="R2808" s="1720" t="s">
        <v>2197</v>
      </c>
      <c r="T2808" s="1720" t="str">
        <f t="shared" si="557"/>
        <v/>
      </c>
    </row>
    <row r="2809" spans="1:20" s="1718" customFormat="1" x14ac:dyDescent="0.25">
      <c r="A2809" s="1723" t="s">
        <v>1487</v>
      </c>
      <c r="B2809" s="852" t="str">
        <f ca="1">_xlfn.CONCAT(IFERROR(SUBSTITUTE(ADDRESS(1,MATCH(A2809,INDIRECT("'"&amp;E2809&amp;"'"&amp;"!A" &amp; $O$2785+ 2 &amp; ":Z" &amp; $O$2785 + 2),0),4),1,""),""),$O$2785+ 2)</f>
        <v>R701</v>
      </c>
      <c r="C2809" s="852" t="str">
        <f ca="1">_xlfn.CONCAT(IFERROR(SUBSTITUTE(ADDRESS(1,MATCH(A2809,INDIRECT("'"&amp;E2809&amp;"'"&amp;"!A" &amp; $O$2785+ 2 &amp; ":Z" &amp; $O$2785 + 2),0),4),1,""),""),$O$2785+ 3)</f>
        <v>R702</v>
      </c>
      <c r="D2809" s="852" t="s">
        <v>1350</v>
      </c>
      <c r="E2809" s="852" t="s">
        <v>1516</v>
      </c>
      <c r="F2809" s="1720" t="s">
        <v>1995</v>
      </c>
      <c r="G2809" s="1720" t="str">
        <f>IF(T2809&lt;&gt;"","G","")</f>
        <v/>
      </c>
      <c r="H2809" s="1720" t="s">
        <v>1990</v>
      </c>
      <c r="I2809" s="1307"/>
      <c r="J2809" s="1720"/>
      <c r="K2809" s="1720"/>
      <c r="L2809" s="852"/>
      <c r="M2809" s="1721"/>
      <c r="N2809" s="1720"/>
      <c r="O2809" s="625"/>
      <c r="P2809" s="625"/>
      <c r="Q2809" s="625"/>
      <c r="R2809" s="1720" t="s">
        <v>2197</v>
      </c>
      <c r="T2809" s="1720" t="str">
        <f t="shared" si="557"/>
        <v/>
      </c>
    </row>
    <row r="2810" spans="1:20" s="1718" customFormat="1" x14ac:dyDescent="0.25">
      <c r="A2810" s="1723" t="s">
        <v>1488</v>
      </c>
      <c r="B2810" s="852" t="str">
        <f ca="1">_xlfn.CONCAT(IFERROR(SUBSTITUTE(ADDRESS(1,MATCH(A2810,INDIRECT("'"&amp;E2810&amp;"'"&amp;"!A" &amp; $O$2785+ 2 &amp; ":Z" &amp; $O$2785 + 2),0),4),1,""),""),$O$2785+ 2)</f>
        <v>T701</v>
      </c>
      <c r="C2810" s="852" t="str">
        <f ca="1">_xlfn.CONCAT(IFERROR(SUBSTITUTE(ADDRESS(1,MATCH(A2810,INDIRECT("'"&amp;E2810&amp;"'"&amp;"!A" &amp; $O$2785+ 2 &amp; ":Z" &amp; $O$2785 + 2),0),4),1,""),""),$O$2785+ 3)</f>
        <v>T702</v>
      </c>
      <c r="D2810" s="852" t="s">
        <v>1350</v>
      </c>
      <c r="E2810" s="852" t="s">
        <v>1516</v>
      </c>
      <c r="F2810" s="867" t="s">
        <v>1488</v>
      </c>
      <c r="G2810" s="1720" t="str">
        <f>IF(T2810&lt;&gt;"","AW","")</f>
        <v/>
      </c>
      <c r="H2810" s="1720" t="s">
        <v>1990</v>
      </c>
      <c r="I2810" s="1307"/>
      <c r="J2810" s="1720"/>
      <c r="K2810" s="1720"/>
      <c r="L2810" s="852"/>
      <c r="M2810" s="1721"/>
      <c r="N2810" s="1720"/>
      <c r="O2810" s="625"/>
      <c r="P2810" s="625"/>
      <c r="Q2810" s="625"/>
      <c r="R2810" s="1720" t="s">
        <v>2197</v>
      </c>
      <c r="T2810" s="1720" t="str">
        <f t="shared" si="557"/>
        <v/>
      </c>
    </row>
    <row r="2811" spans="1:20" s="1718" customFormat="1" x14ac:dyDescent="0.25">
      <c r="A2811" s="1723" t="s">
        <v>1603</v>
      </c>
      <c r="B2811" s="852" t="str">
        <f ca="1">_xlfn.CONCAT(IFERROR(SUBSTITUTE(ADDRESS(1,MATCH(A2811,INDIRECT("'"&amp;E2811&amp;"'"&amp;"!A" &amp; $O$2785+ 5 &amp; ":Z" &amp; $O$2785 + 5),0),4),1,""),""),$O$2785+ 5)</f>
        <v>R704</v>
      </c>
      <c r="C2811" s="852" t="str">
        <f ca="1">_xlfn.CONCAT(IFERROR(SUBSTITUTE(ADDRESS(1,MATCH(A2811,INDIRECT("'"&amp;E2811&amp;"'"&amp;"!A" &amp; $O$2785+ 5 &amp; ":Z" &amp; $O$2785 + 5),0),4),1,""),""),$O$2785+ 6)</f>
        <v>R705</v>
      </c>
      <c r="D2811" s="852" t="s">
        <v>1350</v>
      </c>
      <c r="E2811" s="852" t="s">
        <v>1516</v>
      </c>
      <c r="F2811" s="1720" t="s">
        <v>1999</v>
      </c>
      <c r="G2811" s="1720" t="str">
        <f t="shared" ref="G2811" si="558">IF(T2811&lt;&gt;"","AB","")</f>
        <v/>
      </c>
      <c r="H2811" s="1720" t="s">
        <v>1990</v>
      </c>
      <c r="I2811" s="1307"/>
      <c r="J2811" s="1720"/>
      <c r="K2811" s="1720"/>
      <c r="L2811" s="852"/>
      <c r="M2811" s="1721"/>
      <c r="N2811" s="1720"/>
      <c r="O2811" s="625"/>
      <c r="P2811" s="625"/>
      <c r="Q2811" s="625"/>
      <c r="R2811" s="1720" t="s">
        <v>2197</v>
      </c>
      <c r="T2811" s="1720" t="str">
        <f t="shared" si="557"/>
        <v/>
      </c>
    </row>
    <row r="2812" spans="1:20" s="1718" customFormat="1" x14ac:dyDescent="0.25">
      <c r="A2812" s="1723" t="s">
        <v>1604</v>
      </c>
      <c r="B2812" s="852" t="str">
        <f ca="1">_xlfn.CONCAT(IFERROR(SUBSTITUTE(ADDRESS(1,MATCH(A2812,INDIRECT("'"&amp;E2812&amp;"'"&amp;"!A" &amp; $O$2785+ 5 &amp; ":Z" &amp; $O$2785 + 5),0),4),1,""),""),$O$2785+ 5)</f>
        <v>T704</v>
      </c>
      <c r="C2812" s="852" t="str">
        <f ca="1">_xlfn.CONCAT(IFERROR(SUBSTITUTE(ADDRESS(1,MATCH(A2812,INDIRECT("'"&amp;E2812&amp;"'"&amp;"!A" &amp; $O$2785+ 5 &amp; ":Z" &amp; $O$2785 + 5),0),4),1,""),""),$O$2785+ 6)</f>
        <v>T705</v>
      </c>
      <c r="D2812" s="852" t="s">
        <v>1350</v>
      </c>
      <c r="E2812" s="852" t="s">
        <v>1516</v>
      </c>
      <c r="F2812" s="1720" t="s">
        <v>1604</v>
      </c>
      <c r="G2812" s="1720" t="str">
        <f t="shared" ref="G2812" si="559">IF(T2812&lt;&gt;"","AP","")</f>
        <v/>
      </c>
      <c r="H2812" s="1720" t="s">
        <v>1990</v>
      </c>
      <c r="I2812" s="1307"/>
      <c r="J2812" s="1720"/>
      <c r="K2812" s="1720"/>
      <c r="L2812" s="852"/>
      <c r="M2812" s="1721"/>
      <c r="N2812" s="1720"/>
      <c r="O2812" s="625"/>
      <c r="P2812" s="625"/>
      <c r="Q2812" s="625"/>
      <c r="R2812" s="1720" t="s">
        <v>2197</v>
      </c>
      <c r="T2812" s="1720" t="str">
        <f t="shared" si="557"/>
        <v/>
      </c>
    </row>
    <row r="2813" spans="1:20" s="1718" customFormat="1" x14ac:dyDescent="0.25">
      <c r="A2813" s="1723" t="s">
        <v>2135</v>
      </c>
      <c r="B2813" s="852" t="str">
        <f ca="1">_xlfn.CONCAT(IFERROR(SUBSTITUTE(ADDRESS(1,MATCH(A2813,INDIRECT("'"&amp;E2813&amp;"'"&amp;"!A" &amp; $O$2785+ 8 &amp; ":Z" &amp; $O$2785 + 8),0),4),1,""),""),$O$2785 + 8)</f>
        <v>L707</v>
      </c>
      <c r="C2813" s="852" t="str">
        <f ca="1">_xlfn.CONCAT(IFERROR(SUBSTITUTE(ADDRESS(1,MATCH(A2813,INDIRECT("'"&amp;E2813&amp;"'"&amp;"!A" &amp; $O$2785+ 8 &amp; ":Z" &amp; $O$2785 + 8),0),4),1,""),""),$O$2785 + 9)</f>
        <v>L708</v>
      </c>
      <c r="D2813" s="852" t="s">
        <v>1350</v>
      </c>
      <c r="E2813" s="852" t="s">
        <v>1516</v>
      </c>
      <c r="F2813" s="1720" t="s">
        <v>2135</v>
      </c>
      <c r="G2813" s="1720" t="str">
        <f>IF(T2813&lt;&gt;"","AZ","")</f>
        <v/>
      </c>
      <c r="H2813" s="1720" t="s">
        <v>1990</v>
      </c>
      <c r="I2813" s="1307"/>
      <c r="J2813" s="1720"/>
      <c r="K2813" s="1720"/>
      <c r="L2813" s="852" t="s">
        <v>2135</v>
      </c>
      <c r="M2813" s="1721">
        <v>1688</v>
      </c>
      <c r="N2813" s="1720"/>
      <c r="O2813" s="625"/>
      <c r="P2813" s="625"/>
      <c r="Q2813" s="625"/>
      <c r="R2813" s="1720" t="s">
        <v>2197</v>
      </c>
      <c r="T2813" s="1720" t="str">
        <f t="shared" si="557"/>
        <v/>
      </c>
    </row>
    <row r="2814" spans="1:20" s="1718" customFormat="1" x14ac:dyDescent="0.25">
      <c r="A2814" s="872" t="s">
        <v>1491</v>
      </c>
      <c r="B2814" s="852" t="str">
        <f ca="1">IFERROR(_xlfn.CONCAT("C",MATCH(A2814,INDIRECT("'"&amp;E2814&amp;"'!C"&amp;$O$2815&amp;":C"&amp;$O$2817),0)+$O$2815-1),"")</f>
        <v>C717</v>
      </c>
      <c r="C2814" s="852" t="str">
        <f ca="1">IFERROR(_xlfn.CONCAT("D",MATCH(A2814,INDIRECT("'"&amp;E2814&amp;"'!C"&amp;$O$2815&amp;":C"&amp;$O$2817),0)+$O$2815-1),"")</f>
        <v>D717</v>
      </c>
      <c r="D2814" s="852" t="s">
        <v>1350</v>
      </c>
      <c r="E2814" s="852" t="s">
        <v>1516</v>
      </c>
      <c r="F2814" s="852" t="s">
        <v>1491</v>
      </c>
      <c r="G2814" s="1720" t="str">
        <f>IF(T2814&lt;&gt;"","A","")</f>
        <v/>
      </c>
      <c r="H2814" s="1720" t="s">
        <v>1990</v>
      </c>
      <c r="I2814" s="852"/>
      <c r="J2814" s="852"/>
      <c r="K2814" s="852"/>
      <c r="L2814" s="852" t="s">
        <v>1491</v>
      </c>
      <c r="M2814" s="1369">
        <v>1689</v>
      </c>
      <c r="N2814" s="852"/>
      <c r="O2814" s="1718" t="s">
        <v>725</v>
      </c>
      <c r="R2814" s="1720" t="s">
        <v>2198</v>
      </c>
      <c r="T2814" s="1720" t="str">
        <f>IF(Q$2815="Yes",50,"")</f>
        <v/>
      </c>
    </row>
    <row r="2815" spans="1:20" s="1718" customFormat="1" x14ac:dyDescent="0.25">
      <c r="A2815" s="872" t="s">
        <v>1705</v>
      </c>
      <c r="B2815" s="852" t="str">
        <f ca="1">_xlfn.CONCAT(IFERROR(SUBSTITUTE(ADDRESS(1,MATCH(A2815,INDIRECT("'"&amp;E2815&amp;"'"&amp;"!A" &amp; $O$2815+ 11 &amp; ":Z" &amp; $O$2815 + 11),0),4),1,""),""),$O$2815+ 11)</f>
        <v>T724</v>
      </c>
      <c r="C2815" s="852" t="str">
        <f ca="1">_xlfn.CONCAT(IFERROR(SUBSTITUTE(ADDRESS(1,MATCH(A2815,INDIRECT("'"&amp;E2815&amp;"'"&amp;"!A" &amp; $O$2815+ 11 &amp; ":Z" &amp; $O$2815 + 11),0),4),1,""),""),$O$2815+ 12)</f>
        <v>T725</v>
      </c>
      <c r="D2815" s="852" t="s">
        <v>1350</v>
      </c>
      <c r="E2815" s="852" t="s">
        <v>1516</v>
      </c>
      <c r="F2815" s="852"/>
      <c r="G2815" s="1720"/>
      <c r="H2815" s="1720"/>
      <c r="I2815" s="852"/>
      <c r="J2815" s="852"/>
      <c r="K2815" s="852"/>
      <c r="L2815" s="852" t="s">
        <v>1705</v>
      </c>
      <c r="M2815" s="1369">
        <v>1690</v>
      </c>
      <c r="N2815" s="852"/>
      <c r="O2815" s="1718">
        <f>'Configurable Tab'!H53</f>
        <v>713</v>
      </c>
      <c r="P2815" s="18" t="str">
        <f>'Configurable Tab'!J53</f>
        <v>No</v>
      </c>
      <c r="Q2815" s="1718" t="s">
        <v>648</v>
      </c>
      <c r="R2815" s="1720" t="s">
        <v>2198</v>
      </c>
      <c r="T2815" s="1720" t="str">
        <f t="shared" ref="T2815:T2824" si="560">IF(Q$2815="Yes",50,"")</f>
        <v/>
      </c>
    </row>
    <row r="2816" spans="1:20" s="1718" customFormat="1" x14ac:dyDescent="0.25">
      <c r="A2816" s="872" t="s">
        <v>1383</v>
      </c>
      <c r="B2816" s="852" t="str">
        <f ca="1">IFERROR(_xlfn.CONCAT("C",MATCH(A2816,INDIRECT("'"&amp;E2816&amp;"'!C"&amp;$O$2815&amp;":C"&amp;$O$2817),0)+$O$2815-1),"")</f>
        <v>C715</v>
      </c>
      <c r="C2816" s="852" t="str">
        <f ca="1">IFERROR(_xlfn.CONCAT("D",MATCH(A2816,INDIRECT("'"&amp;E2816&amp;"'!C"&amp;$O$2815&amp;":C"&amp;$O$2817),0)+$O$2815-1),"")</f>
        <v>D715</v>
      </c>
      <c r="D2816" s="852" t="s">
        <v>1350</v>
      </c>
      <c r="E2816" s="852" t="s">
        <v>1516</v>
      </c>
      <c r="F2816" s="852" t="s">
        <v>1383</v>
      </c>
      <c r="G2816" s="1720" t="str">
        <f>IF(T2816&lt;&gt;"","B","")</f>
        <v/>
      </c>
      <c r="H2816" s="1720" t="s">
        <v>1990</v>
      </c>
      <c r="I2816" s="852"/>
      <c r="J2816" s="852"/>
      <c r="K2816" s="852"/>
      <c r="L2816" s="852" t="s">
        <v>1383</v>
      </c>
      <c r="M2816" s="1369">
        <v>1691</v>
      </c>
      <c r="N2816" s="852"/>
      <c r="O2816" s="1718" t="s">
        <v>726</v>
      </c>
      <c r="R2816" s="1720" t="s">
        <v>2198</v>
      </c>
      <c r="T2816" s="1720" t="str">
        <f t="shared" si="560"/>
        <v/>
      </c>
    </row>
    <row r="2817" spans="1:20" s="1718" customFormat="1" x14ac:dyDescent="0.25">
      <c r="A2817" s="872" t="s">
        <v>1381</v>
      </c>
      <c r="B2817" s="852" t="str">
        <f ca="1">_xlfn.CONCAT(IFERROR(SUBSTITUTE(ADDRESS(1,MATCH(A2817,INDIRECT("'"&amp;E2817&amp;"'"&amp;"!A" &amp; $O$2815+ 2 &amp; ":Z" &amp; $O$2815 + 2),0),4),1,""),""),$O$2815+ 2)</f>
        <v>J715</v>
      </c>
      <c r="C2817" s="852" t="str">
        <f ca="1">_xlfn.CONCAT(IFERROR(SUBSTITUTE(ADDRESS(1,MATCH(A2817,INDIRECT("'"&amp;E2817&amp;"'"&amp;"!A" &amp; $O$2815+ 2 &amp; ":Z" &amp; $O$2815 + 2),0),4),1,""),""),$O$2815+ 3)</f>
        <v>J716</v>
      </c>
      <c r="D2817" s="852" t="s">
        <v>1350</v>
      </c>
      <c r="E2817" s="852" t="s">
        <v>1516</v>
      </c>
      <c r="F2817" s="852" t="s">
        <v>1992</v>
      </c>
      <c r="G2817" s="1720" t="str">
        <f>IF(T2817&lt;&gt;"","I","")</f>
        <v/>
      </c>
      <c r="H2817" s="1720" t="s">
        <v>1990</v>
      </c>
      <c r="I2817" s="852"/>
      <c r="J2817" s="852"/>
      <c r="K2817" s="852"/>
      <c r="L2817" s="852" t="s">
        <v>1381</v>
      </c>
      <c r="M2817" s="1369">
        <v>1692</v>
      </c>
      <c r="N2817" s="852"/>
      <c r="O2817" s="1718">
        <f>'Configurable Tab'!I53</f>
        <v>726</v>
      </c>
      <c r="R2817" s="1720" t="s">
        <v>2198</v>
      </c>
      <c r="T2817" s="1720" t="str">
        <f t="shared" si="560"/>
        <v/>
      </c>
    </row>
    <row r="2818" spans="1:20" s="1718" customFormat="1" x14ac:dyDescent="0.25">
      <c r="A2818" s="872" t="s">
        <v>1382</v>
      </c>
      <c r="B2818" s="852" t="str">
        <f ca="1">_xlfn.CONCAT(IFERROR(SUBSTITUTE(ADDRESS(1,MATCH(A2818,INDIRECT("'"&amp;E2818&amp;"'"&amp;"!A" &amp; $O$2815+ 2 &amp; ":Z" &amp; $O$2815 + 2),0),4),1,""),""),$O$2815+ 2)</f>
        <v>N715</v>
      </c>
      <c r="C2818" s="852" t="str">
        <f ca="1">_xlfn.CONCAT(IFERROR(SUBSTITUTE(ADDRESS(1,MATCH(A2818,INDIRECT("'"&amp;E2818&amp;"'"&amp;"!A" &amp; $O$2815+ 2 &amp; ":Z" &amp; $O$2815 + 2),0),4),1,""),""),$O$2815+ 3)</f>
        <v>N716</v>
      </c>
      <c r="D2818" s="852" t="s">
        <v>1350</v>
      </c>
      <c r="E2818" s="852" t="s">
        <v>1516</v>
      </c>
      <c r="F2818" s="852" t="s">
        <v>1382</v>
      </c>
      <c r="G2818" s="1720" t="str">
        <f>IF(T2818&lt;&gt;"",IF(Q2817="Credit Memo","J",IF(Q2817="Check","K","")),"")</f>
        <v/>
      </c>
      <c r="H2818" s="1720" t="s">
        <v>1990</v>
      </c>
      <c r="I2818" s="852"/>
      <c r="J2818" s="852"/>
      <c r="K2818" s="852"/>
      <c r="L2818" s="852" t="s">
        <v>1382</v>
      </c>
      <c r="M2818" s="1369">
        <v>1693</v>
      </c>
      <c r="N2818" s="852"/>
      <c r="O2818" s="1718" t="s">
        <v>2207</v>
      </c>
      <c r="R2818" s="1720" t="s">
        <v>2198</v>
      </c>
      <c r="T2818" s="1720" t="str">
        <f t="shared" si="560"/>
        <v/>
      </c>
    </row>
    <row r="2819" spans="1:20" s="1718" customFormat="1" x14ac:dyDescent="0.25">
      <c r="A2819" s="872" t="s">
        <v>1385</v>
      </c>
      <c r="B2819" s="852" t="str">
        <f ca="1">IFERROR(_xlfn.CONCAT("C",MATCH(A2819,INDIRECT("'"&amp;E2819&amp;"'!C"&amp;$O$2815&amp;":C"&amp;$O$2817),0)+$O$2815-1),"")</f>
        <v>C719</v>
      </c>
      <c r="C2819" s="852" t="str">
        <f ca="1">IFERROR(_xlfn.CONCAT("D",MATCH(A2819,INDIRECT("'"&amp;E2819&amp;"'!C"&amp;$O$2815&amp;":C"&amp;$O$2817),0)+$O$2815-1),"")</f>
        <v>D719</v>
      </c>
      <c r="D2819" s="852" t="s">
        <v>1350</v>
      </c>
      <c r="E2819" s="852" t="s">
        <v>1516</v>
      </c>
      <c r="F2819" s="852" t="s">
        <v>1385</v>
      </c>
      <c r="G2819" s="1720" t="str">
        <f>IF(T2819&lt;&gt;"","C","")</f>
        <v/>
      </c>
      <c r="H2819" s="1720" t="s">
        <v>1990</v>
      </c>
      <c r="I2819" s="852"/>
      <c r="J2819" s="852"/>
      <c r="K2819" s="852"/>
      <c r="L2819" s="852" t="s">
        <v>1385</v>
      </c>
      <c r="M2819" s="1369">
        <v>1694</v>
      </c>
      <c r="N2819" s="852"/>
      <c r="R2819" s="1720" t="s">
        <v>2198</v>
      </c>
      <c r="T2819" s="1720" t="str">
        <f t="shared" si="560"/>
        <v/>
      </c>
    </row>
    <row r="2820" spans="1:20" s="1718" customFormat="1" x14ac:dyDescent="0.25">
      <c r="A2820" s="872" t="s">
        <v>1386</v>
      </c>
      <c r="B2820" s="852" t="str">
        <f ca="1">IFERROR(_xlfn.CONCAT("C",MATCH(A2820,INDIRECT("'"&amp;E2820&amp;"'!C"&amp;$O$2815&amp;":C"&amp;$O$2817),0)+$O$2815-1),"")</f>
        <v>C721</v>
      </c>
      <c r="C2820" s="852" t="str">
        <f ca="1">IFERROR(_xlfn.CONCAT("D",MATCH(A2820,INDIRECT("'"&amp;E2820&amp;"'!C"&amp;$O$2815&amp;":C"&amp;$O$2817),0)+$O$2815-1),"")</f>
        <v>D721</v>
      </c>
      <c r="D2820" s="852" t="s">
        <v>1350</v>
      </c>
      <c r="E2820" s="852" t="s">
        <v>1516</v>
      </c>
      <c r="F2820" s="852" t="s">
        <v>1386</v>
      </c>
      <c r="G2820" s="1720" t="str">
        <f>IF(T2820&lt;&gt;"","D","")</f>
        <v/>
      </c>
      <c r="H2820" s="1720" t="s">
        <v>1990</v>
      </c>
      <c r="I2820" s="852"/>
      <c r="J2820" s="852"/>
      <c r="K2820" s="852"/>
      <c r="L2820" s="852" t="s">
        <v>1386</v>
      </c>
      <c r="M2820" s="1369">
        <v>1695</v>
      </c>
      <c r="N2820" s="852"/>
      <c r="R2820" s="1720" t="s">
        <v>2198</v>
      </c>
      <c r="T2820" s="1720" t="str">
        <f t="shared" si="560"/>
        <v/>
      </c>
    </row>
    <row r="2821" spans="1:20" s="1718" customFormat="1" x14ac:dyDescent="0.25">
      <c r="A2821" s="872" t="s">
        <v>1396</v>
      </c>
      <c r="B2821" s="852" t="str">
        <f ca="1">_xlfn.CONCAT(IFERROR(SUBSTITUTE(ADDRESS(1,MATCH(A2821,INDIRECT("'"&amp;E2821&amp;"'"&amp;"!A" &amp; $O$2815+ 5 &amp; ":Z" &amp; $O$2815 + 5),0),4),1,""),""),$O$2815+ 5)</f>
        <v>H718</v>
      </c>
      <c r="C2821" s="852" t="str">
        <f ca="1">_xlfn.CONCAT(IFERROR(SUBSTITUTE(ADDRESS(1,MATCH(A2821,INDIRECT("'"&amp;E2821&amp;"'"&amp;"!A" &amp; $O$2815+ 5 &amp; ":Z" &amp; $O$2815 + 5),0),4),1,""),""),$O$2815+ 6)</f>
        <v>H719</v>
      </c>
      <c r="D2821" s="852" t="s">
        <v>1350</v>
      </c>
      <c r="E2821" s="852" t="s">
        <v>1516</v>
      </c>
      <c r="F2821" s="1720" t="s">
        <v>1396</v>
      </c>
      <c r="G2821" s="1720" t="str">
        <f>IF(T2821&lt;&gt;"","S","")</f>
        <v/>
      </c>
      <c r="H2821" s="1720" t="s">
        <v>1990</v>
      </c>
      <c r="I2821" s="852"/>
      <c r="J2821" s="852"/>
      <c r="K2821" s="852"/>
      <c r="L2821" s="852" t="s">
        <v>1396</v>
      </c>
      <c r="M2821" s="1369">
        <v>1696</v>
      </c>
      <c r="N2821" s="852"/>
      <c r="R2821" s="1720" t="s">
        <v>2198</v>
      </c>
      <c r="T2821" s="1720" t="str">
        <f t="shared" si="560"/>
        <v/>
      </c>
    </row>
    <row r="2822" spans="1:20" s="1718" customFormat="1" x14ac:dyDescent="0.25">
      <c r="A2822" s="872" t="s">
        <v>2005</v>
      </c>
      <c r="B2822" s="852" t="str">
        <f ca="1">_xlfn.CONCAT(IFERROR(SUBSTITUTE(ADDRESS(1,MATCH(A2822,INDIRECT("'"&amp;E2822&amp;"'"&amp;"!A" &amp; $O$2815+ 8 &amp; ":Z" &amp; $O$2815 + 8),0),4),1,""),""),$O$2815 + 8)</f>
        <v>J721</v>
      </c>
      <c r="C2822" s="852" t="str">
        <f ca="1">_xlfn.CONCAT(IFERROR(SUBSTITUTE(ADDRESS(1,MATCH(A2822,INDIRECT("'"&amp;E2822&amp;"'"&amp;"!A" &amp; $O$2815+ 8 &amp; ":Z" &amp; $O$2815 + 8),0),4),1,""),""),$O$2815 + 9)</f>
        <v>J722</v>
      </c>
      <c r="D2822" s="852" t="s">
        <v>1350</v>
      </c>
      <c r="E2822" s="852" t="s">
        <v>1516</v>
      </c>
      <c r="F2822" s="852" t="s">
        <v>2005</v>
      </c>
      <c r="G2822" s="1720" t="str">
        <f>IF(T2822&lt;&gt;"","AQ","")</f>
        <v/>
      </c>
      <c r="H2822" s="1720" t="s">
        <v>1990</v>
      </c>
      <c r="I2822" s="852"/>
      <c r="J2822" s="852"/>
      <c r="K2822" s="852"/>
      <c r="L2822" s="852" t="s">
        <v>2005</v>
      </c>
      <c r="M2822" s="1369">
        <v>1697</v>
      </c>
      <c r="N2822" s="852"/>
      <c r="R2822" s="1720" t="s">
        <v>2198</v>
      </c>
      <c r="T2822" s="1720" t="str">
        <f t="shared" si="560"/>
        <v/>
      </c>
    </row>
    <row r="2823" spans="1:20" s="1718" customFormat="1" x14ac:dyDescent="0.25">
      <c r="A2823" s="872" t="s">
        <v>1482</v>
      </c>
      <c r="B2823" s="852" t="str">
        <f ca="1">_xlfn.CONCAT(IFERROR(SUBSTITUTE(ADDRESS(1,MATCH(A2823,INDIRECT("'"&amp;E2823&amp;"'"&amp;"!A" &amp; $O$2815+ 8 &amp; ":Z" &amp; $O$2815 + 8),0),4),1,""),""),$O$2815 + 8)</f>
        <v>N721</v>
      </c>
      <c r="C2823" s="852" t="str">
        <f ca="1">_xlfn.CONCAT(IFERROR(SUBSTITUTE(ADDRESS(1,MATCH(A2823,INDIRECT("'"&amp;E2823&amp;"'"&amp;"!A" &amp; $O$2815+ 8 &amp; ":Z" &amp; $O$2815 + 8),0),4),1,""),""),$O$2815 + 9)</f>
        <v>N722</v>
      </c>
      <c r="D2823" s="852" t="s">
        <v>1350</v>
      </c>
      <c r="E2823" s="852" t="s">
        <v>1516</v>
      </c>
      <c r="F2823" s="852" t="s">
        <v>2054</v>
      </c>
      <c r="G2823" s="1720" t="str">
        <f>IF(T2823&lt;&gt;"","AA","")</f>
        <v/>
      </c>
      <c r="H2823" s="1720" t="s">
        <v>1990</v>
      </c>
      <c r="I2823" s="852"/>
      <c r="J2823" s="852"/>
      <c r="K2823" s="852"/>
      <c r="L2823" s="852" t="s">
        <v>2006</v>
      </c>
      <c r="M2823" s="1369">
        <v>1698</v>
      </c>
      <c r="N2823" s="852"/>
      <c r="R2823" s="1720" t="s">
        <v>2198</v>
      </c>
      <c r="T2823" s="1720" t="str">
        <f t="shared" si="560"/>
        <v/>
      </c>
    </row>
    <row r="2824" spans="1:20" s="1718" customFormat="1" x14ac:dyDescent="0.25">
      <c r="A2824" s="872" t="s">
        <v>1397</v>
      </c>
      <c r="B2824" s="852" t="str">
        <f ca="1">_xlfn.CONCAT(IFERROR(SUBSTITUTE(ADDRESS(1,MATCH(A2824,INDIRECT("'"&amp;E2824&amp;"'"&amp;"!A" &amp; $O$2815+ 2 &amp; ":Z" &amp; $O$2815 + 2),0),4),1,""),""),$O$2815 + 2)</f>
        <v>L715</v>
      </c>
      <c r="C2824" s="852" t="str">
        <f ca="1">_xlfn.CONCAT(IFERROR(SUBSTITUTE(ADDRESS(1,MATCH(A2824,INDIRECT("'"&amp;E2824&amp;"'"&amp;"!A" &amp; $O$2815+ 2 &amp; ":Z" &amp; $O$2815 + 2),0),4),1,""),""),$O$2815 + 3)</f>
        <v>L716</v>
      </c>
      <c r="D2824" s="852" t="s">
        <v>1350</v>
      </c>
      <c r="E2824" s="852" t="s">
        <v>1516</v>
      </c>
      <c r="F2824" s="852" t="s">
        <v>1993</v>
      </c>
      <c r="G2824" s="1720" t="str">
        <f>IF(T2824&lt;&gt;"","H","")</f>
        <v/>
      </c>
      <c r="H2824" s="1720" t="s">
        <v>1990</v>
      </c>
      <c r="I2824" s="852"/>
      <c r="J2824" s="852"/>
      <c r="K2824" s="852"/>
      <c r="L2824" s="852" t="s">
        <v>1397</v>
      </c>
      <c r="M2824" s="1369">
        <v>1699</v>
      </c>
      <c r="N2824" s="852"/>
      <c r="R2824" s="1720" t="s">
        <v>2198</v>
      </c>
      <c r="T2824" s="1720" t="str">
        <f t="shared" si="560"/>
        <v/>
      </c>
    </row>
    <row r="2825" spans="1:20" s="1718" customFormat="1" x14ac:dyDescent="0.25">
      <c r="A2825" s="872" t="s">
        <v>1705</v>
      </c>
      <c r="B2825" s="1307" t="str">
        <f>IFERROR(_xlfn.CONCAT("D",('Configurable Tab'!$C$23+1)),"")</f>
        <v>D226</v>
      </c>
      <c r="C2825" s="1307" t="str">
        <f>IFERROR(_xlfn.CONCAT("E",('Configurable Tab'!$C$23+1)),"")</f>
        <v>E226</v>
      </c>
      <c r="D2825" s="852" t="s">
        <v>1350</v>
      </c>
      <c r="E2825" s="852" t="s">
        <v>1742</v>
      </c>
      <c r="F2825" s="1720"/>
      <c r="G2825" s="1720"/>
      <c r="H2825" s="1720"/>
      <c r="I2825" s="1307" t="str">
        <f t="shared" ref="I2825:I2835" si="561">IF(J2825&lt;&gt;"",A2825,"")</f>
        <v/>
      </c>
      <c r="J2825" s="1720" t="str">
        <f t="shared" ref="J2825:J2834" si="562">IFERROR(IF($Q$2815="Yes",Q$1&amp;M2815,""),"")</f>
        <v/>
      </c>
      <c r="K2825" s="1720" t="str">
        <f t="shared" ref="K2825:K2835" si="563">IF(J2825&lt;&gt;"",E2825,"")</f>
        <v/>
      </c>
      <c r="M2825" s="1719"/>
      <c r="Q2825" s="1307" t="str">
        <f>IFERROR(_xlfn.CONCAT("C",('Configurable Tab'!$C38+1)),"")</f>
        <v>C391</v>
      </c>
      <c r="R2825" s="1720" t="s">
        <v>2198</v>
      </c>
    </row>
    <row r="2826" spans="1:20" s="1718" customFormat="1" x14ac:dyDescent="0.25">
      <c r="A2826" s="872" t="s">
        <v>1383</v>
      </c>
      <c r="B2826" s="1307" t="str">
        <f>IFERROR(_xlfn.CONCAT("D",('Configurable Tab'!$C$23+2)),"")</f>
        <v>D227</v>
      </c>
      <c r="C2826" s="1307" t="str">
        <f>IFERROR(_xlfn.CONCAT("E",('Configurable Tab'!$C$23+2)),"")</f>
        <v>E227</v>
      </c>
      <c r="D2826" s="852" t="s">
        <v>1350</v>
      </c>
      <c r="E2826" s="852" t="s">
        <v>1742</v>
      </c>
      <c r="F2826" s="1720"/>
      <c r="G2826" s="1720"/>
      <c r="H2826" s="1720"/>
      <c r="I2826" s="1307" t="str">
        <f t="shared" si="561"/>
        <v/>
      </c>
      <c r="J2826" s="1720" t="str">
        <f t="shared" si="562"/>
        <v/>
      </c>
      <c r="K2826" s="1720" t="str">
        <f t="shared" si="563"/>
        <v/>
      </c>
      <c r="M2826" s="1719"/>
      <c r="R2826" s="1720" t="s">
        <v>2198</v>
      </c>
    </row>
    <row r="2827" spans="1:20" s="1718" customFormat="1" x14ac:dyDescent="0.25">
      <c r="A2827" s="872" t="s">
        <v>1381</v>
      </c>
      <c r="B2827" s="1307" t="str">
        <f>IFERROR(_xlfn.CONCAT("I",('Configurable Tab'!$C$23+1)),"")</f>
        <v>I226</v>
      </c>
      <c r="C2827" s="1307" t="str">
        <f>IFERROR(_xlfn.CONCAT("I",('Configurable Tab'!$C$23+2)),"")</f>
        <v>I227</v>
      </c>
      <c r="D2827" s="852" t="s">
        <v>1350</v>
      </c>
      <c r="E2827" s="852" t="s">
        <v>1742</v>
      </c>
      <c r="F2827" s="1720"/>
      <c r="G2827" s="1720"/>
      <c r="H2827" s="1720"/>
      <c r="I2827" s="1307" t="str">
        <f t="shared" si="561"/>
        <v/>
      </c>
      <c r="J2827" s="1720" t="str">
        <f t="shared" si="562"/>
        <v/>
      </c>
      <c r="K2827" s="1720" t="str">
        <f t="shared" si="563"/>
        <v/>
      </c>
      <c r="M2827" s="1719"/>
      <c r="R2827" s="1720" t="s">
        <v>2198</v>
      </c>
    </row>
    <row r="2828" spans="1:20" s="1718" customFormat="1" x14ac:dyDescent="0.25">
      <c r="A2828" s="872" t="s">
        <v>1382</v>
      </c>
      <c r="B2828" s="1307" t="str">
        <f>IFERROR(_xlfn.CONCAT("M",('Configurable Tab'!$C$23+1)),"")</f>
        <v>M226</v>
      </c>
      <c r="C2828" s="1307" t="str">
        <f>IFERROR(_xlfn.CONCAT("M",('Configurable Tab'!$C$23+2)),"")</f>
        <v>M227</v>
      </c>
      <c r="D2828" s="852" t="s">
        <v>1350</v>
      </c>
      <c r="E2828" s="852" t="s">
        <v>1742</v>
      </c>
      <c r="F2828" s="1720"/>
      <c r="G2828" s="1720"/>
      <c r="H2828" s="1720"/>
      <c r="I2828" s="1307" t="str">
        <f t="shared" si="561"/>
        <v/>
      </c>
      <c r="J2828" s="1720" t="str">
        <f t="shared" si="562"/>
        <v/>
      </c>
      <c r="K2828" s="1720" t="str">
        <f t="shared" si="563"/>
        <v/>
      </c>
      <c r="M2828" s="1719"/>
      <c r="R2828" s="1720" t="s">
        <v>2198</v>
      </c>
    </row>
    <row r="2829" spans="1:20" s="1718" customFormat="1" x14ac:dyDescent="0.25">
      <c r="A2829" s="872" t="s">
        <v>1385</v>
      </c>
      <c r="B2829" s="1307" t="str">
        <f>IFERROR(_xlfn.CONCAT("D",('Configurable Tab'!$C$23+4)),"")</f>
        <v>D229</v>
      </c>
      <c r="C2829" s="1307" t="str">
        <f>IFERROR(_xlfn.CONCAT("E",('Configurable Tab'!$C$23+4)),"")</f>
        <v>E229</v>
      </c>
      <c r="D2829" s="852" t="s">
        <v>1350</v>
      </c>
      <c r="E2829" s="852" t="s">
        <v>1742</v>
      </c>
      <c r="F2829" s="1720"/>
      <c r="G2829" s="1720"/>
      <c r="H2829" s="1720"/>
      <c r="I2829" s="1307" t="str">
        <f t="shared" si="561"/>
        <v/>
      </c>
      <c r="J2829" s="1720" t="str">
        <f t="shared" si="562"/>
        <v/>
      </c>
      <c r="K2829" s="1720" t="str">
        <f t="shared" si="563"/>
        <v/>
      </c>
      <c r="M2829" s="1719"/>
      <c r="R2829" s="1720" t="s">
        <v>2198</v>
      </c>
    </row>
    <row r="2830" spans="1:20" s="1718" customFormat="1" x14ac:dyDescent="0.25">
      <c r="A2830" s="872" t="s">
        <v>1386</v>
      </c>
      <c r="B2830" s="1307" t="str">
        <f>IFERROR(_xlfn.CONCAT("D",('Configurable Tab'!$C$23+5)),"")</f>
        <v>D230</v>
      </c>
      <c r="C2830" s="1307" t="str">
        <f>IFERROR(_xlfn.CONCAT("E",('Configurable Tab'!$C$23+5)),"")</f>
        <v>E230</v>
      </c>
      <c r="D2830" s="852" t="s">
        <v>1350</v>
      </c>
      <c r="E2830" s="852" t="s">
        <v>1742</v>
      </c>
      <c r="F2830" s="1720"/>
      <c r="G2830" s="1720"/>
      <c r="H2830" s="1720"/>
      <c r="I2830" s="1307" t="str">
        <f t="shared" si="561"/>
        <v/>
      </c>
      <c r="J2830" s="1720" t="str">
        <f t="shared" si="562"/>
        <v/>
      </c>
      <c r="K2830" s="1720" t="str">
        <f t="shared" si="563"/>
        <v/>
      </c>
      <c r="M2830" s="1719"/>
      <c r="R2830" s="1720" t="s">
        <v>2198</v>
      </c>
    </row>
    <row r="2831" spans="1:20" s="1718" customFormat="1" x14ac:dyDescent="0.25">
      <c r="A2831" s="872" t="s">
        <v>1396</v>
      </c>
      <c r="B2831" s="1307" t="str">
        <f>IFERROR(_xlfn.CONCAT("G",('Configurable Tab'!$C$23+7)),"")</f>
        <v>G232</v>
      </c>
      <c r="C2831" s="1307" t="str">
        <f>IFERROR(_xlfn.CONCAT("G",('Configurable Tab'!$C$23+8)),"")</f>
        <v>G233</v>
      </c>
      <c r="D2831" s="852" t="s">
        <v>1350</v>
      </c>
      <c r="E2831" s="852" t="s">
        <v>1742</v>
      </c>
      <c r="F2831" s="1720"/>
      <c r="G2831" s="1720"/>
      <c r="H2831" s="1720"/>
      <c r="I2831" s="1307" t="str">
        <f t="shared" si="561"/>
        <v/>
      </c>
      <c r="J2831" s="1720" t="str">
        <f t="shared" si="562"/>
        <v/>
      </c>
      <c r="K2831" s="1720" t="str">
        <f t="shared" si="563"/>
        <v/>
      </c>
      <c r="M2831" s="1719"/>
      <c r="R2831" s="1720" t="s">
        <v>2198</v>
      </c>
    </row>
    <row r="2832" spans="1:20" s="1718" customFormat="1" x14ac:dyDescent="0.25">
      <c r="A2832" s="872" t="s">
        <v>2005</v>
      </c>
      <c r="B2832" s="1307" t="str">
        <f>IFERROR(_xlfn.CONCAT("G",('Configurable Tab'!$C$23+7)),"")</f>
        <v>G232</v>
      </c>
      <c r="C2832" s="1307" t="str">
        <f>IFERROR(_xlfn.CONCAT("G",('Configurable Tab'!$C$23+8)),"")</f>
        <v>G233</v>
      </c>
      <c r="D2832" s="852" t="s">
        <v>1350</v>
      </c>
      <c r="E2832" s="852" t="s">
        <v>1742</v>
      </c>
      <c r="F2832" s="1720"/>
      <c r="G2832" s="1720"/>
      <c r="H2832" s="1720"/>
      <c r="I2832" s="1307" t="str">
        <f t="shared" si="561"/>
        <v/>
      </c>
      <c r="J2832" s="1720" t="str">
        <f t="shared" si="562"/>
        <v/>
      </c>
      <c r="K2832" s="1720" t="str">
        <f t="shared" si="563"/>
        <v/>
      </c>
      <c r="M2832" s="1719"/>
      <c r="R2832" s="1720" t="s">
        <v>2198</v>
      </c>
    </row>
    <row r="2833" spans="1:20" s="1718" customFormat="1" x14ac:dyDescent="0.25">
      <c r="A2833" s="872" t="s">
        <v>1482</v>
      </c>
      <c r="B2833" s="1307" t="str">
        <f>IFERROR(_xlfn.CONCAT("K",('Configurable Tab'!$C$23+7)),"")</f>
        <v>K232</v>
      </c>
      <c r="C2833" s="1307" t="str">
        <f>IFERROR(_xlfn.CONCAT("K",('Configurable Tab'!$C$23+8)),"")</f>
        <v>K233</v>
      </c>
      <c r="D2833" s="852" t="s">
        <v>1350</v>
      </c>
      <c r="E2833" s="852" t="s">
        <v>1742</v>
      </c>
      <c r="F2833" s="1720"/>
      <c r="G2833" s="1720"/>
      <c r="H2833" s="1720"/>
      <c r="I2833" s="1307" t="str">
        <f t="shared" si="561"/>
        <v/>
      </c>
      <c r="J2833" s="1720" t="str">
        <f t="shared" si="562"/>
        <v/>
      </c>
      <c r="K2833" s="1720" t="str">
        <f t="shared" si="563"/>
        <v/>
      </c>
      <c r="M2833" s="1719"/>
      <c r="R2833" s="1720" t="s">
        <v>2198</v>
      </c>
    </row>
    <row r="2834" spans="1:20" s="1718" customFormat="1" x14ac:dyDescent="0.25">
      <c r="A2834" s="872" t="s">
        <v>1397</v>
      </c>
      <c r="B2834" s="1307" t="str">
        <f>IFERROR(_xlfn.CONCAT("K",('Configurable Tab'!$C$23+1)),"")</f>
        <v>K226</v>
      </c>
      <c r="C2834" s="1307" t="str">
        <f>IFERROR(_xlfn.CONCAT("K",('Configurable Tab'!$C$23+2)),"")</f>
        <v>K227</v>
      </c>
      <c r="D2834" s="852" t="s">
        <v>1350</v>
      </c>
      <c r="E2834" s="852" t="s">
        <v>1742</v>
      </c>
      <c r="F2834" s="1720"/>
      <c r="G2834" s="1720"/>
      <c r="H2834" s="1720"/>
      <c r="I2834" s="1307" t="str">
        <f t="shared" si="561"/>
        <v/>
      </c>
      <c r="J2834" s="1720" t="str">
        <f t="shared" si="562"/>
        <v/>
      </c>
      <c r="K2834" s="1720" t="str">
        <f t="shared" si="563"/>
        <v/>
      </c>
      <c r="M2834" s="1719"/>
      <c r="R2834" s="1720" t="s">
        <v>2198</v>
      </c>
    </row>
    <row r="2835" spans="1:20" s="1718" customFormat="1" x14ac:dyDescent="0.25">
      <c r="A2835" s="872" t="s">
        <v>1496</v>
      </c>
      <c r="B2835" s="852" t="str">
        <f ca="1">IFERROR(_xlfn.CONCAT("C",MATCH(A2835,INDIRECT("'"&amp;E2835&amp;"'!C"&amp;$O$2815&amp;":C"&amp;$O$2817),0)+$O$2815-1),"")</f>
        <v>C725</v>
      </c>
      <c r="C2835" s="852" t="str">
        <f ca="1">IFERROR(_xlfn.CONCAT("D",MATCH(A2835,INDIRECT("'"&amp;E2835&amp;"'!C"&amp;$O$2815&amp;":C"&amp;$O$2817),0)+$O$2815-1),"")</f>
        <v>D725</v>
      </c>
      <c r="D2835" s="852" t="s">
        <v>1350</v>
      </c>
      <c r="E2835" s="852" t="s">
        <v>1516</v>
      </c>
      <c r="F2835" s="1720" t="s">
        <v>1496</v>
      </c>
      <c r="G2835" s="1720" t="str">
        <f t="shared" ref="G2835" si="564">IF(T2835&lt;&gt;"","AS","")</f>
        <v/>
      </c>
      <c r="H2835" s="1720" t="s">
        <v>1990</v>
      </c>
      <c r="I2835" s="1307" t="str">
        <f t="shared" si="561"/>
        <v/>
      </c>
      <c r="J2835" s="1720"/>
      <c r="K2835" s="1720" t="str">
        <f t="shared" si="563"/>
        <v/>
      </c>
      <c r="L2835" s="852"/>
      <c r="M2835" s="1721"/>
      <c r="N2835" s="1720"/>
      <c r="R2835" s="1720" t="s">
        <v>2198</v>
      </c>
      <c r="T2835" s="1720" t="str">
        <f t="shared" ref="T2835:T2843" si="565">IF(Q$2815="Yes",50,"")</f>
        <v/>
      </c>
    </row>
    <row r="2836" spans="1:20" s="1718" customFormat="1" x14ac:dyDescent="0.25">
      <c r="A2836" s="873" t="s">
        <v>1495</v>
      </c>
      <c r="B2836" s="852" t="str">
        <f ca="1">IFERROR(_xlfn.CONCAT("C",MATCH(A2836,INDIRECT("'"&amp;E2836&amp;"'!C"&amp;$O$2815&amp;":C"&amp;$O$2817),0)+$O$2815-1),"")</f>
        <v>C723</v>
      </c>
      <c r="C2836" s="852" t="str">
        <f ca="1">IFERROR(_xlfn.CONCAT("D",MATCH(A2836,INDIRECT("'"&amp;E2836&amp;"'!C"&amp;$O$2815&amp;":C"&amp;$O$2817),0)+$O$2815-1),"")</f>
        <v>D723</v>
      </c>
      <c r="D2836" s="852" t="s">
        <v>1350</v>
      </c>
      <c r="E2836" s="852" t="s">
        <v>1516</v>
      </c>
      <c r="F2836" s="1720" t="s">
        <v>1495</v>
      </c>
      <c r="G2836" s="1720" t="str">
        <f>IF(T2836&lt;&gt;"","AN","")</f>
        <v/>
      </c>
      <c r="H2836" s="1720" t="s">
        <v>1990</v>
      </c>
      <c r="I2836" s="1307"/>
      <c r="J2836" s="1720"/>
      <c r="K2836" s="1720"/>
      <c r="L2836" s="852"/>
      <c r="M2836" s="1721"/>
      <c r="N2836" s="1720"/>
      <c r="O2836" s="1606"/>
      <c r="P2836" s="625"/>
      <c r="Q2836" s="625"/>
      <c r="R2836" s="1720" t="s">
        <v>2198</v>
      </c>
      <c r="T2836" s="1720" t="str">
        <f t="shared" si="565"/>
        <v/>
      </c>
    </row>
    <row r="2837" spans="1:20" s="1718" customFormat="1" x14ac:dyDescent="0.25">
      <c r="A2837" s="873" t="s">
        <v>1492</v>
      </c>
      <c r="B2837" s="852" t="str">
        <f ca="1">_xlfn.CONCAT(IFERROR(SUBSTITUTE(ADDRESS(1,MATCH(A2837,INDIRECT("'"&amp;E2837&amp;"'"&amp;"!A" &amp; $O$2815+ 8 &amp; ":Z" &amp; $O$2815 + 8),0),4),1,""),""),$O$2815 + 8)</f>
        <v>H721</v>
      </c>
      <c r="C2837" s="852" t="str">
        <f ca="1">_xlfn.CONCAT(IFERROR(SUBSTITUTE(ADDRESS(1,MATCH(A2837,INDIRECT("'"&amp;E2837&amp;"'"&amp;"!A" &amp; $O$2815+ 8 &amp; ":Z" &amp; $O$2815 + 8),0),4),1,""),""),$O$2815 + 9)</f>
        <v>H722</v>
      </c>
      <c r="D2837" s="852" t="s">
        <v>1350</v>
      </c>
      <c r="E2837" s="852" t="s">
        <v>1516</v>
      </c>
      <c r="F2837" s="1720" t="s">
        <v>1492</v>
      </c>
      <c r="G2837" s="1720" t="str">
        <f>IF(T2837&lt;&gt;"","AL","")</f>
        <v/>
      </c>
      <c r="H2837" s="1720" t="s">
        <v>1990</v>
      </c>
      <c r="I2837" s="1307"/>
      <c r="J2837" s="1720"/>
      <c r="K2837" s="1720"/>
      <c r="L2837" s="852"/>
      <c r="M2837" s="1721"/>
      <c r="N2837" s="1720"/>
      <c r="O2837" s="625"/>
      <c r="P2837" s="625"/>
      <c r="Q2837" s="625"/>
      <c r="R2837" s="1720" t="s">
        <v>2198</v>
      </c>
      <c r="T2837" s="1720" t="str">
        <f t="shared" si="565"/>
        <v/>
      </c>
    </row>
    <row r="2838" spans="1:20" s="1718" customFormat="1" x14ac:dyDescent="0.25">
      <c r="A2838" s="873" t="s">
        <v>1380</v>
      </c>
      <c r="B2838" s="852" t="str">
        <f ca="1">_xlfn.CONCAT(IFERROR(SUBSTITUTE(ADDRESS(1,MATCH(A2838,INDIRECT("'"&amp;E2838&amp;"'"&amp;"!A" &amp; $O$2815+ 2 &amp; ":Z" &amp; $O$2815 + 2),0),4),1,""),""),$O$2815+ 2)</f>
        <v>H715</v>
      </c>
      <c r="C2838" s="852" t="str">
        <f ca="1">_xlfn.CONCAT(IFERROR(SUBSTITUTE(ADDRESS(1,MATCH(A2838,INDIRECT("'"&amp;E2838&amp;"'"&amp;"!A" &amp; $O$2815+ 2 &amp; ":Z" &amp; $O$2815 + 2),0),4),1,""),""),$O$2815+ 3)</f>
        <v>H716</v>
      </c>
      <c r="D2838" s="852" t="s">
        <v>1350</v>
      </c>
      <c r="E2838" s="852" t="s">
        <v>1516</v>
      </c>
      <c r="F2838" s="1720" t="s">
        <v>1991</v>
      </c>
      <c r="G2838" s="1720" t="str">
        <f>IF(T2838&lt;&gt;"","E","")</f>
        <v/>
      </c>
      <c r="H2838" s="1720" t="s">
        <v>1990</v>
      </c>
      <c r="I2838" s="1307"/>
      <c r="J2838" s="1720"/>
      <c r="K2838" s="1720"/>
      <c r="L2838" s="852"/>
      <c r="M2838" s="1721"/>
      <c r="N2838" s="1720"/>
      <c r="O2838" s="625"/>
      <c r="P2838" s="625"/>
      <c r="Q2838" s="625"/>
      <c r="R2838" s="1720" t="s">
        <v>2198</v>
      </c>
      <c r="T2838" s="1720" t="str">
        <f t="shared" si="565"/>
        <v/>
      </c>
    </row>
    <row r="2839" spans="1:20" s="1718" customFormat="1" x14ac:dyDescent="0.25">
      <c r="A2839" s="873" t="s">
        <v>1487</v>
      </c>
      <c r="B2839" s="852" t="str">
        <f ca="1">_xlfn.CONCAT(IFERROR(SUBSTITUTE(ADDRESS(1,MATCH(A2839,INDIRECT("'"&amp;E2839&amp;"'"&amp;"!A" &amp; $O$2815+ 2 &amp; ":Z" &amp; $O$2815 + 2),0),4),1,""),""),$O$2815+ 2)</f>
        <v>R715</v>
      </c>
      <c r="C2839" s="852" t="str">
        <f ca="1">_xlfn.CONCAT(IFERROR(SUBSTITUTE(ADDRESS(1,MATCH(A2839,INDIRECT("'"&amp;E2839&amp;"'"&amp;"!A" &amp; $O$2815+ 2 &amp; ":Z" &amp; $O$2815 + 2),0),4),1,""),""),$O$2815+ 3)</f>
        <v>R716</v>
      </c>
      <c r="D2839" s="852" t="s">
        <v>1350</v>
      </c>
      <c r="E2839" s="852" t="s">
        <v>1516</v>
      </c>
      <c r="F2839" s="1720" t="s">
        <v>1995</v>
      </c>
      <c r="G2839" s="1720" t="str">
        <f>IF(T2839&lt;&gt;"","G","")</f>
        <v/>
      </c>
      <c r="H2839" s="1720" t="s">
        <v>1990</v>
      </c>
      <c r="I2839" s="1307"/>
      <c r="J2839" s="1720"/>
      <c r="K2839" s="1720"/>
      <c r="L2839" s="852"/>
      <c r="M2839" s="1721"/>
      <c r="N2839" s="1720"/>
      <c r="O2839" s="625"/>
      <c r="P2839" s="625"/>
      <c r="Q2839" s="625"/>
      <c r="R2839" s="1720" t="s">
        <v>2198</v>
      </c>
      <c r="T2839" s="1720" t="str">
        <f t="shared" si="565"/>
        <v/>
      </c>
    </row>
    <row r="2840" spans="1:20" s="1718" customFormat="1" x14ac:dyDescent="0.25">
      <c r="A2840" s="873" t="s">
        <v>1488</v>
      </c>
      <c r="B2840" s="852" t="str">
        <f ca="1">_xlfn.CONCAT(IFERROR(SUBSTITUTE(ADDRESS(1,MATCH(A2840,INDIRECT("'"&amp;E2840&amp;"'"&amp;"!A" &amp; $O$2815+ 2 &amp; ":Z" &amp; $O$2815 + 2),0),4),1,""),""),$O$2815+ 2)</f>
        <v>T715</v>
      </c>
      <c r="C2840" s="852" t="str">
        <f ca="1">_xlfn.CONCAT(IFERROR(SUBSTITUTE(ADDRESS(1,MATCH(A2840,INDIRECT("'"&amp;E2840&amp;"'"&amp;"!A" &amp; $O$2815+ 2 &amp; ":Z" &amp; $O$2815 + 2),0),4),1,""),""),$O$2815+ 3)</f>
        <v>T716</v>
      </c>
      <c r="D2840" s="852" t="s">
        <v>1350</v>
      </c>
      <c r="E2840" s="852" t="s">
        <v>1516</v>
      </c>
      <c r="F2840" s="867" t="s">
        <v>1488</v>
      </c>
      <c r="G2840" s="1720" t="str">
        <f>IF(T2840&lt;&gt;"","AW","")</f>
        <v/>
      </c>
      <c r="H2840" s="1720" t="s">
        <v>1990</v>
      </c>
      <c r="I2840" s="1307"/>
      <c r="J2840" s="1720"/>
      <c r="K2840" s="1720"/>
      <c r="L2840" s="852"/>
      <c r="M2840" s="1721"/>
      <c r="N2840" s="1720"/>
      <c r="O2840" s="625"/>
      <c r="P2840" s="625"/>
      <c r="Q2840" s="625"/>
      <c r="R2840" s="1720" t="s">
        <v>2198</v>
      </c>
      <c r="T2840" s="1720" t="str">
        <f t="shared" si="565"/>
        <v/>
      </c>
    </row>
    <row r="2841" spans="1:20" s="1718" customFormat="1" x14ac:dyDescent="0.25">
      <c r="A2841" s="873" t="s">
        <v>1603</v>
      </c>
      <c r="B2841" s="852" t="str">
        <f ca="1">_xlfn.CONCAT(IFERROR(SUBSTITUTE(ADDRESS(1,MATCH(A2841,INDIRECT("'"&amp;E2841&amp;"'"&amp;"!A" &amp; $O$2815+ 5 &amp; ":Z" &amp; $O$2815 + 5),0),4),1,""),""),$O$2815+ 5)</f>
        <v>R718</v>
      </c>
      <c r="C2841" s="852" t="str">
        <f ca="1">_xlfn.CONCAT(IFERROR(SUBSTITUTE(ADDRESS(1,MATCH(A2841,INDIRECT("'"&amp;E2841&amp;"'"&amp;"!A" &amp; $O$2815+ 5 &amp; ":Z" &amp; $O$2815 + 5),0),4),1,""),""),$O$2815+ 6)</f>
        <v>R719</v>
      </c>
      <c r="D2841" s="852" t="s">
        <v>1350</v>
      </c>
      <c r="E2841" s="852" t="s">
        <v>1516</v>
      </c>
      <c r="F2841" s="1720" t="s">
        <v>1999</v>
      </c>
      <c r="G2841" s="1720" t="str">
        <f t="shared" ref="G2841" si="566">IF(T2841&lt;&gt;"","AB","")</f>
        <v/>
      </c>
      <c r="H2841" s="1720" t="s">
        <v>1990</v>
      </c>
      <c r="I2841" s="1307"/>
      <c r="J2841" s="1720"/>
      <c r="K2841" s="1720"/>
      <c r="L2841" s="852"/>
      <c r="M2841" s="1721"/>
      <c r="N2841" s="1720"/>
      <c r="O2841" s="625"/>
      <c r="P2841" s="625"/>
      <c r="Q2841" s="625"/>
      <c r="R2841" s="1720" t="s">
        <v>2198</v>
      </c>
      <c r="T2841" s="1720" t="str">
        <f t="shared" si="565"/>
        <v/>
      </c>
    </row>
    <row r="2842" spans="1:20" s="1718" customFormat="1" x14ac:dyDescent="0.25">
      <c r="A2842" s="873" t="s">
        <v>1604</v>
      </c>
      <c r="B2842" s="852" t="str">
        <f ca="1">_xlfn.CONCAT(IFERROR(SUBSTITUTE(ADDRESS(1,MATCH(A2842,INDIRECT("'"&amp;E2842&amp;"'"&amp;"!A" &amp; $O$2815+ 5 &amp; ":Z" &amp; $O$2815 + 5),0),4),1,""),""),$O$2815+ 5)</f>
        <v>T718</v>
      </c>
      <c r="C2842" s="852" t="str">
        <f ca="1">_xlfn.CONCAT(IFERROR(SUBSTITUTE(ADDRESS(1,MATCH(A2842,INDIRECT("'"&amp;E2842&amp;"'"&amp;"!A" &amp; $O$2815+ 5 &amp; ":Z" &amp; $O$2815 + 5),0),4),1,""),""),$O$2815+ 6)</f>
        <v>T719</v>
      </c>
      <c r="D2842" s="852" t="s">
        <v>1350</v>
      </c>
      <c r="E2842" s="852" t="s">
        <v>1516</v>
      </c>
      <c r="F2842" s="1720" t="s">
        <v>1604</v>
      </c>
      <c r="G2842" s="1720" t="str">
        <f t="shared" ref="G2842" si="567">IF(T2842&lt;&gt;"","AP","")</f>
        <v/>
      </c>
      <c r="H2842" s="1720" t="s">
        <v>1990</v>
      </c>
      <c r="I2842" s="1307"/>
      <c r="J2842" s="1720"/>
      <c r="K2842" s="1720"/>
      <c r="L2842" s="852"/>
      <c r="M2842" s="1721"/>
      <c r="N2842" s="1720"/>
      <c r="O2842" s="625"/>
      <c r="P2842" s="625"/>
      <c r="Q2842" s="625"/>
      <c r="R2842" s="1720" t="s">
        <v>2198</v>
      </c>
      <c r="T2842" s="1720" t="str">
        <f t="shared" si="565"/>
        <v/>
      </c>
    </row>
    <row r="2843" spans="1:20" s="1718" customFormat="1" x14ac:dyDescent="0.25">
      <c r="A2843" s="873" t="s">
        <v>2135</v>
      </c>
      <c r="B2843" s="852" t="str">
        <f ca="1">_xlfn.CONCAT(IFERROR(SUBSTITUTE(ADDRESS(1,MATCH(A2843,INDIRECT("'"&amp;E2843&amp;"'"&amp;"!A" &amp; $O$2815+ 8 &amp; ":Z" &amp; $O$2815 + 8),0),4),1,""),""),$O$2815 + 8)</f>
        <v>L721</v>
      </c>
      <c r="C2843" s="852" t="str">
        <f ca="1">_xlfn.CONCAT(IFERROR(SUBSTITUTE(ADDRESS(1,MATCH(A2843,INDIRECT("'"&amp;E2843&amp;"'"&amp;"!A" &amp; $O$2815+ 8 &amp; ":Z" &amp; $O$2815 + 8),0),4),1,""),""),$O$2815 + 9)</f>
        <v>L722</v>
      </c>
      <c r="D2843" s="852" t="s">
        <v>1350</v>
      </c>
      <c r="E2843" s="852" t="s">
        <v>1516</v>
      </c>
      <c r="F2843" s="1720" t="s">
        <v>2135</v>
      </c>
      <c r="G2843" s="1720" t="str">
        <f>IF(T2843&lt;&gt;"","AZ","")</f>
        <v/>
      </c>
      <c r="H2843" s="1720" t="s">
        <v>1990</v>
      </c>
      <c r="I2843" s="1307"/>
      <c r="J2843" s="1720"/>
      <c r="K2843" s="1720"/>
      <c r="L2843" s="852" t="s">
        <v>2135</v>
      </c>
      <c r="M2843" s="1721">
        <v>1700</v>
      </c>
      <c r="N2843" s="1720"/>
      <c r="O2843" s="625"/>
      <c r="P2843" s="625"/>
      <c r="Q2843" s="625"/>
      <c r="R2843" s="1720" t="s">
        <v>2198</v>
      </c>
      <c r="T2843" s="1720" t="str">
        <f t="shared" si="565"/>
        <v/>
      </c>
    </row>
    <row r="2844" spans="1:20" s="1718" customFormat="1" x14ac:dyDescent="0.25">
      <c r="A2844" s="1722" t="s">
        <v>1491</v>
      </c>
      <c r="B2844" s="852" t="str">
        <f ca="1">IFERROR(_xlfn.CONCAT("C",MATCH(A2844,INDIRECT("'"&amp;E2844&amp;"'!C"&amp;$O$2845&amp;":C"&amp;$O$2847),0)+$O$2845-1),"")</f>
        <v>C731</v>
      </c>
      <c r="C2844" s="852" t="str">
        <f ca="1">IFERROR(_xlfn.CONCAT("D",MATCH(A2844,INDIRECT("'"&amp;E2844&amp;"'!C"&amp;$O$2845&amp;":C"&amp;$O$2847),0)+$O$2845-1),"")</f>
        <v>D731</v>
      </c>
      <c r="D2844" s="852" t="s">
        <v>1350</v>
      </c>
      <c r="E2844" s="852" t="s">
        <v>1516</v>
      </c>
      <c r="F2844" s="852" t="s">
        <v>1491</v>
      </c>
      <c r="G2844" s="1720" t="str">
        <f>IF(T2844&lt;&gt;"","A","")</f>
        <v/>
      </c>
      <c r="H2844" s="1720" t="s">
        <v>1990</v>
      </c>
      <c r="I2844" s="852"/>
      <c r="J2844" s="852"/>
      <c r="K2844" s="852"/>
      <c r="L2844" s="852" t="s">
        <v>1491</v>
      </c>
      <c r="M2844" s="1369">
        <v>1701</v>
      </c>
      <c r="N2844" s="852"/>
      <c r="O2844" s="1718" t="s">
        <v>725</v>
      </c>
      <c r="R2844" s="1720" t="s">
        <v>2199</v>
      </c>
      <c r="T2844" s="1720" t="str">
        <f>IF(Q$2845="Yes",51,"")</f>
        <v/>
      </c>
    </row>
    <row r="2845" spans="1:20" s="1718" customFormat="1" x14ac:dyDescent="0.25">
      <c r="A2845" s="1722" t="s">
        <v>1705</v>
      </c>
      <c r="B2845" s="852" t="str">
        <f ca="1">_xlfn.CONCAT(IFERROR(SUBSTITUTE(ADDRESS(1,MATCH(A2845,INDIRECT("'"&amp;E2845&amp;"'"&amp;"!A" &amp; $O$2845+ 11 &amp; ":Z" &amp; $O$2845 + 11),0),4),1,""),""),$O$2845+ 11)</f>
        <v>T738</v>
      </c>
      <c r="C2845" s="852" t="str">
        <f ca="1">_xlfn.CONCAT(IFERROR(SUBSTITUTE(ADDRESS(1,MATCH(A2845,INDIRECT("'"&amp;E2845&amp;"'"&amp;"!A" &amp; $O$2845+ 11 &amp; ":Z" &amp; $O$2845 + 11),0),4),1,""),""),$O$2845+ 12)</f>
        <v>T739</v>
      </c>
      <c r="D2845" s="852" t="s">
        <v>1350</v>
      </c>
      <c r="E2845" s="852" t="s">
        <v>1516</v>
      </c>
      <c r="F2845" s="852"/>
      <c r="G2845" s="1720"/>
      <c r="H2845" s="1720"/>
      <c r="I2845" s="852"/>
      <c r="J2845" s="852"/>
      <c r="K2845" s="852"/>
      <c r="L2845" s="852" t="s">
        <v>1705</v>
      </c>
      <c r="M2845" s="1369">
        <v>1702</v>
      </c>
      <c r="N2845" s="852"/>
      <c r="O2845" s="1718">
        <f>'Configurable Tab'!H54</f>
        <v>727</v>
      </c>
      <c r="P2845" s="18" t="str">
        <f>'Configurable Tab'!J54</f>
        <v>No</v>
      </c>
      <c r="Q2845" s="1718" t="s">
        <v>648</v>
      </c>
      <c r="R2845" s="1720" t="s">
        <v>2199</v>
      </c>
      <c r="T2845" s="1720" t="str">
        <f t="shared" ref="T2845:T2854" si="568">IF(Q$2845="Yes",51,"")</f>
        <v/>
      </c>
    </row>
    <row r="2846" spans="1:20" s="1718" customFormat="1" x14ac:dyDescent="0.25">
      <c r="A2846" s="1722" t="s">
        <v>1383</v>
      </c>
      <c r="B2846" s="852" t="str">
        <f ca="1">IFERROR(_xlfn.CONCAT("C",MATCH(A2846,INDIRECT("'"&amp;E2846&amp;"'!C"&amp;$O$2845&amp;":C"&amp;$O$2847),0)+$O$2845-1),"")</f>
        <v>C729</v>
      </c>
      <c r="C2846" s="852" t="str">
        <f ca="1">IFERROR(_xlfn.CONCAT("D",MATCH(A2846,INDIRECT("'"&amp;E2846&amp;"'!C"&amp;$O$2845&amp;":C"&amp;$O$2847),0)+$O$2845-1),"")</f>
        <v>D729</v>
      </c>
      <c r="D2846" s="852" t="s">
        <v>1350</v>
      </c>
      <c r="E2846" s="852" t="s">
        <v>1516</v>
      </c>
      <c r="F2846" s="852" t="s">
        <v>1383</v>
      </c>
      <c r="G2846" s="1720" t="str">
        <f>IF(T2846&lt;&gt;"","B","")</f>
        <v/>
      </c>
      <c r="H2846" s="1720" t="s">
        <v>1990</v>
      </c>
      <c r="I2846" s="852"/>
      <c r="J2846" s="852"/>
      <c r="K2846" s="852"/>
      <c r="L2846" s="852" t="s">
        <v>1383</v>
      </c>
      <c r="M2846" s="1369">
        <v>1703</v>
      </c>
      <c r="N2846" s="852"/>
      <c r="O2846" s="1718" t="s">
        <v>726</v>
      </c>
      <c r="R2846" s="1720" t="s">
        <v>2199</v>
      </c>
      <c r="T2846" s="1720" t="str">
        <f t="shared" si="568"/>
        <v/>
      </c>
    </row>
    <row r="2847" spans="1:20" s="1718" customFormat="1" x14ac:dyDescent="0.25">
      <c r="A2847" s="1722" t="s">
        <v>1381</v>
      </c>
      <c r="B2847" s="852" t="str">
        <f ca="1">_xlfn.CONCAT(IFERROR(SUBSTITUTE(ADDRESS(1,MATCH(A2847,INDIRECT("'"&amp;E2847&amp;"'"&amp;"!A" &amp; $O$2845+ 2 &amp; ":Z" &amp; $O$2845 + 2),0),4),1,""),""),$O$2845+ 2)</f>
        <v>J729</v>
      </c>
      <c r="C2847" s="852" t="str">
        <f ca="1">_xlfn.CONCAT(IFERROR(SUBSTITUTE(ADDRESS(1,MATCH(A2847,INDIRECT("'"&amp;E2847&amp;"'"&amp;"!A" &amp; $O$2845+ 2 &amp; ":Z" &amp; $O$2845 + 2),0),4),1,""),""),$O$2845+ 3)</f>
        <v>J730</v>
      </c>
      <c r="D2847" s="852" t="s">
        <v>1350</v>
      </c>
      <c r="E2847" s="852" t="s">
        <v>1516</v>
      </c>
      <c r="F2847" s="852" t="s">
        <v>1992</v>
      </c>
      <c r="G2847" s="1720" t="str">
        <f>IF(T2847&lt;&gt;"","I","")</f>
        <v/>
      </c>
      <c r="H2847" s="1720" t="s">
        <v>1990</v>
      </c>
      <c r="I2847" s="852"/>
      <c r="J2847" s="852"/>
      <c r="K2847" s="852"/>
      <c r="L2847" s="852" t="s">
        <v>1381</v>
      </c>
      <c r="M2847" s="1369">
        <v>1704</v>
      </c>
      <c r="N2847" s="852"/>
      <c r="O2847" s="1718">
        <f>'Configurable Tab'!I54</f>
        <v>740</v>
      </c>
      <c r="R2847" s="1720" t="s">
        <v>2199</v>
      </c>
      <c r="T2847" s="1720" t="str">
        <f t="shared" si="568"/>
        <v/>
      </c>
    </row>
    <row r="2848" spans="1:20" s="1718" customFormat="1" x14ac:dyDescent="0.25">
      <c r="A2848" s="1722" t="s">
        <v>1382</v>
      </c>
      <c r="B2848" s="852" t="str">
        <f ca="1">_xlfn.CONCAT(IFERROR(SUBSTITUTE(ADDRESS(1,MATCH(A2848,INDIRECT("'"&amp;E2848&amp;"'"&amp;"!A" &amp; $O$2845+ 2 &amp; ":Z" &amp; $O$2845 + 2),0),4),1,""),""),$O$2845+ 2)</f>
        <v>N729</v>
      </c>
      <c r="C2848" s="852" t="str">
        <f ca="1">_xlfn.CONCAT(IFERROR(SUBSTITUTE(ADDRESS(1,MATCH(A2848,INDIRECT("'"&amp;E2848&amp;"'"&amp;"!A" &amp; $O$2845+ 2 &amp; ":Z" &amp; $O$2845 + 2),0),4),1,""),""),$O$2845+ 3)</f>
        <v>N730</v>
      </c>
      <c r="D2848" s="852" t="s">
        <v>1350</v>
      </c>
      <c r="E2848" s="852" t="s">
        <v>1516</v>
      </c>
      <c r="F2848" s="852" t="s">
        <v>1382</v>
      </c>
      <c r="G2848" s="1720" t="str">
        <f>IF(T2848&lt;&gt;"",IF(Q2847="Credit Memo","J",IF(Q2847="Check","K","")),"")</f>
        <v/>
      </c>
      <c r="H2848" s="1720" t="s">
        <v>1990</v>
      </c>
      <c r="I2848" s="852"/>
      <c r="J2848" s="852"/>
      <c r="K2848" s="852"/>
      <c r="L2848" s="852" t="s">
        <v>1382</v>
      </c>
      <c r="M2848" s="1369">
        <v>1705</v>
      </c>
      <c r="N2848" s="852"/>
      <c r="O2848" s="1718" t="s">
        <v>2208</v>
      </c>
      <c r="R2848" s="1720" t="s">
        <v>2199</v>
      </c>
      <c r="T2848" s="1720" t="str">
        <f t="shared" si="568"/>
        <v/>
      </c>
    </row>
    <row r="2849" spans="1:20" s="1718" customFormat="1" x14ac:dyDescent="0.25">
      <c r="A2849" s="1722" t="s">
        <v>1385</v>
      </c>
      <c r="B2849" s="852" t="str">
        <f ca="1">IFERROR(_xlfn.CONCAT("C",MATCH(A2849,INDIRECT("'"&amp;E2849&amp;"'!C"&amp;$O$2845&amp;":C"&amp;$O$2847),0)+$O$2845-1),"")</f>
        <v>C733</v>
      </c>
      <c r="C2849" s="852" t="str">
        <f ca="1">IFERROR(_xlfn.CONCAT("D",MATCH(A2849,INDIRECT("'"&amp;E2849&amp;"'!C"&amp;$O$2845&amp;":C"&amp;$O$2847),0)+$O$2845-1),"")</f>
        <v>D733</v>
      </c>
      <c r="D2849" s="852" t="s">
        <v>1350</v>
      </c>
      <c r="E2849" s="852" t="s">
        <v>1516</v>
      </c>
      <c r="F2849" s="852" t="s">
        <v>1385</v>
      </c>
      <c r="G2849" s="1720" t="str">
        <f>IF(T2849&lt;&gt;"","C","")</f>
        <v/>
      </c>
      <c r="H2849" s="1720" t="s">
        <v>1990</v>
      </c>
      <c r="I2849" s="852"/>
      <c r="J2849" s="852"/>
      <c r="K2849" s="852"/>
      <c r="L2849" s="852" t="s">
        <v>1385</v>
      </c>
      <c r="M2849" s="1369">
        <v>1706</v>
      </c>
      <c r="N2849" s="852"/>
      <c r="R2849" s="1720" t="s">
        <v>2199</v>
      </c>
      <c r="T2849" s="1720" t="str">
        <f t="shared" si="568"/>
        <v/>
      </c>
    </row>
    <row r="2850" spans="1:20" s="1718" customFormat="1" x14ac:dyDescent="0.25">
      <c r="A2850" s="1722" t="s">
        <v>1386</v>
      </c>
      <c r="B2850" s="852" t="str">
        <f ca="1">IFERROR(_xlfn.CONCAT("C",MATCH(A2850,INDIRECT("'"&amp;E2850&amp;"'!C"&amp;$O$2845&amp;":C"&amp;$O$2847),0)+$O$2845-1),"")</f>
        <v>C735</v>
      </c>
      <c r="C2850" s="852" t="str">
        <f ca="1">IFERROR(_xlfn.CONCAT("D",MATCH(A2850,INDIRECT("'"&amp;E2850&amp;"'!C"&amp;$O$2845&amp;":C"&amp;$O$2847),0)+$O$2845-1),"")</f>
        <v>D735</v>
      </c>
      <c r="D2850" s="852" t="s">
        <v>1350</v>
      </c>
      <c r="E2850" s="852" t="s">
        <v>1516</v>
      </c>
      <c r="F2850" s="852" t="s">
        <v>1386</v>
      </c>
      <c r="G2850" s="1720" t="str">
        <f>IF(T2850&lt;&gt;"","D","")</f>
        <v/>
      </c>
      <c r="H2850" s="1720" t="s">
        <v>1990</v>
      </c>
      <c r="I2850" s="852"/>
      <c r="J2850" s="852"/>
      <c r="K2850" s="852"/>
      <c r="L2850" s="852" t="s">
        <v>1386</v>
      </c>
      <c r="M2850" s="1369">
        <v>1707</v>
      </c>
      <c r="N2850" s="852"/>
      <c r="R2850" s="1720" t="s">
        <v>2199</v>
      </c>
      <c r="T2850" s="1720" t="str">
        <f t="shared" si="568"/>
        <v/>
      </c>
    </row>
    <row r="2851" spans="1:20" s="1718" customFormat="1" x14ac:dyDescent="0.25">
      <c r="A2851" s="1722" t="s">
        <v>1396</v>
      </c>
      <c r="B2851" s="852" t="str">
        <f ca="1">_xlfn.CONCAT(IFERROR(SUBSTITUTE(ADDRESS(1,MATCH(A2851,INDIRECT("'"&amp;E2851&amp;"'"&amp;"!A" &amp; $O$2845+ 5 &amp; ":Z" &amp; $O$2845 + 5),0),4),1,""),""),$O$2845+ 5)</f>
        <v>H732</v>
      </c>
      <c r="C2851" s="852" t="str">
        <f ca="1">_xlfn.CONCAT(IFERROR(SUBSTITUTE(ADDRESS(1,MATCH(A2851,INDIRECT("'"&amp;E2851&amp;"'"&amp;"!A" &amp; $O$2845+ 5 &amp; ":Z" &amp; $O$2845 + 5),0),4),1,""),""),$O$2845+ 6)</f>
        <v>H733</v>
      </c>
      <c r="D2851" s="852" t="s">
        <v>1350</v>
      </c>
      <c r="E2851" s="852" t="s">
        <v>1516</v>
      </c>
      <c r="F2851" s="1720" t="s">
        <v>1396</v>
      </c>
      <c r="G2851" s="1720" t="str">
        <f>IF(T2851&lt;&gt;"","S","")</f>
        <v/>
      </c>
      <c r="H2851" s="1720" t="s">
        <v>1990</v>
      </c>
      <c r="I2851" s="852"/>
      <c r="J2851" s="852"/>
      <c r="K2851" s="852"/>
      <c r="L2851" s="852" t="s">
        <v>1396</v>
      </c>
      <c r="M2851" s="1369">
        <v>1708</v>
      </c>
      <c r="N2851" s="852"/>
      <c r="R2851" s="1720" t="s">
        <v>2199</v>
      </c>
      <c r="T2851" s="1720" t="str">
        <f t="shared" si="568"/>
        <v/>
      </c>
    </row>
    <row r="2852" spans="1:20" s="1718" customFormat="1" x14ac:dyDescent="0.25">
      <c r="A2852" s="1722" t="s">
        <v>2005</v>
      </c>
      <c r="B2852" s="852" t="str">
        <f ca="1">_xlfn.CONCAT(IFERROR(SUBSTITUTE(ADDRESS(1,MATCH(A2852,INDIRECT("'"&amp;E2852&amp;"'"&amp;"!A" &amp; $O$2845+ 8 &amp; ":Z" &amp; $O$2845 + 8),0),4),1,""),""),$O$2845 + 8)</f>
        <v>J735</v>
      </c>
      <c r="C2852" s="852" t="str">
        <f ca="1">_xlfn.CONCAT(IFERROR(SUBSTITUTE(ADDRESS(1,MATCH(A2852,INDIRECT("'"&amp;E2852&amp;"'"&amp;"!A" &amp; $O$2845+ 8 &amp; ":Z" &amp; $O$2845 + 8),0),4),1,""),""),$O$2845 + 9)</f>
        <v>J736</v>
      </c>
      <c r="D2852" s="852" t="s">
        <v>1350</v>
      </c>
      <c r="E2852" s="852" t="s">
        <v>1516</v>
      </c>
      <c r="F2852" s="852" t="s">
        <v>2005</v>
      </c>
      <c r="G2852" s="1720" t="str">
        <f>IF(T2852&lt;&gt;"","AQ","")</f>
        <v/>
      </c>
      <c r="H2852" s="1720" t="s">
        <v>1990</v>
      </c>
      <c r="I2852" s="852"/>
      <c r="J2852" s="852"/>
      <c r="K2852" s="852"/>
      <c r="L2852" s="852" t="s">
        <v>2005</v>
      </c>
      <c r="M2852" s="1369">
        <v>1709</v>
      </c>
      <c r="N2852" s="852"/>
      <c r="R2852" s="1720" t="s">
        <v>2199</v>
      </c>
      <c r="T2852" s="1720" t="str">
        <f t="shared" si="568"/>
        <v/>
      </c>
    </row>
    <row r="2853" spans="1:20" s="1718" customFormat="1" x14ac:dyDescent="0.25">
      <c r="A2853" s="1722" t="s">
        <v>1482</v>
      </c>
      <c r="B2853" s="852" t="str">
        <f ca="1">_xlfn.CONCAT(IFERROR(SUBSTITUTE(ADDRESS(1,MATCH(A2853,INDIRECT("'"&amp;E2853&amp;"'"&amp;"!A" &amp; $O$2845+ 8 &amp; ":Z" &amp; $O$2845 + 8),0),4),1,""),""),$O$2845 + 8)</f>
        <v>N735</v>
      </c>
      <c r="C2853" s="852" t="str">
        <f ca="1">_xlfn.CONCAT(IFERROR(SUBSTITUTE(ADDRESS(1,MATCH(A2853,INDIRECT("'"&amp;E2853&amp;"'"&amp;"!A" &amp; $O$2845+ 8 &amp; ":Z" &amp; $O$2845 + 8),0),4),1,""),""),$O$2845 + 9)</f>
        <v>N736</v>
      </c>
      <c r="D2853" s="852" t="s">
        <v>1350</v>
      </c>
      <c r="E2853" s="852" t="s">
        <v>1516</v>
      </c>
      <c r="F2853" s="852" t="s">
        <v>2054</v>
      </c>
      <c r="G2853" s="1720" t="str">
        <f>IF(T2853&lt;&gt;"","AA","")</f>
        <v/>
      </c>
      <c r="H2853" s="1720" t="s">
        <v>1990</v>
      </c>
      <c r="I2853" s="852"/>
      <c r="J2853" s="852"/>
      <c r="K2853" s="852"/>
      <c r="L2853" s="852" t="s">
        <v>2006</v>
      </c>
      <c r="M2853" s="1369">
        <v>1710</v>
      </c>
      <c r="N2853" s="852"/>
      <c r="R2853" s="1720" t="s">
        <v>2199</v>
      </c>
      <c r="T2853" s="1720" t="str">
        <f t="shared" si="568"/>
        <v/>
      </c>
    </row>
    <row r="2854" spans="1:20" s="1718" customFormat="1" x14ac:dyDescent="0.25">
      <c r="A2854" s="1722" t="s">
        <v>1397</v>
      </c>
      <c r="B2854" s="852" t="str">
        <f ca="1">_xlfn.CONCAT(IFERROR(SUBSTITUTE(ADDRESS(1,MATCH(A2854,INDIRECT("'"&amp;E2854&amp;"'"&amp;"!A" &amp; $O$2845+ 2 &amp; ":Z" &amp; $O$2845 + 2),0),4),1,""),""),$O$2845 + 2)</f>
        <v>L729</v>
      </c>
      <c r="C2854" s="852" t="str">
        <f ca="1">_xlfn.CONCAT(IFERROR(SUBSTITUTE(ADDRESS(1,MATCH(A2854,INDIRECT("'"&amp;E2854&amp;"'"&amp;"!A" &amp; $O$2845+ 2 &amp; ":Z" &amp; $O$2845 + 2),0),4),1,""),""),$O$2845 + 3)</f>
        <v>L730</v>
      </c>
      <c r="D2854" s="852" t="s">
        <v>1350</v>
      </c>
      <c r="E2854" s="852" t="s">
        <v>1516</v>
      </c>
      <c r="F2854" s="852" t="s">
        <v>1993</v>
      </c>
      <c r="G2854" s="1720" t="str">
        <f>IF(T2854&lt;&gt;"","H","")</f>
        <v/>
      </c>
      <c r="H2854" s="1720" t="s">
        <v>1990</v>
      </c>
      <c r="I2854" s="852"/>
      <c r="J2854" s="852"/>
      <c r="K2854" s="852"/>
      <c r="L2854" s="852" t="s">
        <v>1397</v>
      </c>
      <c r="M2854" s="1369">
        <v>1711</v>
      </c>
      <c r="N2854" s="852"/>
      <c r="R2854" s="1720" t="s">
        <v>2199</v>
      </c>
      <c r="T2854" s="1720" t="str">
        <f t="shared" si="568"/>
        <v/>
      </c>
    </row>
    <row r="2855" spans="1:20" s="1718" customFormat="1" x14ac:dyDescent="0.25">
      <c r="A2855" s="1722" t="s">
        <v>1705</v>
      </c>
      <c r="B2855" s="1307" t="str">
        <f>IFERROR(_xlfn.CONCAT("D",('Configurable Tab'!$C$23+1)),"")</f>
        <v>D226</v>
      </c>
      <c r="C2855" s="1307" t="str">
        <f>IFERROR(_xlfn.CONCAT("E",('Configurable Tab'!$C$23+1)),"")</f>
        <v>E226</v>
      </c>
      <c r="D2855" s="852" t="s">
        <v>1350</v>
      </c>
      <c r="E2855" s="852" t="s">
        <v>1742</v>
      </c>
      <c r="F2855" s="1720"/>
      <c r="G2855" s="1720"/>
      <c r="H2855" s="1720"/>
      <c r="I2855" s="1307" t="str">
        <f t="shared" ref="I2855:I2865" si="569">IF(J2855&lt;&gt;"",A2855,"")</f>
        <v/>
      </c>
      <c r="J2855" s="1720" t="str">
        <f t="shared" ref="J2855:J2864" si="570">IFERROR(IF($Q$2845="Yes",Q$1&amp;M2845,""),"")</f>
        <v/>
      </c>
      <c r="K2855" s="1720" t="str">
        <f t="shared" ref="K2855:K2865" si="571">IF(J2855&lt;&gt;"",E2855,"")</f>
        <v/>
      </c>
      <c r="M2855" s="1719"/>
      <c r="Q2855" s="1307" t="str">
        <f>IFERROR(_xlfn.CONCAT("C",('Configurable Tab'!$C39+1)),"")</f>
        <v>C402</v>
      </c>
      <c r="R2855" s="1720" t="s">
        <v>2199</v>
      </c>
    </row>
    <row r="2856" spans="1:20" s="1718" customFormat="1" x14ac:dyDescent="0.25">
      <c r="A2856" s="1722" t="s">
        <v>1383</v>
      </c>
      <c r="B2856" s="1307" t="str">
        <f>IFERROR(_xlfn.CONCAT("D",('Configurable Tab'!$C$23+2)),"")</f>
        <v>D227</v>
      </c>
      <c r="C2856" s="1307" t="str">
        <f>IFERROR(_xlfn.CONCAT("E",('Configurable Tab'!$C$23+2)),"")</f>
        <v>E227</v>
      </c>
      <c r="D2856" s="852" t="s">
        <v>1350</v>
      </c>
      <c r="E2856" s="852" t="s">
        <v>1742</v>
      </c>
      <c r="F2856" s="1720"/>
      <c r="G2856" s="1720"/>
      <c r="H2856" s="1720"/>
      <c r="I2856" s="1307" t="str">
        <f t="shared" si="569"/>
        <v/>
      </c>
      <c r="J2856" s="1720" t="str">
        <f t="shared" si="570"/>
        <v/>
      </c>
      <c r="K2856" s="1720" t="str">
        <f t="shared" si="571"/>
        <v/>
      </c>
      <c r="M2856" s="1719"/>
      <c r="R2856" s="1720" t="s">
        <v>2199</v>
      </c>
    </row>
    <row r="2857" spans="1:20" s="1718" customFormat="1" x14ac:dyDescent="0.25">
      <c r="A2857" s="1722" t="s">
        <v>1381</v>
      </c>
      <c r="B2857" s="1307" t="str">
        <f>IFERROR(_xlfn.CONCAT("I",('Configurable Tab'!$C$23+1)),"")</f>
        <v>I226</v>
      </c>
      <c r="C2857" s="1307" t="str">
        <f>IFERROR(_xlfn.CONCAT("I",('Configurable Tab'!$C$23+2)),"")</f>
        <v>I227</v>
      </c>
      <c r="D2857" s="852" t="s">
        <v>1350</v>
      </c>
      <c r="E2857" s="852" t="s">
        <v>1742</v>
      </c>
      <c r="F2857" s="1720"/>
      <c r="G2857" s="1720"/>
      <c r="H2857" s="1720"/>
      <c r="I2857" s="1307" t="str">
        <f t="shared" si="569"/>
        <v/>
      </c>
      <c r="J2857" s="1720" t="str">
        <f t="shared" si="570"/>
        <v/>
      </c>
      <c r="K2857" s="1720" t="str">
        <f t="shared" si="571"/>
        <v/>
      </c>
      <c r="M2857" s="1719"/>
      <c r="R2857" s="1720" t="s">
        <v>2199</v>
      </c>
    </row>
    <row r="2858" spans="1:20" s="1718" customFormat="1" x14ac:dyDescent="0.25">
      <c r="A2858" s="1722" t="s">
        <v>1382</v>
      </c>
      <c r="B2858" s="1307" t="str">
        <f>IFERROR(_xlfn.CONCAT("M",('Configurable Tab'!$C$23+1)),"")</f>
        <v>M226</v>
      </c>
      <c r="C2858" s="1307" t="str">
        <f>IFERROR(_xlfn.CONCAT("M",('Configurable Tab'!$C$23+2)),"")</f>
        <v>M227</v>
      </c>
      <c r="D2858" s="852" t="s">
        <v>1350</v>
      </c>
      <c r="E2858" s="852" t="s">
        <v>1742</v>
      </c>
      <c r="F2858" s="1720"/>
      <c r="G2858" s="1720"/>
      <c r="H2858" s="1720"/>
      <c r="I2858" s="1307" t="str">
        <f t="shared" si="569"/>
        <v/>
      </c>
      <c r="J2858" s="1720" t="str">
        <f t="shared" si="570"/>
        <v/>
      </c>
      <c r="K2858" s="1720" t="str">
        <f t="shared" si="571"/>
        <v/>
      </c>
      <c r="M2858" s="1719"/>
      <c r="R2858" s="1720" t="s">
        <v>2199</v>
      </c>
    </row>
    <row r="2859" spans="1:20" s="1718" customFormat="1" x14ac:dyDescent="0.25">
      <c r="A2859" s="1722" t="s">
        <v>1385</v>
      </c>
      <c r="B2859" s="1307" t="str">
        <f>IFERROR(_xlfn.CONCAT("D",('Configurable Tab'!$C$23+4)),"")</f>
        <v>D229</v>
      </c>
      <c r="C2859" s="1307" t="str">
        <f>IFERROR(_xlfn.CONCAT("E",('Configurable Tab'!$C$23+4)),"")</f>
        <v>E229</v>
      </c>
      <c r="D2859" s="852" t="s">
        <v>1350</v>
      </c>
      <c r="E2859" s="852" t="s">
        <v>1742</v>
      </c>
      <c r="F2859" s="1720"/>
      <c r="G2859" s="1720"/>
      <c r="H2859" s="1720"/>
      <c r="I2859" s="1307" t="str">
        <f t="shared" si="569"/>
        <v/>
      </c>
      <c r="J2859" s="1720" t="str">
        <f t="shared" si="570"/>
        <v/>
      </c>
      <c r="K2859" s="1720" t="str">
        <f t="shared" si="571"/>
        <v/>
      </c>
      <c r="M2859" s="1719"/>
      <c r="R2859" s="1720" t="s">
        <v>2199</v>
      </c>
    </row>
    <row r="2860" spans="1:20" s="1718" customFormat="1" x14ac:dyDescent="0.25">
      <c r="A2860" s="1722" t="s">
        <v>1386</v>
      </c>
      <c r="B2860" s="1307" t="str">
        <f>IFERROR(_xlfn.CONCAT("D",('Configurable Tab'!$C$23+5)),"")</f>
        <v>D230</v>
      </c>
      <c r="C2860" s="1307" t="str">
        <f>IFERROR(_xlfn.CONCAT("E",('Configurable Tab'!$C$23+5)),"")</f>
        <v>E230</v>
      </c>
      <c r="D2860" s="852" t="s">
        <v>1350</v>
      </c>
      <c r="E2860" s="852" t="s">
        <v>1742</v>
      </c>
      <c r="F2860" s="1720"/>
      <c r="G2860" s="1720"/>
      <c r="H2860" s="1720"/>
      <c r="I2860" s="1307" t="str">
        <f t="shared" si="569"/>
        <v/>
      </c>
      <c r="J2860" s="1720" t="str">
        <f t="shared" si="570"/>
        <v/>
      </c>
      <c r="K2860" s="1720" t="str">
        <f t="shared" si="571"/>
        <v/>
      </c>
      <c r="M2860" s="1719"/>
      <c r="R2860" s="1720" t="s">
        <v>2199</v>
      </c>
    </row>
    <row r="2861" spans="1:20" s="1718" customFormat="1" x14ac:dyDescent="0.25">
      <c r="A2861" s="1722" t="s">
        <v>1396</v>
      </c>
      <c r="B2861" s="1307" t="str">
        <f>IFERROR(_xlfn.CONCAT("G",('Configurable Tab'!$C$23+7)),"")</f>
        <v>G232</v>
      </c>
      <c r="C2861" s="1307" t="str">
        <f>IFERROR(_xlfn.CONCAT("G",('Configurable Tab'!$C$23+8)),"")</f>
        <v>G233</v>
      </c>
      <c r="D2861" s="852" t="s">
        <v>1350</v>
      </c>
      <c r="E2861" s="852" t="s">
        <v>1742</v>
      </c>
      <c r="F2861" s="1720"/>
      <c r="G2861" s="1720"/>
      <c r="H2861" s="1720"/>
      <c r="I2861" s="1307" t="str">
        <f t="shared" si="569"/>
        <v/>
      </c>
      <c r="J2861" s="1720" t="str">
        <f t="shared" si="570"/>
        <v/>
      </c>
      <c r="K2861" s="1720" t="str">
        <f t="shared" si="571"/>
        <v/>
      </c>
      <c r="M2861" s="1719"/>
      <c r="R2861" s="1720" t="s">
        <v>2199</v>
      </c>
    </row>
    <row r="2862" spans="1:20" s="1718" customFormat="1" x14ac:dyDescent="0.25">
      <c r="A2862" s="1722" t="s">
        <v>2005</v>
      </c>
      <c r="B2862" s="1307" t="str">
        <f>IFERROR(_xlfn.CONCAT("G",('Configurable Tab'!$C$23+7)),"")</f>
        <v>G232</v>
      </c>
      <c r="C2862" s="1307" t="str">
        <f>IFERROR(_xlfn.CONCAT("G",('Configurable Tab'!$C$23+8)),"")</f>
        <v>G233</v>
      </c>
      <c r="D2862" s="852" t="s">
        <v>1350</v>
      </c>
      <c r="E2862" s="852" t="s">
        <v>1742</v>
      </c>
      <c r="F2862" s="1720"/>
      <c r="G2862" s="1720"/>
      <c r="H2862" s="1720"/>
      <c r="I2862" s="1307" t="str">
        <f t="shared" si="569"/>
        <v/>
      </c>
      <c r="J2862" s="1720" t="str">
        <f t="shared" si="570"/>
        <v/>
      </c>
      <c r="K2862" s="1720" t="str">
        <f t="shared" si="571"/>
        <v/>
      </c>
      <c r="M2862" s="1719"/>
      <c r="R2862" s="1720" t="s">
        <v>2199</v>
      </c>
    </row>
    <row r="2863" spans="1:20" s="1718" customFormat="1" x14ac:dyDescent="0.25">
      <c r="A2863" s="1722" t="s">
        <v>1482</v>
      </c>
      <c r="B2863" s="1307" t="str">
        <f>IFERROR(_xlfn.CONCAT("K",('Configurable Tab'!$C$23+7)),"")</f>
        <v>K232</v>
      </c>
      <c r="C2863" s="1307" t="str">
        <f>IFERROR(_xlfn.CONCAT("K",('Configurable Tab'!$C$23+8)),"")</f>
        <v>K233</v>
      </c>
      <c r="D2863" s="852" t="s">
        <v>1350</v>
      </c>
      <c r="E2863" s="852" t="s">
        <v>1742</v>
      </c>
      <c r="F2863" s="1720"/>
      <c r="G2863" s="1720"/>
      <c r="H2863" s="1720"/>
      <c r="I2863" s="1307" t="str">
        <f t="shared" si="569"/>
        <v/>
      </c>
      <c r="J2863" s="1720" t="str">
        <f t="shared" si="570"/>
        <v/>
      </c>
      <c r="K2863" s="1720" t="str">
        <f t="shared" si="571"/>
        <v/>
      </c>
      <c r="M2863" s="1719"/>
      <c r="R2863" s="1720" t="s">
        <v>2199</v>
      </c>
    </row>
    <row r="2864" spans="1:20" s="1718" customFormat="1" x14ac:dyDescent="0.25">
      <c r="A2864" s="1722" t="s">
        <v>1397</v>
      </c>
      <c r="B2864" s="1307" t="str">
        <f>IFERROR(_xlfn.CONCAT("K",('Configurable Tab'!$C$23+1)),"")</f>
        <v>K226</v>
      </c>
      <c r="C2864" s="1307" t="str">
        <f>IFERROR(_xlfn.CONCAT("K",('Configurable Tab'!$C$23+2)),"")</f>
        <v>K227</v>
      </c>
      <c r="D2864" s="852" t="s">
        <v>1350</v>
      </c>
      <c r="E2864" s="852" t="s">
        <v>1742</v>
      </c>
      <c r="F2864" s="1720"/>
      <c r="G2864" s="1720"/>
      <c r="H2864" s="1720"/>
      <c r="I2864" s="1307" t="str">
        <f t="shared" si="569"/>
        <v/>
      </c>
      <c r="J2864" s="1720" t="str">
        <f t="shared" si="570"/>
        <v/>
      </c>
      <c r="K2864" s="1720" t="str">
        <f t="shared" si="571"/>
        <v/>
      </c>
      <c r="M2864" s="1719"/>
      <c r="R2864" s="1720" t="s">
        <v>2199</v>
      </c>
    </row>
    <row r="2865" spans="1:20" s="1718" customFormat="1" x14ac:dyDescent="0.25">
      <c r="A2865" s="1722" t="s">
        <v>1496</v>
      </c>
      <c r="B2865" s="852" t="str">
        <f ca="1">IFERROR(_xlfn.CONCAT("C",MATCH(A2865,INDIRECT("'"&amp;E2865&amp;"'!C"&amp;$O$2845&amp;":C"&amp;$O$2847),0)+$O$2845-1),"")</f>
        <v>C739</v>
      </c>
      <c r="C2865" s="852" t="str">
        <f ca="1">IFERROR(_xlfn.CONCAT("D",MATCH(A2865,INDIRECT("'"&amp;E2865&amp;"'!C"&amp;$O$2845&amp;":C"&amp;$O$2847),0)+$O$2845-1),"")</f>
        <v>D739</v>
      </c>
      <c r="D2865" s="852" t="s">
        <v>1350</v>
      </c>
      <c r="E2865" s="852" t="s">
        <v>1516</v>
      </c>
      <c r="F2865" s="1720" t="s">
        <v>1496</v>
      </c>
      <c r="G2865" s="1720" t="str">
        <f t="shared" ref="G2865" si="572">IF(T2865&lt;&gt;"","AS","")</f>
        <v/>
      </c>
      <c r="H2865" s="1720" t="s">
        <v>1990</v>
      </c>
      <c r="I2865" s="1307" t="str">
        <f t="shared" si="569"/>
        <v/>
      </c>
      <c r="J2865" s="1720"/>
      <c r="K2865" s="1720" t="str">
        <f t="shared" si="571"/>
        <v/>
      </c>
      <c r="L2865" s="852"/>
      <c r="M2865" s="1721"/>
      <c r="N2865" s="1720"/>
      <c r="R2865" s="1720" t="s">
        <v>2199</v>
      </c>
      <c r="T2865" s="1720" t="str">
        <f t="shared" ref="T2865:T2873" si="573">IF(Q$2845="Yes",51,"")</f>
        <v/>
      </c>
    </row>
    <row r="2866" spans="1:20" s="1718" customFormat="1" x14ac:dyDescent="0.25">
      <c r="A2866" s="1723" t="s">
        <v>1495</v>
      </c>
      <c r="B2866" s="852" t="str">
        <f ca="1">IFERROR(_xlfn.CONCAT("C",MATCH(A2866,INDIRECT("'"&amp;E2866&amp;"'!C"&amp;$O$2845&amp;":C"&amp;$O$2847),0)+$O$2845-1),"")</f>
        <v>C737</v>
      </c>
      <c r="C2866" s="852" t="str">
        <f ca="1">IFERROR(_xlfn.CONCAT("D",MATCH(A2866,INDIRECT("'"&amp;E2866&amp;"'!C"&amp;$O$2845&amp;":C"&amp;$O$2847),0)+$O$2845-1),"")</f>
        <v>D737</v>
      </c>
      <c r="D2866" s="852" t="s">
        <v>1350</v>
      </c>
      <c r="E2866" s="852" t="s">
        <v>1516</v>
      </c>
      <c r="F2866" s="1720" t="s">
        <v>1495</v>
      </c>
      <c r="G2866" s="1720" t="str">
        <f>IF(T2866&lt;&gt;"","AN","")</f>
        <v/>
      </c>
      <c r="H2866" s="1720" t="s">
        <v>1990</v>
      </c>
      <c r="I2866" s="1307"/>
      <c r="J2866" s="1720"/>
      <c r="K2866" s="1720"/>
      <c r="L2866" s="852"/>
      <c r="M2866" s="1721"/>
      <c r="N2866" s="1720"/>
      <c r="O2866" s="1606"/>
      <c r="P2866" s="625"/>
      <c r="Q2866" s="625"/>
      <c r="R2866" s="1720" t="s">
        <v>2199</v>
      </c>
      <c r="T2866" s="1720" t="str">
        <f t="shared" si="573"/>
        <v/>
      </c>
    </row>
    <row r="2867" spans="1:20" s="1718" customFormat="1" x14ac:dyDescent="0.25">
      <c r="A2867" s="1723" t="s">
        <v>1492</v>
      </c>
      <c r="B2867" s="852" t="str">
        <f ca="1">_xlfn.CONCAT(IFERROR(SUBSTITUTE(ADDRESS(1,MATCH(A2867,INDIRECT("'"&amp;E2867&amp;"'"&amp;"!A" &amp; $O$2845+ 8 &amp; ":Z" &amp; $O$2845 + 8),0),4),1,""),""),$O$2845 + 8)</f>
        <v>H735</v>
      </c>
      <c r="C2867" s="852" t="str">
        <f ca="1">_xlfn.CONCAT(IFERROR(SUBSTITUTE(ADDRESS(1,MATCH(A2867,INDIRECT("'"&amp;E2867&amp;"'"&amp;"!A" &amp; $O$2845+ 8 &amp; ":Z" &amp; $O$2845 + 8),0),4),1,""),""),$O$2845 + 9)</f>
        <v>H736</v>
      </c>
      <c r="D2867" s="852" t="s">
        <v>1350</v>
      </c>
      <c r="E2867" s="852" t="s">
        <v>1516</v>
      </c>
      <c r="F2867" s="1720" t="s">
        <v>1492</v>
      </c>
      <c r="G2867" s="1720" t="str">
        <f>IF(T2867&lt;&gt;"","AL","")</f>
        <v/>
      </c>
      <c r="H2867" s="1720" t="s">
        <v>1990</v>
      </c>
      <c r="I2867" s="1307"/>
      <c r="J2867" s="1720"/>
      <c r="K2867" s="1720"/>
      <c r="L2867" s="852"/>
      <c r="M2867" s="1721"/>
      <c r="N2867" s="1720"/>
      <c r="O2867" s="625"/>
      <c r="P2867" s="625"/>
      <c r="Q2867" s="625"/>
      <c r="R2867" s="1720" t="s">
        <v>2199</v>
      </c>
      <c r="T2867" s="1720" t="str">
        <f t="shared" si="573"/>
        <v/>
      </c>
    </row>
    <row r="2868" spans="1:20" s="1718" customFormat="1" x14ac:dyDescent="0.25">
      <c r="A2868" s="1723" t="s">
        <v>1380</v>
      </c>
      <c r="B2868" s="852" t="str">
        <f ca="1">_xlfn.CONCAT(IFERROR(SUBSTITUTE(ADDRESS(1,MATCH(A2868,INDIRECT("'"&amp;E2868&amp;"'"&amp;"!A" &amp; $O$2845+ 2 &amp; ":Z" &amp; $O$2845 + 2),0),4),1,""),""),$O$2845+ 2)</f>
        <v>H729</v>
      </c>
      <c r="C2868" s="852" t="str">
        <f ca="1">_xlfn.CONCAT(IFERROR(SUBSTITUTE(ADDRESS(1,MATCH(A2868,INDIRECT("'"&amp;E2868&amp;"'"&amp;"!A" &amp; $O$2845+ 2 &amp; ":Z" &amp; $O$2845 + 2),0),4),1,""),""),$O$2845+ 3)</f>
        <v>H730</v>
      </c>
      <c r="D2868" s="852" t="s">
        <v>1350</v>
      </c>
      <c r="E2868" s="852" t="s">
        <v>1516</v>
      </c>
      <c r="F2868" s="1720" t="s">
        <v>1991</v>
      </c>
      <c r="G2868" s="1720" t="str">
        <f>IF(T2868&lt;&gt;"","E","")</f>
        <v/>
      </c>
      <c r="H2868" s="1720" t="s">
        <v>1990</v>
      </c>
      <c r="I2868" s="1307"/>
      <c r="J2868" s="1720"/>
      <c r="K2868" s="1720"/>
      <c r="L2868" s="852"/>
      <c r="M2868" s="1721"/>
      <c r="N2868" s="1720"/>
      <c r="O2868" s="625"/>
      <c r="P2868" s="625"/>
      <c r="Q2868" s="625"/>
      <c r="R2868" s="1720" t="s">
        <v>2199</v>
      </c>
      <c r="T2868" s="1720" t="str">
        <f t="shared" si="573"/>
        <v/>
      </c>
    </row>
    <row r="2869" spans="1:20" s="1718" customFormat="1" x14ac:dyDescent="0.25">
      <c r="A2869" s="1723" t="s">
        <v>1487</v>
      </c>
      <c r="B2869" s="852" t="str">
        <f ca="1">_xlfn.CONCAT(IFERROR(SUBSTITUTE(ADDRESS(1,MATCH(A2869,INDIRECT("'"&amp;E2869&amp;"'"&amp;"!A" &amp; $O$2845+ 2 &amp; ":Z" &amp; $O$2845 + 2),0),4),1,""),""),$O$2845+ 2)</f>
        <v>R729</v>
      </c>
      <c r="C2869" s="852" t="str">
        <f ca="1">_xlfn.CONCAT(IFERROR(SUBSTITUTE(ADDRESS(1,MATCH(A2869,INDIRECT("'"&amp;E2869&amp;"'"&amp;"!A" &amp; $O$2845+ 2 &amp; ":Z" &amp; $O$2845 + 2),0),4),1,""),""),$O$2845+ 3)</f>
        <v>R730</v>
      </c>
      <c r="D2869" s="852" t="s">
        <v>1350</v>
      </c>
      <c r="E2869" s="852" t="s">
        <v>1516</v>
      </c>
      <c r="F2869" s="1720" t="s">
        <v>1995</v>
      </c>
      <c r="G2869" s="1720" t="str">
        <f>IF(T2869&lt;&gt;"","G","")</f>
        <v/>
      </c>
      <c r="H2869" s="1720" t="s">
        <v>1990</v>
      </c>
      <c r="I2869" s="1307"/>
      <c r="J2869" s="1720"/>
      <c r="K2869" s="1720"/>
      <c r="L2869" s="852"/>
      <c r="M2869" s="1721"/>
      <c r="N2869" s="1720"/>
      <c r="O2869" s="625"/>
      <c r="P2869" s="625"/>
      <c r="Q2869" s="625"/>
      <c r="R2869" s="1720" t="s">
        <v>2199</v>
      </c>
      <c r="T2869" s="1720" t="str">
        <f t="shared" si="573"/>
        <v/>
      </c>
    </row>
    <row r="2870" spans="1:20" s="1718" customFormat="1" x14ac:dyDescent="0.25">
      <c r="A2870" s="1723" t="s">
        <v>1488</v>
      </c>
      <c r="B2870" s="852" t="str">
        <f ca="1">_xlfn.CONCAT(IFERROR(SUBSTITUTE(ADDRESS(1,MATCH(A2870,INDIRECT("'"&amp;E2870&amp;"'"&amp;"!A" &amp; $O$2845+ 2 &amp; ":Z" &amp; $O$2845 + 2),0),4),1,""),""),$O$2845+ 2)</f>
        <v>T729</v>
      </c>
      <c r="C2870" s="852" t="str">
        <f ca="1">_xlfn.CONCAT(IFERROR(SUBSTITUTE(ADDRESS(1,MATCH(A2870,INDIRECT("'"&amp;E2870&amp;"'"&amp;"!A" &amp; $O$2845+ 2 &amp; ":Z" &amp; $O$2845 + 2),0),4),1,""),""),$O$2845+ 3)</f>
        <v>T730</v>
      </c>
      <c r="D2870" s="852" t="s">
        <v>1350</v>
      </c>
      <c r="E2870" s="852" t="s">
        <v>1516</v>
      </c>
      <c r="F2870" s="867" t="s">
        <v>1488</v>
      </c>
      <c r="G2870" s="1720" t="str">
        <f>IF(T2870&lt;&gt;"","AW","")</f>
        <v/>
      </c>
      <c r="H2870" s="1720" t="s">
        <v>1990</v>
      </c>
      <c r="I2870" s="1307"/>
      <c r="J2870" s="1720"/>
      <c r="K2870" s="1720"/>
      <c r="L2870" s="852"/>
      <c r="M2870" s="1721"/>
      <c r="N2870" s="1720"/>
      <c r="O2870" s="625"/>
      <c r="P2870" s="625"/>
      <c r="Q2870" s="625"/>
      <c r="R2870" s="1720" t="s">
        <v>2199</v>
      </c>
      <c r="T2870" s="1720" t="str">
        <f t="shared" si="573"/>
        <v/>
      </c>
    </row>
    <row r="2871" spans="1:20" s="1718" customFormat="1" x14ac:dyDescent="0.25">
      <c r="A2871" s="1723" t="s">
        <v>1603</v>
      </c>
      <c r="B2871" s="852" t="str">
        <f ca="1">_xlfn.CONCAT(IFERROR(SUBSTITUTE(ADDRESS(1,MATCH(A2871,INDIRECT("'"&amp;E2871&amp;"'"&amp;"!A" &amp; $O$2845+ 5 &amp; ":Z" &amp; $O$2845 + 5),0),4),1,""),""),$O$2845+ 5)</f>
        <v>R732</v>
      </c>
      <c r="C2871" s="852" t="str">
        <f ca="1">_xlfn.CONCAT(IFERROR(SUBSTITUTE(ADDRESS(1,MATCH(A2871,INDIRECT("'"&amp;E2871&amp;"'"&amp;"!A" &amp; $O$2845+ 5 &amp; ":Z" &amp; $O$2845 + 5),0),4),1,""),""),$O$2845+ 6)</f>
        <v>R733</v>
      </c>
      <c r="D2871" s="852" t="s">
        <v>1350</v>
      </c>
      <c r="E2871" s="852" t="s">
        <v>1516</v>
      </c>
      <c r="F2871" s="1720" t="s">
        <v>1999</v>
      </c>
      <c r="G2871" s="1720" t="str">
        <f t="shared" ref="G2871" si="574">IF(T2871&lt;&gt;"","AB","")</f>
        <v/>
      </c>
      <c r="H2871" s="1720" t="s">
        <v>1990</v>
      </c>
      <c r="I2871" s="1307"/>
      <c r="J2871" s="1720"/>
      <c r="K2871" s="1720"/>
      <c r="L2871" s="852"/>
      <c r="M2871" s="1721"/>
      <c r="N2871" s="1720"/>
      <c r="O2871" s="625"/>
      <c r="P2871" s="625"/>
      <c r="Q2871" s="625"/>
      <c r="R2871" s="1720" t="s">
        <v>2199</v>
      </c>
      <c r="T2871" s="1720" t="str">
        <f t="shared" si="573"/>
        <v/>
      </c>
    </row>
    <row r="2872" spans="1:20" s="1718" customFormat="1" x14ac:dyDescent="0.25">
      <c r="A2872" s="1723" t="s">
        <v>1604</v>
      </c>
      <c r="B2872" s="852" t="str">
        <f ca="1">_xlfn.CONCAT(IFERROR(SUBSTITUTE(ADDRESS(1,MATCH(A2872,INDIRECT("'"&amp;E2872&amp;"'"&amp;"!A" &amp; $O$2845+ 5 &amp; ":Z" &amp; $O$2845 + 5),0),4),1,""),""),$O$2845+ 5)</f>
        <v>T732</v>
      </c>
      <c r="C2872" s="852" t="str">
        <f ca="1">_xlfn.CONCAT(IFERROR(SUBSTITUTE(ADDRESS(1,MATCH(A2872,INDIRECT("'"&amp;E2872&amp;"'"&amp;"!A" &amp; $O$2845+ 5 &amp; ":Z" &amp; $O$2845 + 5),0),4),1,""),""),$O$2845+ 6)</f>
        <v>T733</v>
      </c>
      <c r="D2872" s="852" t="s">
        <v>1350</v>
      </c>
      <c r="E2872" s="852" t="s">
        <v>1516</v>
      </c>
      <c r="F2872" s="1720" t="s">
        <v>1604</v>
      </c>
      <c r="G2872" s="1720" t="str">
        <f t="shared" ref="G2872" si="575">IF(T2872&lt;&gt;"","AP","")</f>
        <v/>
      </c>
      <c r="H2872" s="1720" t="s">
        <v>1990</v>
      </c>
      <c r="I2872" s="1307"/>
      <c r="J2872" s="1720"/>
      <c r="K2872" s="1720"/>
      <c r="L2872" s="852"/>
      <c r="M2872" s="1721"/>
      <c r="N2872" s="1720"/>
      <c r="O2872" s="625"/>
      <c r="P2872" s="625"/>
      <c r="Q2872" s="625"/>
      <c r="R2872" s="1720" t="s">
        <v>2199</v>
      </c>
      <c r="T2872" s="1720" t="str">
        <f t="shared" si="573"/>
        <v/>
      </c>
    </row>
    <row r="2873" spans="1:20" s="1718" customFormat="1" x14ac:dyDescent="0.25">
      <c r="A2873" s="1723" t="s">
        <v>2135</v>
      </c>
      <c r="B2873" s="852" t="str">
        <f ca="1">_xlfn.CONCAT(IFERROR(SUBSTITUTE(ADDRESS(1,MATCH(A2873,INDIRECT("'"&amp;E2873&amp;"'"&amp;"!A" &amp; $O$2845+ 8 &amp; ":Z" &amp; $O$2845 + 8),0),4),1,""),""),$O$2845 + 8)</f>
        <v>L735</v>
      </c>
      <c r="C2873" s="852" t="str">
        <f ca="1">_xlfn.CONCAT(IFERROR(SUBSTITUTE(ADDRESS(1,MATCH(A2873,INDIRECT("'"&amp;E2873&amp;"'"&amp;"!A" &amp; $O$2845+ 8 &amp; ":Z" &amp; $O$2845 + 8),0),4),1,""),""),$O$2845 + 9)</f>
        <v>L736</v>
      </c>
      <c r="D2873" s="852" t="s">
        <v>1350</v>
      </c>
      <c r="E2873" s="852" t="s">
        <v>1516</v>
      </c>
      <c r="F2873" s="1720" t="s">
        <v>2135</v>
      </c>
      <c r="G2873" s="1720" t="str">
        <f>IF(T2873&lt;&gt;"","AZ","")</f>
        <v/>
      </c>
      <c r="H2873" s="1720" t="s">
        <v>1990</v>
      </c>
      <c r="I2873" s="1307"/>
      <c r="J2873" s="1720"/>
      <c r="K2873" s="1720"/>
      <c r="L2873" s="852" t="s">
        <v>2135</v>
      </c>
      <c r="M2873" s="1721">
        <v>1712</v>
      </c>
      <c r="N2873" s="1720"/>
      <c r="O2873" s="625"/>
      <c r="P2873" s="625"/>
      <c r="Q2873" s="625"/>
      <c r="R2873" s="1720" t="s">
        <v>2199</v>
      </c>
      <c r="T2873" s="1720" t="str">
        <f t="shared" si="573"/>
        <v/>
      </c>
    </row>
    <row r="2874" spans="1:20" s="1718" customFormat="1" x14ac:dyDescent="0.25">
      <c r="A2874" s="872" t="s">
        <v>1491</v>
      </c>
      <c r="B2874" s="852" t="str">
        <f ca="1">IFERROR(_xlfn.CONCAT("C",MATCH(A2874,INDIRECT("'"&amp;E2874&amp;"'!C"&amp;$O$2875&amp;":C"&amp;$O$2877),0)+$O$2875-1),"")</f>
        <v>C745</v>
      </c>
      <c r="C2874" s="852" t="str">
        <f ca="1">IFERROR(_xlfn.CONCAT("D",MATCH(A2874,INDIRECT("'"&amp;E2874&amp;"'!C"&amp;$O$2875&amp;":C"&amp;$O$2877),0)+$O$2875-1),"")</f>
        <v>D745</v>
      </c>
      <c r="D2874" s="852" t="s">
        <v>1350</v>
      </c>
      <c r="E2874" s="852" t="s">
        <v>1516</v>
      </c>
      <c r="F2874" s="852" t="s">
        <v>1491</v>
      </c>
      <c r="G2874" s="1720" t="str">
        <f>IF(T2874&lt;&gt;"","A","")</f>
        <v/>
      </c>
      <c r="H2874" s="1720" t="s">
        <v>1990</v>
      </c>
      <c r="I2874" s="852"/>
      <c r="J2874" s="852"/>
      <c r="K2874" s="852"/>
      <c r="L2874" s="852" t="s">
        <v>1491</v>
      </c>
      <c r="M2874" s="1369">
        <v>1713</v>
      </c>
      <c r="N2874" s="852"/>
      <c r="O2874" s="1718" t="s">
        <v>725</v>
      </c>
      <c r="R2874" s="1720" t="s">
        <v>2200</v>
      </c>
      <c r="T2874" s="1720" t="str">
        <f>IF(Q$2875="Yes",52,"")</f>
        <v/>
      </c>
    </row>
    <row r="2875" spans="1:20" s="1718" customFormat="1" x14ac:dyDescent="0.25">
      <c r="A2875" s="872" t="s">
        <v>1705</v>
      </c>
      <c r="B2875" s="852" t="str">
        <f ca="1">_xlfn.CONCAT(IFERROR(SUBSTITUTE(ADDRESS(1,MATCH(A2875,INDIRECT("'"&amp;E2875&amp;"'"&amp;"!A" &amp; $O$2875+ 11 &amp; ":Z" &amp; $O$2875 + 11),0),4),1,""),""),$O$2875+ 11)</f>
        <v>T752</v>
      </c>
      <c r="C2875" s="852" t="str">
        <f ca="1">_xlfn.CONCAT(IFERROR(SUBSTITUTE(ADDRESS(1,MATCH(A2875,INDIRECT("'"&amp;E2875&amp;"'"&amp;"!A" &amp; $O$2875+ 11 &amp; ":Z" &amp; $O$2875 + 11),0),4),1,""),""),$O$2875+ 12)</f>
        <v>T753</v>
      </c>
      <c r="D2875" s="852" t="s">
        <v>1350</v>
      </c>
      <c r="E2875" s="852" t="s">
        <v>1516</v>
      </c>
      <c r="F2875" s="852"/>
      <c r="G2875" s="1720"/>
      <c r="H2875" s="1720"/>
      <c r="I2875" s="852"/>
      <c r="J2875" s="852"/>
      <c r="K2875" s="852"/>
      <c r="L2875" s="852" t="s">
        <v>1705</v>
      </c>
      <c r="M2875" s="1369">
        <v>1714</v>
      </c>
      <c r="N2875" s="852"/>
      <c r="O2875" s="1718">
        <f>'Configurable Tab'!H55</f>
        <v>741</v>
      </c>
      <c r="P2875" s="18" t="str">
        <f>'Configurable Tab'!J55</f>
        <v>No</v>
      </c>
      <c r="Q2875" s="1718" t="s">
        <v>648</v>
      </c>
      <c r="R2875" s="1720" t="s">
        <v>2200</v>
      </c>
      <c r="T2875" s="1720" t="str">
        <f t="shared" ref="T2875:T2884" si="576">IF(Q$2875="Yes",52,"")</f>
        <v/>
      </c>
    </row>
    <row r="2876" spans="1:20" s="1718" customFormat="1" x14ac:dyDescent="0.25">
      <c r="A2876" s="872" t="s">
        <v>1383</v>
      </c>
      <c r="B2876" s="852" t="str">
        <f ca="1">IFERROR(_xlfn.CONCAT("C",MATCH(A2876,INDIRECT("'"&amp;E2876&amp;"'!C"&amp;$O$2875&amp;":C"&amp;$O$2877),0)+$O$2875-1),"")</f>
        <v>C743</v>
      </c>
      <c r="C2876" s="852" t="str">
        <f ca="1">IFERROR(_xlfn.CONCAT("D",MATCH(A2876,INDIRECT("'"&amp;E2876&amp;"'!C"&amp;$O$2875&amp;":C"&amp;$O$2877),0)+$O$2875-1),"")</f>
        <v>D743</v>
      </c>
      <c r="D2876" s="852" t="s">
        <v>1350</v>
      </c>
      <c r="E2876" s="852" t="s">
        <v>1516</v>
      </c>
      <c r="F2876" s="852" t="s">
        <v>1383</v>
      </c>
      <c r="G2876" s="1720" t="str">
        <f>IF(T2876&lt;&gt;"","B","")</f>
        <v/>
      </c>
      <c r="H2876" s="1720" t="s">
        <v>1990</v>
      </c>
      <c r="I2876" s="852"/>
      <c r="J2876" s="852"/>
      <c r="K2876" s="852"/>
      <c r="L2876" s="852" t="s">
        <v>1383</v>
      </c>
      <c r="M2876" s="1369">
        <v>1715</v>
      </c>
      <c r="N2876" s="852"/>
      <c r="O2876" s="1718" t="s">
        <v>726</v>
      </c>
      <c r="R2876" s="1720" t="s">
        <v>2200</v>
      </c>
      <c r="T2876" s="1720" t="str">
        <f t="shared" si="576"/>
        <v/>
      </c>
    </row>
    <row r="2877" spans="1:20" s="1718" customFormat="1" x14ac:dyDescent="0.25">
      <c r="A2877" s="872" t="s">
        <v>1381</v>
      </c>
      <c r="B2877" s="852" t="str">
        <f ca="1">_xlfn.CONCAT(IFERROR(SUBSTITUTE(ADDRESS(1,MATCH(A2877,INDIRECT("'"&amp;E2877&amp;"'"&amp;"!A" &amp; $O$2875+ 2 &amp; ":Z" &amp; $O$2875 + 2),0),4),1,""),""),$O$2875+ 2)</f>
        <v>J743</v>
      </c>
      <c r="C2877" s="852" t="str">
        <f ca="1">_xlfn.CONCAT(IFERROR(SUBSTITUTE(ADDRESS(1,MATCH(A2877,INDIRECT("'"&amp;E2877&amp;"'"&amp;"!A" &amp; $O$2875+ 2 &amp; ":Z" &amp; $O$2875 + 2),0),4),1,""),""),$O$2875+ 3)</f>
        <v>J744</v>
      </c>
      <c r="D2877" s="852" t="s">
        <v>1350</v>
      </c>
      <c r="E2877" s="852" t="s">
        <v>1516</v>
      </c>
      <c r="F2877" s="852" t="s">
        <v>1992</v>
      </c>
      <c r="G2877" s="1720" t="str">
        <f>IF(T2877&lt;&gt;"","I","")</f>
        <v/>
      </c>
      <c r="H2877" s="1720" t="s">
        <v>1990</v>
      </c>
      <c r="I2877" s="852"/>
      <c r="J2877" s="852"/>
      <c r="K2877" s="852"/>
      <c r="L2877" s="852" t="s">
        <v>1381</v>
      </c>
      <c r="M2877" s="1369">
        <v>1716</v>
      </c>
      <c r="N2877" s="852"/>
      <c r="O2877" s="1718">
        <f>'Configurable Tab'!I55</f>
        <v>754</v>
      </c>
      <c r="R2877" s="1720" t="s">
        <v>2200</v>
      </c>
      <c r="T2877" s="1720" t="str">
        <f t="shared" si="576"/>
        <v/>
      </c>
    </row>
    <row r="2878" spans="1:20" s="1718" customFormat="1" x14ac:dyDescent="0.25">
      <c r="A2878" s="872" t="s">
        <v>1382</v>
      </c>
      <c r="B2878" s="852" t="str">
        <f ca="1">_xlfn.CONCAT(IFERROR(SUBSTITUTE(ADDRESS(1,MATCH(A2878,INDIRECT("'"&amp;E2878&amp;"'"&amp;"!A" &amp; $O$2875+ 2 &amp; ":Z" &amp; $O$2875 + 2),0),4),1,""),""),$O$2875+ 2)</f>
        <v>N743</v>
      </c>
      <c r="C2878" s="852" t="str">
        <f ca="1">_xlfn.CONCAT(IFERROR(SUBSTITUTE(ADDRESS(1,MATCH(A2878,INDIRECT("'"&amp;E2878&amp;"'"&amp;"!A" &amp; $O$2875+ 2 &amp; ":Z" &amp; $O$2875 + 2),0),4),1,""),""),$O$2875+ 3)</f>
        <v>N744</v>
      </c>
      <c r="D2878" s="852" t="s">
        <v>1350</v>
      </c>
      <c r="E2878" s="852" t="s">
        <v>1516</v>
      </c>
      <c r="F2878" s="852" t="s">
        <v>1382</v>
      </c>
      <c r="G2878" s="1720" t="str">
        <f>IF(T2878&lt;&gt;"",IF(Q2877="Credit Memo","J",IF(Q2877="Check","K","")),"")</f>
        <v/>
      </c>
      <c r="H2878" s="1720" t="s">
        <v>1990</v>
      </c>
      <c r="I2878" s="852"/>
      <c r="J2878" s="852"/>
      <c r="K2878" s="852"/>
      <c r="L2878" s="852" t="s">
        <v>1382</v>
      </c>
      <c r="M2878" s="1369">
        <v>1717</v>
      </c>
      <c r="N2878" s="852"/>
      <c r="O2878" s="1718" t="s">
        <v>2209</v>
      </c>
      <c r="R2878" s="1720" t="s">
        <v>2200</v>
      </c>
      <c r="T2878" s="1720" t="str">
        <f t="shared" si="576"/>
        <v/>
      </c>
    </row>
    <row r="2879" spans="1:20" s="1718" customFormat="1" x14ac:dyDescent="0.25">
      <c r="A2879" s="872" t="s">
        <v>1385</v>
      </c>
      <c r="B2879" s="852" t="str">
        <f ca="1">IFERROR(_xlfn.CONCAT("C",MATCH(A2879,INDIRECT("'"&amp;E2879&amp;"'!C"&amp;$O$2875&amp;":C"&amp;$O$2877),0)+$O$2875-1),"")</f>
        <v>C747</v>
      </c>
      <c r="C2879" s="852" t="str">
        <f ca="1">IFERROR(_xlfn.CONCAT("D",MATCH(A2879,INDIRECT("'"&amp;E2879&amp;"'!C"&amp;$O$2875&amp;":C"&amp;$O$2877),0)+$O$2875-1),"")</f>
        <v>D747</v>
      </c>
      <c r="D2879" s="852" t="s">
        <v>1350</v>
      </c>
      <c r="E2879" s="852" t="s">
        <v>1516</v>
      </c>
      <c r="F2879" s="852" t="s">
        <v>1385</v>
      </c>
      <c r="G2879" s="1720" t="str">
        <f>IF(T2879&lt;&gt;"","C","")</f>
        <v/>
      </c>
      <c r="H2879" s="1720" t="s">
        <v>1990</v>
      </c>
      <c r="I2879" s="852"/>
      <c r="J2879" s="852"/>
      <c r="K2879" s="852"/>
      <c r="L2879" s="852" t="s">
        <v>1385</v>
      </c>
      <c r="M2879" s="1369">
        <v>1718</v>
      </c>
      <c r="N2879" s="852"/>
      <c r="R2879" s="1720" t="s">
        <v>2200</v>
      </c>
      <c r="T2879" s="1720" t="str">
        <f t="shared" si="576"/>
        <v/>
      </c>
    </row>
    <row r="2880" spans="1:20" s="1718" customFormat="1" x14ac:dyDescent="0.25">
      <c r="A2880" s="872" t="s">
        <v>1386</v>
      </c>
      <c r="B2880" s="852" t="str">
        <f ca="1">IFERROR(_xlfn.CONCAT("C",MATCH(A2880,INDIRECT("'"&amp;E2880&amp;"'!C"&amp;$O$2875&amp;":C"&amp;$O$2877),0)+$O$2875-1),"")</f>
        <v>C749</v>
      </c>
      <c r="C2880" s="852" t="str">
        <f ca="1">IFERROR(_xlfn.CONCAT("D",MATCH(A2880,INDIRECT("'"&amp;E2880&amp;"'!C"&amp;$O$2875&amp;":C"&amp;$O$2877),0)+$O$2875-1),"")</f>
        <v>D749</v>
      </c>
      <c r="D2880" s="852" t="s">
        <v>1350</v>
      </c>
      <c r="E2880" s="852" t="s">
        <v>1516</v>
      </c>
      <c r="F2880" s="852" t="s">
        <v>1386</v>
      </c>
      <c r="G2880" s="1720" t="str">
        <f>IF(T2880&lt;&gt;"","D","")</f>
        <v/>
      </c>
      <c r="H2880" s="1720" t="s">
        <v>1990</v>
      </c>
      <c r="I2880" s="852"/>
      <c r="J2880" s="852"/>
      <c r="K2880" s="852"/>
      <c r="L2880" s="852" t="s">
        <v>1386</v>
      </c>
      <c r="M2880" s="1369">
        <v>1719</v>
      </c>
      <c r="N2880" s="852"/>
      <c r="R2880" s="1720" t="s">
        <v>2200</v>
      </c>
      <c r="T2880" s="1720" t="str">
        <f t="shared" si="576"/>
        <v/>
      </c>
    </row>
    <row r="2881" spans="1:20" s="1718" customFormat="1" x14ac:dyDescent="0.25">
      <c r="A2881" s="872" t="s">
        <v>1396</v>
      </c>
      <c r="B2881" s="852" t="str">
        <f ca="1">_xlfn.CONCAT(IFERROR(SUBSTITUTE(ADDRESS(1,MATCH(A2881,INDIRECT("'"&amp;E2881&amp;"'"&amp;"!A" &amp; $O$2875+ 5 &amp; ":Z" &amp; $O$2875 + 5),0),4),1,""),""),$O$2875+ 5)</f>
        <v>H746</v>
      </c>
      <c r="C2881" s="852" t="str">
        <f ca="1">_xlfn.CONCAT(IFERROR(SUBSTITUTE(ADDRESS(1,MATCH(A2881,INDIRECT("'"&amp;E2881&amp;"'"&amp;"!A" &amp; $O$2875+ 5 &amp; ":Z" &amp; $O$2875 + 5),0),4),1,""),""),$O$2875+ 6)</f>
        <v>H747</v>
      </c>
      <c r="D2881" s="852" t="s">
        <v>1350</v>
      </c>
      <c r="E2881" s="852" t="s">
        <v>1516</v>
      </c>
      <c r="F2881" s="1720" t="s">
        <v>1396</v>
      </c>
      <c r="G2881" s="1720" t="str">
        <f>IF(T2881&lt;&gt;"","S","")</f>
        <v/>
      </c>
      <c r="H2881" s="1720" t="s">
        <v>1990</v>
      </c>
      <c r="I2881" s="852"/>
      <c r="J2881" s="852"/>
      <c r="K2881" s="852"/>
      <c r="L2881" s="852" t="s">
        <v>1396</v>
      </c>
      <c r="M2881" s="1369">
        <v>1720</v>
      </c>
      <c r="N2881" s="852"/>
      <c r="R2881" s="1720" t="s">
        <v>2200</v>
      </c>
      <c r="T2881" s="1720" t="str">
        <f t="shared" si="576"/>
        <v/>
      </c>
    </row>
    <row r="2882" spans="1:20" s="1718" customFormat="1" x14ac:dyDescent="0.25">
      <c r="A2882" s="872" t="s">
        <v>2005</v>
      </c>
      <c r="B2882" s="852" t="str">
        <f ca="1">_xlfn.CONCAT(IFERROR(SUBSTITUTE(ADDRESS(1,MATCH(A2882,INDIRECT("'"&amp;E2882&amp;"'"&amp;"!A" &amp; $O$2875+ 8 &amp; ":Z" &amp; $O$2875 + 8),0),4),1,""),""),$O$2875 + 8)</f>
        <v>J749</v>
      </c>
      <c r="C2882" s="852" t="str">
        <f ca="1">_xlfn.CONCAT(IFERROR(SUBSTITUTE(ADDRESS(1,MATCH(A2882,INDIRECT("'"&amp;E2882&amp;"'"&amp;"!A" &amp; $O$2875+ 8 &amp; ":Z" &amp; $O$2875 + 8),0),4),1,""),""),$O$2875 + 9)</f>
        <v>J750</v>
      </c>
      <c r="D2882" s="852" t="s">
        <v>1350</v>
      </c>
      <c r="E2882" s="852" t="s">
        <v>1516</v>
      </c>
      <c r="F2882" s="852" t="s">
        <v>2005</v>
      </c>
      <c r="G2882" s="1720" t="str">
        <f>IF(T2882&lt;&gt;"","AQ","")</f>
        <v/>
      </c>
      <c r="H2882" s="1720" t="s">
        <v>1990</v>
      </c>
      <c r="I2882" s="852"/>
      <c r="J2882" s="852"/>
      <c r="K2882" s="852"/>
      <c r="L2882" s="852" t="s">
        <v>2005</v>
      </c>
      <c r="M2882" s="1369">
        <v>1721</v>
      </c>
      <c r="N2882" s="852"/>
      <c r="R2882" s="1720" t="s">
        <v>2200</v>
      </c>
      <c r="T2882" s="1720" t="str">
        <f t="shared" si="576"/>
        <v/>
      </c>
    </row>
    <row r="2883" spans="1:20" s="1718" customFormat="1" x14ac:dyDescent="0.25">
      <c r="A2883" s="872" t="s">
        <v>1482</v>
      </c>
      <c r="B2883" s="852" t="str">
        <f ca="1">_xlfn.CONCAT(IFERROR(SUBSTITUTE(ADDRESS(1,MATCH(A2883,INDIRECT("'"&amp;E2883&amp;"'"&amp;"!A" &amp; $O$2875+ 8 &amp; ":Z" &amp; $O$2875 + 8),0),4),1,""),""),$O$2875 + 8)</f>
        <v>N749</v>
      </c>
      <c r="C2883" s="852" t="str">
        <f ca="1">_xlfn.CONCAT(IFERROR(SUBSTITUTE(ADDRESS(1,MATCH(A2883,INDIRECT("'"&amp;E2883&amp;"'"&amp;"!A" &amp; $O$2875+ 8 &amp; ":Z" &amp; $O$2875 + 8),0),4),1,""),""),$O$2875 + 9)</f>
        <v>N750</v>
      </c>
      <c r="D2883" s="852" t="s">
        <v>1350</v>
      </c>
      <c r="E2883" s="852" t="s">
        <v>1516</v>
      </c>
      <c r="F2883" s="852" t="s">
        <v>2054</v>
      </c>
      <c r="G2883" s="1720" t="str">
        <f>IF(T2883&lt;&gt;"","AA","")</f>
        <v/>
      </c>
      <c r="H2883" s="1720" t="s">
        <v>1990</v>
      </c>
      <c r="I2883" s="852"/>
      <c r="J2883" s="852"/>
      <c r="K2883" s="852"/>
      <c r="L2883" s="852" t="s">
        <v>2006</v>
      </c>
      <c r="M2883" s="1369">
        <v>1722</v>
      </c>
      <c r="N2883" s="852"/>
      <c r="R2883" s="1720" t="s">
        <v>2200</v>
      </c>
      <c r="T2883" s="1720" t="str">
        <f t="shared" si="576"/>
        <v/>
      </c>
    </row>
    <row r="2884" spans="1:20" s="1718" customFormat="1" x14ac:dyDescent="0.25">
      <c r="A2884" s="872" t="s">
        <v>1397</v>
      </c>
      <c r="B2884" s="852" t="str">
        <f ca="1">_xlfn.CONCAT(IFERROR(SUBSTITUTE(ADDRESS(1,MATCH(A2884,INDIRECT("'"&amp;E2884&amp;"'"&amp;"!A" &amp; $O$2875+ 2 &amp; ":Z" &amp; $O$2875 + 2),0),4),1,""),""),$O$2875 + 2)</f>
        <v>L743</v>
      </c>
      <c r="C2884" s="852" t="str">
        <f ca="1">_xlfn.CONCAT(IFERROR(SUBSTITUTE(ADDRESS(1,MATCH(A2884,INDIRECT("'"&amp;E2884&amp;"'"&amp;"!A" &amp; $O$2875+ 2 &amp; ":Z" &amp; $O$2875 + 2),0),4),1,""),""),$O$2875 + 3)</f>
        <v>L744</v>
      </c>
      <c r="D2884" s="852" t="s">
        <v>1350</v>
      </c>
      <c r="E2884" s="852" t="s">
        <v>1516</v>
      </c>
      <c r="F2884" s="852" t="s">
        <v>1993</v>
      </c>
      <c r="G2884" s="1720" t="str">
        <f>IF(T2884&lt;&gt;"","H","")</f>
        <v/>
      </c>
      <c r="H2884" s="1720" t="s">
        <v>1990</v>
      </c>
      <c r="I2884" s="852"/>
      <c r="J2884" s="852"/>
      <c r="K2884" s="852"/>
      <c r="L2884" s="852" t="s">
        <v>1397</v>
      </c>
      <c r="M2884" s="1369">
        <v>1723</v>
      </c>
      <c r="N2884" s="852"/>
      <c r="R2884" s="1720" t="s">
        <v>2200</v>
      </c>
      <c r="T2884" s="1720" t="str">
        <f t="shared" si="576"/>
        <v/>
      </c>
    </row>
    <row r="2885" spans="1:20" s="1718" customFormat="1" x14ac:dyDescent="0.25">
      <c r="A2885" s="872" t="s">
        <v>1705</v>
      </c>
      <c r="B2885" s="1307" t="str">
        <f>IFERROR(_xlfn.CONCAT("D",('Configurable Tab'!$C$23+1)),"")</f>
        <v>D226</v>
      </c>
      <c r="C2885" s="1307" t="str">
        <f>IFERROR(_xlfn.CONCAT("E",('Configurable Tab'!$C$23+1)),"")</f>
        <v>E226</v>
      </c>
      <c r="D2885" s="852" t="s">
        <v>1350</v>
      </c>
      <c r="E2885" s="852" t="s">
        <v>1742</v>
      </c>
      <c r="F2885" s="1720"/>
      <c r="G2885" s="1720"/>
      <c r="H2885" s="1720"/>
      <c r="I2885" s="1307" t="str">
        <f t="shared" ref="I2885:I2895" si="577">IF(J2885&lt;&gt;"",A2885,"")</f>
        <v/>
      </c>
      <c r="J2885" s="1720" t="str">
        <f t="shared" ref="J2885:J2894" si="578">IFERROR(IF($Q$2875="Yes",Q$1&amp;M2875,""),"")</f>
        <v/>
      </c>
      <c r="K2885" s="1720" t="str">
        <f t="shared" ref="K2885:K2895" si="579">IF(J2885&lt;&gt;"",E2885,"")</f>
        <v/>
      </c>
      <c r="M2885" s="1719"/>
      <c r="Q2885" s="1307" t="str">
        <f>IFERROR(_xlfn.CONCAT("C",('Configurable Tab'!$C40+1)),"")</f>
        <v>C413</v>
      </c>
      <c r="R2885" s="1720" t="s">
        <v>2200</v>
      </c>
    </row>
    <row r="2886" spans="1:20" s="1718" customFormat="1" x14ac:dyDescent="0.25">
      <c r="A2886" s="872" t="s">
        <v>1383</v>
      </c>
      <c r="B2886" s="1307" t="str">
        <f>IFERROR(_xlfn.CONCAT("D",('Configurable Tab'!$C$23+2)),"")</f>
        <v>D227</v>
      </c>
      <c r="C2886" s="1307" t="str">
        <f>IFERROR(_xlfn.CONCAT("E",('Configurable Tab'!$C$23+2)),"")</f>
        <v>E227</v>
      </c>
      <c r="D2886" s="852" t="s">
        <v>1350</v>
      </c>
      <c r="E2886" s="852" t="s">
        <v>1742</v>
      </c>
      <c r="F2886" s="1720"/>
      <c r="G2886" s="1720"/>
      <c r="H2886" s="1720"/>
      <c r="I2886" s="1307" t="str">
        <f t="shared" si="577"/>
        <v/>
      </c>
      <c r="J2886" s="1720" t="str">
        <f t="shared" si="578"/>
        <v/>
      </c>
      <c r="K2886" s="1720" t="str">
        <f t="shared" si="579"/>
        <v/>
      </c>
      <c r="M2886" s="1719"/>
      <c r="R2886" s="1720" t="s">
        <v>2200</v>
      </c>
    </row>
    <row r="2887" spans="1:20" s="1718" customFormat="1" x14ac:dyDescent="0.25">
      <c r="A2887" s="872" t="s">
        <v>1381</v>
      </c>
      <c r="B2887" s="1307" t="str">
        <f>IFERROR(_xlfn.CONCAT("I",('Configurable Tab'!$C$23+1)),"")</f>
        <v>I226</v>
      </c>
      <c r="C2887" s="1307" t="str">
        <f>IFERROR(_xlfn.CONCAT("I",('Configurable Tab'!$C$23+2)),"")</f>
        <v>I227</v>
      </c>
      <c r="D2887" s="852" t="s">
        <v>1350</v>
      </c>
      <c r="E2887" s="852" t="s">
        <v>1742</v>
      </c>
      <c r="F2887" s="1720"/>
      <c r="G2887" s="1720"/>
      <c r="H2887" s="1720"/>
      <c r="I2887" s="1307" t="str">
        <f t="shared" si="577"/>
        <v/>
      </c>
      <c r="J2887" s="1720" t="str">
        <f t="shared" si="578"/>
        <v/>
      </c>
      <c r="K2887" s="1720" t="str">
        <f t="shared" si="579"/>
        <v/>
      </c>
      <c r="M2887" s="1719"/>
      <c r="R2887" s="1720" t="s">
        <v>2200</v>
      </c>
    </row>
    <row r="2888" spans="1:20" s="1718" customFormat="1" x14ac:dyDescent="0.25">
      <c r="A2888" s="872" t="s">
        <v>1382</v>
      </c>
      <c r="B2888" s="1307" t="str">
        <f>IFERROR(_xlfn.CONCAT("M",('Configurable Tab'!$C$23+1)),"")</f>
        <v>M226</v>
      </c>
      <c r="C2888" s="1307" t="str">
        <f>IFERROR(_xlfn.CONCAT("M",('Configurable Tab'!$C$23+2)),"")</f>
        <v>M227</v>
      </c>
      <c r="D2888" s="852" t="s">
        <v>1350</v>
      </c>
      <c r="E2888" s="852" t="s">
        <v>1742</v>
      </c>
      <c r="F2888" s="1720"/>
      <c r="G2888" s="1720"/>
      <c r="H2888" s="1720"/>
      <c r="I2888" s="1307" t="str">
        <f t="shared" si="577"/>
        <v/>
      </c>
      <c r="J2888" s="1720" t="str">
        <f t="shared" si="578"/>
        <v/>
      </c>
      <c r="K2888" s="1720" t="str">
        <f t="shared" si="579"/>
        <v/>
      </c>
      <c r="M2888" s="1719"/>
      <c r="R2888" s="1720" t="s">
        <v>2200</v>
      </c>
    </row>
    <row r="2889" spans="1:20" s="1718" customFormat="1" x14ac:dyDescent="0.25">
      <c r="A2889" s="872" t="s">
        <v>1385</v>
      </c>
      <c r="B2889" s="1307" t="str">
        <f>IFERROR(_xlfn.CONCAT("D",('Configurable Tab'!$C$23+4)),"")</f>
        <v>D229</v>
      </c>
      <c r="C2889" s="1307" t="str">
        <f>IFERROR(_xlfn.CONCAT("E",('Configurable Tab'!$C$23+4)),"")</f>
        <v>E229</v>
      </c>
      <c r="D2889" s="852" t="s">
        <v>1350</v>
      </c>
      <c r="E2889" s="852" t="s">
        <v>1742</v>
      </c>
      <c r="F2889" s="1720"/>
      <c r="G2889" s="1720"/>
      <c r="H2889" s="1720"/>
      <c r="I2889" s="1307" t="str">
        <f t="shared" si="577"/>
        <v/>
      </c>
      <c r="J2889" s="1720" t="str">
        <f t="shared" si="578"/>
        <v/>
      </c>
      <c r="K2889" s="1720" t="str">
        <f t="shared" si="579"/>
        <v/>
      </c>
      <c r="M2889" s="1719"/>
      <c r="R2889" s="1720" t="s">
        <v>2200</v>
      </c>
    </row>
    <row r="2890" spans="1:20" s="1718" customFormat="1" x14ac:dyDescent="0.25">
      <c r="A2890" s="872" t="s">
        <v>1386</v>
      </c>
      <c r="B2890" s="1307" t="str">
        <f>IFERROR(_xlfn.CONCAT("D",('Configurable Tab'!$C$23+5)),"")</f>
        <v>D230</v>
      </c>
      <c r="C2890" s="1307" t="str">
        <f>IFERROR(_xlfn.CONCAT("E",('Configurable Tab'!$C$23+5)),"")</f>
        <v>E230</v>
      </c>
      <c r="D2890" s="852" t="s">
        <v>1350</v>
      </c>
      <c r="E2890" s="852" t="s">
        <v>1742</v>
      </c>
      <c r="F2890" s="1720"/>
      <c r="G2890" s="1720"/>
      <c r="H2890" s="1720"/>
      <c r="I2890" s="1307" t="str">
        <f t="shared" si="577"/>
        <v/>
      </c>
      <c r="J2890" s="1720" t="str">
        <f t="shared" si="578"/>
        <v/>
      </c>
      <c r="K2890" s="1720" t="str">
        <f t="shared" si="579"/>
        <v/>
      </c>
      <c r="M2890" s="1719"/>
      <c r="R2890" s="1720" t="s">
        <v>2200</v>
      </c>
    </row>
    <row r="2891" spans="1:20" s="1718" customFormat="1" x14ac:dyDescent="0.25">
      <c r="A2891" s="872" t="s">
        <v>1396</v>
      </c>
      <c r="B2891" s="1307" t="str">
        <f>IFERROR(_xlfn.CONCAT("G",('Configurable Tab'!$C$23+7)),"")</f>
        <v>G232</v>
      </c>
      <c r="C2891" s="1307" t="str">
        <f>IFERROR(_xlfn.CONCAT("G",('Configurable Tab'!$C$23+8)),"")</f>
        <v>G233</v>
      </c>
      <c r="D2891" s="852" t="s">
        <v>1350</v>
      </c>
      <c r="E2891" s="852" t="s">
        <v>1742</v>
      </c>
      <c r="F2891" s="1720"/>
      <c r="G2891" s="1720"/>
      <c r="H2891" s="1720"/>
      <c r="I2891" s="1307" t="str">
        <f t="shared" si="577"/>
        <v/>
      </c>
      <c r="J2891" s="1720" t="str">
        <f t="shared" si="578"/>
        <v/>
      </c>
      <c r="K2891" s="1720" t="str">
        <f t="shared" si="579"/>
        <v/>
      </c>
      <c r="M2891" s="1719"/>
      <c r="R2891" s="1720" t="s">
        <v>2200</v>
      </c>
    </row>
    <row r="2892" spans="1:20" s="1718" customFormat="1" x14ac:dyDescent="0.25">
      <c r="A2892" s="872" t="s">
        <v>2005</v>
      </c>
      <c r="B2892" s="1307" t="str">
        <f>IFERROR(_xlfn.CONCAT("G",('Configurable Tab'!$C$23+7)),"")</f>
        <v>G232</v>
      </c>
      <c r="C2892" s="1307" t="str">
        <f>IFERROR(_xlfn.CONCAT("G",('Configurable Tab'!$C$23+8)),"")</f>
        <v>G233</v>
      </c>
      <c r="D2892" s="852" t="s">
        <v>1350</v>
      </c>
      <c r="E2892" s="852" t="s">
        <v>1742</v>
      </c>
      <c r="F2892" s="1720"/>
      <c r="G2892" s="1720"/>
      <c r="H2892" s="1720"/>
      <c r="I2892" s="1307" t="str">
        <f t="shared" si="577"/>
        <v/>
      </c>
      <c r="J2892" s="1720" t="str">
        <f t="shared" si="578"/>
        <v/>
      </c>
      <c r="K2892" s="1720" t="str">
        <f t="shared" si="579"/>
        <v/>
      </c>
      <c r="M2892" s="1719"/>
      <c r="R2892" s="1720" t="s">
        <v>2200</v>
      </c>
    </row>
    <row r="2893" spans="1:20" s="1718" customFormat="1" x14ac:dyDescent="0.25">
      <c r="A2893" s="872" t="s">
        <v>1482</v>
      </c>
      <c r="B2893" s="1307" t="str">
        <f>IFERROR(_xlfn.CONCAT("K",('Configurable Tab'!$C$23+7)),"")</f>
        <v>K232</v>
      </c>
      <c r="C2893" s="1307" t="str">
        <f>IFERROR(_xlfn.CONCAT("K",('Configurable Tab'!$C$23+8)),"")</f>
        <v>K233</v>
      </c>
      <c r="D2893" s="852" t="s">
        <v>1350</v>
      </c>
      <c r="E2893" s="852" t="s">
        <v>1742</v>
      </c>
      <c r="F2893" s="1720"/>
      <c r="G2893" s="1720"/>
      <c r="H2893" s="1720"/>
      <c r="I2893" s="1307" t="str">
        <f t="shared" si="577"/>
        <v/>
      </c>
      <c r="J2893" s="1720" t="str">
        <f t="shared" si="578"/>
        <v/>
      </c>
      <c r="K2893" s="1720" t="str">
        <f t="shared" si="579"/>
        <v/>
      </c>
      <c r="M2893" s="1719"/>
      <c r="R2893" s="1720" t="s">
        <v>2200</v>
      </c>
    </row>
    <row r="2894" spans="1:20" s="1718" customFormat="1" x14ac:dyDescent="0.25">
      <c r="A2894" s="872" t="s">
        <v>1397</v>
      </c>
      <c r="B2894" s="1307" t="str">
        <f>IFERROR(_xlfn.CONCAT("K",('Configurable Tab'!$C$23+1)),"")</f>
        <v>K226</v>
      </c>
      <c r="C2894" s="1307" t="str">
        <f>IFERROR(_xlfn.CONCAT("K",('Configurable Tab'!$C$23+2)),"")</f>
        <v>K227</v>
      </c>
      <c r="D2894" s="852" t="s">
        <v>1350</v>
      </c>
      <c r="E2894" s="852" t="s">
        <v>1742</v>
      </c>
      <c r="F2894" s="1720"/>
      <c r="G2894" s="1720"/>
      <c r="H2894" s="1720"/>
      <c r="I2894" s="1307" t="str">
        <f t="shared" si="577"/>
        <v/>
      </c>
      <c r="J2894" s="1720" t="str">
        <f t="shared" si="578"/>
        <v/>
      </c>
      <c r="K2894" s="1720" t="str">
        <f t="shared" si="579"/>
        <v/>
      </c>
      <c r="M2894" s="1719"/>
      <c r="R2894" s="1720" t="s">
        <v>2200</v>
      </c>
    </row>
    <row r="2895" spans="1:20" s="1718" customFormat="1" x14ac:dyDescent="0.25">
      <c r="A2895" s="872" t="s">
        <v>1496</v>
      </c>
      <c r="B2895" s="852" t="str">
        <f ca="1">IFERROR(_xlfn.CONCAT("C",MATCH(A2895,INDIRECT("'"&amp;E2895&amp;"'!C"&amp;$O$2875&amp;":C"&amp;$O$2877),0)+$O$2875-1),"")</f>
        <v>C753</v>
      </c>
      <c r="C2895" s="852" t="str">
        <f ca="1">IFERROR(_xlfn.CONCAT("D",MATCH(A2895,INDIRECT("'"&amp;E2895&amp;"'!C"&amp;$O$2875&amp;":C"&amp;$O$2877),0)+$O$2875-1),"")</f>
        <v>D753</v>
      </c>
      <c r="D2895" s="852" t="s">
        <v>1350</v>
      </c>
      <c r="E2895" s="852" t="s">
        <v>1516</v>
      </c>
      <c r="F2895" s="1720" t="s">
        <v>1496</v>
      </c>
      <c r="G2895" s="1720" t="str">
        <f t="shared" ref="G2895" si="580">IF(T2895&lt;&gt;"","AS","")</f>
        <v/>
      </c>
      <c r="H2895" s="1720" t="s">
        <v>1990</v>
      </c>
      <c r="I2895" s="1307" t="str">
        <f t="shared" si="577"/>
        <v/>
      </c>
      <c r="J2895" s="1720"/>
      <c r="K2895" s="1720" t="str">
        <f t="shared" si="579"/>
        <v/>
      </c>
      <c r="L2895" s="852"/>
      <c r="M2895" s="1721"/>
      <c r="N2895" s="1720"/>
      <c r="R2895" s="1720" t="s">
        <v>2200</v>
      </c>
      <c r="T2895" s="1720" t="str">
        <f t="shared" ref="T2895:T2903" si="581">IF(Q$2875="Yes",52,"")</f>
        <v/>
      </c>
    </row>
    <row r="2896" spans="1:20" s="1718" customFormat="1" x14ac:dyDescent="0.25">
      <c r="A2896" s="873" t="s">
        <v>1495</v>
      </c>
      <c r="B2896" s="852" t="str">
        <f ca="1">IFERROR(_xlfn.CONCAT("C",MATCH(A2896,INDIRECT("'"&amp;E2896&amp;"'!C"&amp;$O$2875&amp;":C"&amp;$O$2877),0)+$O$2875-1),"")</f>
        <v>C751</v>
      </c>
      <c r="C2896" s="852" t="str">
        <f ca="1">IFERROR(_xlfn.CONCAT("D",MATCH(A2896,INDIRECT("'"&amp;E2896&amp;"'!C"&amp;$O$2875&amp;":C"&amp;$O$2877),0)+$O$2875-1),"")</f>
        <v>D751</v>
      </c>
      <c r="D2896" s="852" t="s">
        <v>1350</v>
      </c>
      <c r="E2896" s="852" t="s">
        <v>1516</v>
      </c>
      <c r="F2896" s="1720" t="s">
        <v>1495</v>
      </c>
      <c r="G2896" s="1720" t="str">
        <f>IF(T2896&lt;&gt;"","AN","")</f>
        <v/>
      </c>
      <c r="H2896" s="1720" t="s">
        <v>1990</v>
      </c>
      <c r="I2896" s="1307"/>
      <c r="J2896" s="1720"/>
      <c r="K2896" s="1720"/>
      <c r="L2896" s="852"/>
      <c r="M2896" s="1721"/>
      <c r="N2896" s="1720"/>
      <c r="O2896" s="1606"/>
      <c r="P2896" s="625"/>
      <c r="Q2896" s="625"/>
      <c r="R2896" s="1720" t="s">
        <v>2200</v>
      </c>
      <c r="T2896" s="1720" t="str">
        <f t="shared" si="581"/>
        <v/>
      </c>
    </row>
    <row r="2897" spans="1:20" s="1718" customFormat="1" x14ac:dyDescent="0.25">
      <c r="A2897" s="873" t="s">
        <v>1492</v>
      </c>
      <c r="B2897" s="852" t="str">
        <f ca="1">_xlfn.CONCAT(IFERROR(SUBSTITUTE(ADDRESS(1,MATCH(A2897,INDIRECT("'"&amp;E2897&amp;"'"&amp;"!A" &amp; $O$2875+ 8 &amp; ":Z" &amp; $O$2875 + 8),0),4),1,""),""),$O$2875 + 8)</f>
        <v>H749</v>
      </c>
      <c r="C2897" s="852" t="str">
        <f ca="1">_xlfn.CONCAT(IFERROR(SUBSTITUTE(ADDRESS(1,MATCH(A2897,INDIRECT("'"&amp;E2897&amp;"'"&amp;"!A" &amp; $O$2875+ 8 &amp; ":Z" &amp; $O$2875 + 8),0),4),1,""),""),$O$2875 + 9)</f>
        <v>H750</v>
      </c>
      <c r="D2897" s="852" t="s">
        <v>1350</v>
      </c>
      <c r="E2897" s="852" t="s">
        <v>1516</v>
      </c>
      <c r="F2897" s="1720" t="s">
        <v>1492</v>
      </c>
      <c r="G2897" s="1720" t="str">
        <f>IF(T2897&lt;&gt;"","AL","")</f>
        <v/>
      </c>
      <c r="H2897" s="1720" t="s">
        <v>1990</v>
      </c>
      <c r="I2897" s="1307"/>
      <c r="J2897" s="1720"/>
      <c r="K2897" s="1720"/>
      <c r="L2897" s="852"/>
      <c r="M2897" s="1721"/>
      <c r="N2897" s="1720"/>
      <c r="O2897" s="625"/>
      <c r="P2897" s="625"/>
      <c r="Q2897" s="625"/>
      <c r="R2897" s="1720" t="s">
        <v>2200</v>
      </c>
      <c r="T2897" s="1720" t="str">
        <f t="shared" si="581"/>
        <v/>
      </c>
    </row>
    <row r="2898" spans="1:20" s="1718" customFormat="1" x14ac:dyDescent="0.25">
      <c r="A2898" s="873" t="s">
        <v>1380</v>
      </c>
      <c r="B2898" s="852" t="str">
        <f ca="1">_xlfn.CONCAT(IFERROR(SUBSTITUTE(ADDRESS(1,MATCH(A2898,INDIRECT("'"&amp;E2898&amp;"'"&amp;"!A" &amp; $O$2875+ 2 &amp; ":Z" &amp; $O$2875 + 2),0),4),1,""),""),$O$2875+ 2)</f>
        <v>H743</v>
      </c>
      <c r="C2898" s="852" t="str">
        <f ca="1">_xlfn.CONCAT(IFERROR(SUBSTITUTE(ADDRESS(1,MATCH(A2898,INDIRECT("'"&amp;E2898&amp;"'"&amp;"!A" &amp; $O$2875+ 2 &amp; ":Z" &amp; $O$2875 + 2),0),4),1,""),""),$O$2875+ 3)</f>
        <v>H744</v>
      </c>
      <c r="D2898" s="852" t="s">
        <v>1350</v>
      </c>
      <c r="E2898" s="852" t="s">
        <v>1516</v>
      </c>
      <c r="F2898" s="1720" t="s">
        <v>1991</v>
      </c>
      <c r="G2898" s="1720" t="str">
        <f>IF(T2898&lt;&gt;"","E","")</f>
        <v/>
      </c>
      <c r="H2898" s="1720" t="s">
        <v>1990</v>
      </c>
      <c r="I2898" s="1307"/>
      <c r="J2898" s="1720"/>
      <c r="K2898" s="1720"/>
      <c r="L2898" s="852"/>
      <c r="M2898" s="1721"/>
      <c r="N2898" s="1720"/>
      <c r="O2898" s="625"/>
      <c r="P2898" s="625"/>
      <c r="Q2898" s="625"/>
      <c r="R2898" s="1720" t="s">
        <v>2200</v>
      </c>
      <c r="T2898" s="1720" t="str">
        <f t="shared" si="581"/>
        <v/>
      </c>
    </row>
    <row r="2899" spans="1:20" s="1718" customFormat="1" x14ac:dyDescent="0.25">
      <c r="A2899" s="873" t="s">
        <v>1487</v>
      </c>
      <c r="B2899" s="852" t="str">
        <f ca="1">_xlfn.CONCAT(IFERROR(SUBSTITUTE(ADDRESS(1,MATCH(A2899,INDIRECT("'"&amp;E2899&amp;"'"&amp;"!A" &amp; $O$2875+ 2 &amp; ":Z" &amp; $O$2875 + 2),0),4),1,""),""),$O$2875+ 2)</f>
        <v>R743</v>
      </c>
      <c r="C2899" s="852" t="str">
        <f ca="1">_xlfn.CONCAT(IFERROR(SUBSTITUTE(ADDRESS(1,MATCH(A2899,INDIRECT("'"&amp;E2899&amp;"'"&amp;"!A" &amp; $O$2875+ 2 &amp; ":Z" &amp; $O$2875 + 2),0),4),1,""),""),$O$2875+ 3)</f>
        <v>R744</v>
      </c>
      <c r="D2899" s="852" t="s">
        <v>1350</v>
      </c>
      <c r="E2899" s="852" t="s">
        <v>1516</v>
      </c>
      <c r="F2899" s="1720" t="s">
        <v>1995</v>
      </c>
      <c r="G2899" s="1720" t="str">
        <f>IF(T2899&lt;&gt;"","G","")</f>
        <v/>
      </c>
      <c r="H2899" s="1720" t="s">
        <v>1990</v>
      </c>
      <c r="I2899" s="1307"/>
      <c r="J2899" s="1720"/>
      <c r="K2899" s="1720"/>
      <c r="L2899" s="852"/>
      <c r="M2899" s="1721"/>
      <c r="N2899" s="1720"/>
      <c r="O2899" s="625"/>
      <c r="P2899" s="625"/>
      <c r="Q2899" s="625"/>
      <c r="R2899" s="1720" t="s">
        <v>2200</v>
      </c>
      <c r="T2899" s="1720" t="str">
        <f t="shared" si="581"/>
        <v/>
      </c>
    </row>
    <row r="2900" spans="1:20" s="1718" customFormat="1" x14ac:dyDescent="0.25">
      <c r="A2900" s="873" t="s">
        <v>1488</v>
      </c>
      <c r="B2900" s="852" t="str">
        <f ca="1">_xlfn.CONCAT(IFERROR(SUBSTITUTE(ADDRESS(1,MATCH(A2900,INDIRECT("'"&amp;E2900&amp;"'"&amp;"!A" &amp; $O$2875+ 2 &amp; ":Z" &amp; $O$2875 + 2),0),4),1,""),""),$O$2875+ 2)</f>
        <v>T743</v>
      </c>
      <c r="C2900" s="852" t="str">
        <f ca="1">_xlfn.CONCAT(IFERROR(SUBSTITUTE(ADDRESS(1,MATCH(A2900,INDIRECT("'"&amp;E2900&amp;"'"&amp;"!A" &amp; $O$2875+ 2 &amp; ":Z" &amp; $O$2875 + 2),0),4),1,""),""),$O$2875+ 3)</f>
        <v>T744</v>
      </c>
      <c r="D2900" s="852" t="s">
        <v>1350</v>
      </c>
      <c r="E2900" s="852" t="s">
        <v>1516</v>
      </c>
      <c r="F2900" s="867" t="s">
        <v>1488</v>
      </c>
      <c r="G2900" s="1720" t="str">
        <f>IF(T2900&lt;&gt;"","AW","")</f>
        <v/>
      </c>
      <c r="H2900" s="1720" t="s">
        <v>1990</v>
      </c>
      <c r="I2900" s="1307"/>
      <c r="J2900" s="1720"/>
      <c r="K2900" s="1720"/>
      <c r="L2900" s="852"/>
      <c r="M2900" s="1721"/>
      <c r="N2900" s="1720"/>
      <c r="O2900" s="625"/>
      <c r="P2900" s="625"/>
      <c r="Q2900" s="625"/>
      <c r="R2900" s="1720" t="s">
        <v>2200</v>
      </c>
      <c r="T2900" s="1720" t="str">
        <f t="shared" si="581"/>
        <v/>
      </c>
    </row>
    <row r="2901" spans="1:20" s="1718" customFormat="1" x14ac:dyDescent="0.25">
      <c r="A2901" s="873" t="s">
        <v>1603</v>
      </c>
      <c r="B2901" s="852" t="str">
        <f ca="1">_xlfn.CONCAT(IFERROR(SUBSTITUTE(ADDRESS(1,MATCH(A2901,INDIRECT("'"&amp;E2901&amp;"'"&amp;"!A" &amp; $O$2875+ 5 &amp; ":Z" &amp; $O$2875 + 5),0),4),1,""),""),$O$2875+ 5)</f>
        <v>R746</v>
      </c>
      <c r="C2901" s="852" t="str">
        <f ca="1">_xlfn.CONCAT(IFERROR(SUBSTITUTE(ADDRESS(1,MATCH(A2901,INDIRECT("'"&amp;E2901&amp;"'"&amp;"!A" &amp; $O$2875+ 5 &amp; ":Z" &amp; $O$2875 + 5),0),4),1,""),""),$O$2875+ 6)</f>
        <v>R747</v>
      </c>
      <c r="D2901" s="852" t="s">
        <v>1350</v>
      </c>
      <c r="E2901" s="852" t="s">
        <v>1516</v>
      </c>
      <c r="F2901" s="1720" t="s">
        <v>1999</v>
      </c>
      <c r="G2901" s="1720" t="str">
        <f t="shared" ref="G2901" si="582">IF(T2901&lt;&gt;"","AB","")</f>
        <v/>
      </c>
      <c r="H2901" s="1720" t="s">
        <v>1990</v>
      </c>
      <c r="I2901" s="1307"/>
      <c r="J2901" s="1720"/>
      <c r="K2901" s="1720"/>
      <c r="L2901" s="852"/>
      <c r="M2901" s="1721"/>
      <c r="N2901" s="1720"/>
      <c r="O2901" s="625"/>
      <c r="P2901" s="625"/>
      <c r="Q2901" s="625"/>
      <c r="R2901" s="1720" t="s">
        <v>2200</v>
      </c>
      <c r="T2901" s="1720" t="str">
        <f t="shared" si="581"/>
        <v/>
      </c>
    </row>
    <row r="2902" spans="1:20" s="1718" customFormat="1" x14ac:dyDescent="0.25">
      <c r="A2902" s="873" t="s">
        <v>1604</v>
      </c>
      <c r="B2902" s="852" t="str">
        <f ca="1">_xlfn.CONCAT(IFERROR(SUBSTITUTE(ADDRESS(1,MATCH(A2902,INDIRECT("'"&amp;E2902&amp;"'"&amp;"!A" &amp; $O$2875+ 5 &amp; ":Z" &amp; $O$2875 + 5),0),4),1,""),""),$O$2875+ 5)</f>
        <v>T746</v>
      </c>
      <c r="C2902" s="852" t="str">
        <f ca="1">_xlfn.CONCAT(IFERROR(SUBSTITUTE(ADDRESS(1,MATCH(A2902,INDIRECT("'"&amp;E2902&amp;"'"&amp;"!A" &amp; $O$2875+ 5 &amp; ":Z" &amp; $O$2875 + 5),0),4),1,""),""),$O$2875+ 6)</f>
        <v>T747</v>
      </c>
      <c r="D2902" s="852" t="s">
        <v>1350</v>
      </c>
      <c r="E2902" s="852" t="s">
        <v>1516</v>
      </c>
      <c r="F2902" s="1720" t="s">
        <v>1604</v>
      </c>
      <c r="G2902" s="1720" t="str">
        <f t="shared" ref="G2902" si="583">IF(T2902&lt;&gt;"","AP","")</f>
        <v/>
      </c>
      <c r="H2902" s="1720" t="s">
        <v>1990</v>
      </c>
      <c r="I2902" s="1307"/>
      <c r="J2902" s="1720"/>
      <c r="K2902" s="1720"/>
      <c r="L2902" s="852"/>
      <c r="M2902" s="1721"/>
      <c r="N2902" s="1720"/>
      <c r="O2902" s="625"/>
      <c r="P2902" s="625"/>
      <c r="Q2902" s="625"/>
      <c r="R2902" s="1720" t="s">
        <v>2200</v>
      </c>
      <c r="T2902" s="1720" t="str">
        <f t="shared" si="581"/>
        <v/>
      </c>
    </row>
    <row r="2903" spans="1:20" s="1718" customFormat="1" x14ac:dyDescent="0.25">
      <c r="A2903" s="873" t="s">
        <v>2135</v>
      </c>
      <c r="B2903" s="852" t="str">
        <f ca="1">_xlfn.CONCAT(IFERROR(SUBSTITUTE(ADDRESS(1,MATCH(A2903,INDIRECT("'"&amp;E2903&amp;"'"&amp;"!A" &amp; $O$2875+ 8 &amp; ":Z" &amp; $O$2875 + 8),0),4),1,""),""),$O$2875 + 8)</f>
        <v>L749</v>
      </c>
      <c r="C2903" s="852" t="str">
        <f ca="1">_xlfn.CONCAT(IFERROR(SUBSTITUTE(ADDRESS(1,MATCH(A2903,INDIRECT("'"&amp;E2903&amp;"'"&amp;"!A" &amp; $O$2875+ 8 &amp; ":Z" &amp; $O$2875 + 8),0),4),1,""),""),$O$2875 + 9)</f>
        <v>L750</v>
      </c>
      <c r="D2903" s="852" t="s">
        <v>1350</v>
      </c>
      <c r="E2903" s="852" t="s">
        <v>1516</v>
      </c>
      <c r="F2903" s="1720" t="s">
        <v>2135</v>
      </c>
      <c r="G2903" s="1720" t="str">
        <f>IF(T2903&lt;&gt;"","AZ","")</f>
        <v/>
      </c>
      <c r="H2903" s="1720" t="s">
        <v>1990</v>
      </c>
      <c r="I2903" s="1307"/>
      <c r="J2903" s="1720"/>
      <c r="K2903" s="1720"/>
      <c r="L2903" s="852" t="s">
        <v>2135</v>
      </c>
      <c r="M2903" s="1721">
        <v>1724</v>
      </c>
      <c r="N2903" s="1720"/>
      <c r="O2903" s="625"/>
      <c r="P2903" s="625"/>
      <c r="Q2903" s="625"/>
      <c r="R2903" s="1720" t="s">
        <v>2200</v>
      </c>
      <c r="T2903" s="1720" t="str">
        <f t="shared" si="581"/>
        <v/>
      </c>
    </row>
    <row r="2904" spans="1:20" s="1718" customFormat="1" x14ac:dyDescent="0.25">
      <c r="A2904" s="1722" t="s">
        <v>1491</v>
      </c>
      <c r="B2904" s="852" t="str">
        <f ca="1">IFERROR(_xlfn.CONCAT("C",MATCH(A2904,INDIRECT("'"&amp;E2904&amp;"'!C"&amp;$O$2905&amp;":C"&amp;$O$2907),0)+$O$2905-1),"")</f>
        <v>C759</v>
      </c>
      <c r="C2904" s="852" t="str">
        <f ca="1">IFERROR(_xlfn.CONCAT("D",MATCH(A2904,INDIRECT("'"&amp;E2904&amp;"'!C"&amp;$O$2905&amp;":C"&amp;$O$2907),0)+$O$2905-1),"")</f>
        <v>D759</v>
      </c>
      <c r="D2904" s="852" t="s">
        <v>1350</v>
      </c>
      <c r="E2904" s="852" t="s">
        <v>1516</v>
      </c>
      <c r="F2904" s="852" t="s">
        <v>1491</v>
      </c>
      <c r="G2904" s="1720" t="str">
        <f>IF(T2904&lt;&gt;"","A","")</f>
        <v/>
      </c>
      <c r="H2904" s="1720" t="s">
        <v>1990</v>
      </c>
      <c r="I2904" s="852"/>
      <c r="J2904" s="852"/>
      <c r="K2904" s="852"/>
      <c r="L2904" s="852" t="s">
        <v>1491</v>
      </c>
      <c r="M2904" s="1369">
        <v>1725</v>
      </c>
      <c r="N2904" s="852"/>
      <c r="O2904" s="1718" t="s">
        <v>725</v>
      </c>
      <c r="R2904" s="1720" t="s">
        <v>2201</v>
      </c>
      <c r="T2904" s="1720" t="str">
        <f>IF(Q$2905="Yes",53,"")</f>
        <v/>
      </c>
    </row>
    <row r="2905" spans="1:20" s="1718" customFormat="1" x14ac:dyDescent="0.25">
      <c r="A2905" s="1722" t="s">
        <v>1705</v>
      </c>
      <c r="B2905" s="852" t="str">
        <f ca="1">_xlfn.CONCAT(IFERROR(SUBSTITUTE(ADDRESS(1,MATCH(A2905,INDIRECT("'"&amp;E2905&amp;"'"&amp;"!A" &amp; $O$2905+ 11 &amp; ":Z" &amp; $O$2905 + 11),0),4),1,""),""),$O$2905+ 11)</f>
        <v>T766</v>
      </c>
      <c r="C2905" s="852" t="str">
        <f ca="1">_xlfn.CONCAT(IFERROR(SUBSTITUTE(ADDRESS(1,MATCH(A2905,INDIRECT("'"&amp;E2905&amp;"'"&amp;"!A" &amp; $O$2905+ 11 &amp; ":Z" &amp; $O$2905 + 11),0),4),1,""),""),$O$2905+ 12)</f>
        <v>T767</v>
      </c>
      <c r="D2905" s="852" t="s">
        <v>1350</v>
      </c>
      <c r="E2905" s="852" t="s">
        <v>1516</v>
      </c>
      <c r="F2905" s="852"/>
      <c r="G2905" s="1720"/>
      <c r="H2905" s="1720"/>
      <c r="I2905" s="852"/>
      <c r="J2905" s="852"/>
      <c r="K2905" s="852"/>
      <c r="L2905" s="852" t="s">
        <v>1705</v>
      </c>
      <c r="M2905" s="1369">
        <v>1726</v>
      </c>
      <c r="N2905" s="852"/>
      <c r="O2905" s="1718">
        <f>'Configurable Tab'!H56</f>
        <v>755</v>
      </c>
      <c r="P2905" s="18" t="str">
        <f>'Configurable Tab'!J56</f>
        <v>No</v>
      </c>
      <c r="Q2905" s="1718" t="s">
        <v>648</v>
      </c>
      <c r="R2905" s="1720" t="s">
        <v>2201</v>
      </c>
      <c r="T2905" s="1720" t="str">
        <f t="shared" ref="T2905:T2914" si="584">IF(Q$2905="Yes",53,"")</f>
        <v/>
      </c>
    </row>
    <row r="2906" spans="1:20" s="1718" customFormat="1" x14ac:dyDescent="0.25">
      <c r="A2906" s="1722" t="s">
        <v>1383</v>
      </c>
      <c r="B2906" s="852" t="str">
        <f ca="1">IFERROR(_xlfn.CONCAT("C",MATCH(A2906,INDIRECT("'"&amp;E2906&amp;"'!C"&amp;$O$2905&amp;":C"&amp;$O$2907),0)+$O$2905-1),"")</f>
        <v>C757</v>
      </c>
      <c r="C2906" s="852" t="str">
        <f ca="1">IFERROR(_xlfn.CONCAT("D",MATCH(A2906,INDIRECT("'"&amp;E2906&amp;"'!C"&amp;$O$2905&amp;":C"&amp;$O$2907),0)+$O$2905-1),"")</f>
        <v>D757</v>
      </c>
      <c r="D2906" s="852" t="s">
        <v>1350</v>
      </c>
      <c r="E2906" s="852" t="s">
        <v>1516</v>
      </c>
      <c r="F2906" s="852" t="s">
        <v>1383</v>
      </c>
      <c r="G2906" s="1720" t="str">
        <f>IF(T2906&lt;&gt;"","B","")</f>
        <v/>
      </c>
      <c r="H2906" s="1720" t="s">
        <v>1990</v>
      </c>
      <c r="I2906" s="852"/>
      <c r="J2906" s="852"/>
      <c r="K2906" s="852"/>
      <c r="L2906" s="852" t="s">
        <v>1383</v>
      </c>
      <c r="M2906" s="1369">
        <v>1727</v>
      </c>
      <c r="N2906" s="852"/>
      <c r="O2906" s="1718" t="s">
        <v>726</v>
      </c>
      <c r="R2906" s="1720" t="s">
        <v>2201</v>
      </c>
      <c r="T2906" s="1720" t="str">
        <f t="shared" si="584"/>
        <v/>
      </c>
    </row>
    <row r="2907" spans="1:20" s="1718" customFormat="1" x14ac:dyDescent="0.25">
      <c r="A2907" s="1722" t="s">
        <v>1381</v>
      </c>
      <c r="B2907" s="852" t="str">
        <f ca="1">_xlfn.CONCAT(IFERROR(SUBSTITUTE(ADDRESS(1,MATCH(A2907,INDIRECT("'"&amp;E2907&amp;"'"&amp;"!A" &amp; $O$2905+ 2 &amp; ":Z" &amp; $O$2905 + 2),0),4),1,""),""),$O$2905+ 2)</f>
        <v>J757</v>
      </c>
      <c r="C2907" s="852" t="str">
        <f ca="1">_xlfn.CONCAT(IFERROR(SUBSTITUTE(ADDRESS(1,MATCH(A2907,INDIRECT("'"&amp;E2907&amp;"'"&amp;"!A" &amp; $O$2905+ 2 &amp; ":Z" &amp; $O$2905 + 2),0),4),1,""),""),$O$2905+ 3)</f>
        <v>J758</v>
      </c>
      <c r="D2907" s="852" t="s">
        <v>1350</v>
      </c>
      <c r="E2907" s="852" t="s">
        <v>1516</v>
      </c>
      <c r="F2907" s="852" t="s">
        <v>1992</v>
      </c>
      <c r="G2907" s="1720" t="str">
        <f>IF(T2907&lt;&gt;"","I","")</f>
        <v/>
      </c>
      <c r="H2907" s="1720" t="s">
        <v>1990</v>
      </c>
      <c r="I2907" s="852"/>
      <c r="J2907" s="852"/>
      <c r="K2907" s="852"/>
      <c r="L2907" s="852" t="s">
        <v>1381</v>
      </c>
      <c r="M2907" s="1369">
        <v>1728</v>
      </c>
      <c r="N2907" s="852"/>
      <c r="O2907" s="1718">
        <f>'Configurable Tab'!I56</f>
        <v>768</v>
      </c>
      <c r="R2907" s="1720" t="s">
        <v>2201</v>
      </c>
      <c r="T2907" s="1720" t="str">
        <f t="shared" si="584"/>
        <v/>
      </c>
    </row>
    <row r="2908" spans="1:20" s="1718" customFormat="1" x14ac:dyDescent="0.25">
      <c r="A2908" s="1722" t="s">
        <v>1382</v>
      </c>
      <c r="B2908" s="852" t="str">
        <f ca="1">_xlfn.CONCAT(IFERROR(SUBSTITUTE(ADDRESS(1,MATCH(A2908,INDIRECT("'"&amp;E2908&amp;"'"&amp;"!A" &amp; $O$2905+ 2 &amp; ":Z" &amp; $O$2905 + 2),0),4),1,""),""),$O$2905+ 2)</f>
        <v>N757</v>
      </c>
      <c r="C2908" s="852" t="str">
        <f ca="1">_xlfn.CONCAT(IFERROR(SUBSTITUTE(ADDRESS(1,MATCH(A2908,INDIRECT("'"&amp;E2908&amp;"'"&amp;"!A" &amp; $O$2905+ 2 &amp; ":Z" &amp; $O$2905 + 2),0),4),1,""),""),$O$2905+ 3)</f>
        <v>N758</v>
      </c>
      <c r="D2908" s="852" t="s">
        <v>1350</v>
      </c>
      <c r="E2908" s="852" t="s">
        <v>1516</v>
      </c>
      <c r="F2908" s="852" t="s">
        <v>1382</v>
      </c>
      <c r="G2908" s="1720" t="str">
        <f>IF(T2908&lt;&gt;"",IF(Q2907="Credit Memo","J",IF(Q2907="Check","K","")),"")</f>
        <v/>
      </c>
      <c r="H2908" s="1720" t="s">
        <v>1990</v>
      </c>
      <c r="I2908" s="852"/>
      <c r="J2908" s="852"/>
      <c r="K2908" s="852"/>
      <c r="L2908" s="852" t="s">
        <v>1382</v>
      </c>
      <c r="M2908" s="1369">
        <v>1729</v>
      </c>
      <c r="N2908" s="852"/>
      <c r="O2908" s="1718" t="s">
        <v>2210</v>
      </c>
      <c r="R2908" s="1720" t="s">
        <v>2201</v>
      </c>
      <c r="T2908" s="1720" t="str">
        <f t="shared" si="584"/>
        <v/>
      </c>
    </row>
    <row r="2909" spans="1:20" s="1718" customFormat="1" x14ac:dyDescent="0.25">
      <c r="A2909" s="1722" t="s">
        <v>1385</v>
      </c>
      <c r="B2909" s="852" t="str">
        <f ca="1">IFERROR(_xlfn.CONCAT("C",MATCH(A2909,INDIRECT("'"&amp;E2909&amp;"'!C"&amp;$O$2905&amp;":C"&amp;$O$2907),0)+$O$2905-1),"")</f>
        <v>C761</v>
      </c>
      <c r="C2909" s="852" t="str">
        <f ca="1">IFERROR(_xlfn.CONCAT("D",MATCH(A2909,INDIRECT("'"&amp;E2909&amp;"'!C"&amp;$O$2905&amp;":C"&amp;$O$2907),0)+$O$2905-1),"")</f>
        <v>D761</v>
      </c>
      <c r="D2909" s="852" t="s">
        <v>1350</v>
      </c>
      <c r="E2909" s="852" t="s">
        <v>1516</v>
      </c>
      <c r="F2909" s="852" t="s">
        <v>1385</v>
      </c>
      <c r="G2909" s="1720" t="str">
        <f>IF(T2909&lt;&gt;"","C","")</f>
        <v/>
      </c>
      <c r="H2909" s="1720" t="s">
        <v>1990</v>
      </c>
      <c r="I2909" s="852"/>
      <c r="J2909" s="852"/>
      <c r="K2909" s="852"/>
      <c r="L2909" s="852" t="s">
        <v>1385</v>
      </c>
      <c r="M2909" s="1369">
        <v>1730</v>
      </c>
      <c r="N2909" s="852"/>
      <c r="R2909" s="1720" t="s">
        <v>2201</v>
      </c>
      <c r="T2909" s="1720" t="str">
        <f t="shared" si="584"/>
        <v/>
      </c>
    </row>
    <row r="2910" spans="1:20" s="1718" customFormat="1" x14ac:dyDescent="0.25">
      <c r="A2910" s="1722" t="s">
        <v>1386</v>
      </c>
      <c r="B2910" s="852" t="str">
        <f ca="1">IFERROR(_xlfn.CONCAT("C",MATCH(A2910,INDIRECT("'"&amp;E2910&amp;"'!C"&amp;$O$2905&amp;":C"&amp;$O$2907),0)+$O$2905-1),"")</f>
        <v>C763</v>
      </c>
      <c r="C2910" s="852" t="str">
        <f ca="1">IFERROR(_xlfn.CONCAT("D",MATCH(A2910,INDIRECT("'"&amp;E2910&amp;"'!C"&amp;$O$2905&amp;":C"&amp;$O$2907),0)+$O$2905-1),"")</f>
        <v>D763</v>
      </c>
      <c r="D2910" s="852" t="s">
        <v>1350</v>
      </c>
      <c r="E2910" s="852" t="s">
        <v>1516</v>
      </c>
      <c r="F2910" s="852" t="s">
        <v>1386</v>
      </c>
      <c r="G2910" s="1720" t="str">
        <f>IF(T2910&lt;&gt;"","D","")</f>
        <v/>
      </c>
      <c r="H2910" s="1720" t="s">
        <v>1990</v>
      </c>
      <c r="I2910" s="852"/>
      <c r="J2910" s="852"/>
      <c r="K2910" s="852"/>
      <c r="L2910" s="852" t="s">
        <v>1386</v>
      </c>
      <c r="M2910" s="1369">
        <v>1731</v>
      </c>
      <c r="N2910" s="852"/>
      <c r="R2910" s="1720" t="s">
        <v>2201</v>
      </c>
      <c r="T2910" s="1720" t="str">
        <f t="shared" si="584"/>
        <v/>
      </c>
    </row>
    <row r="2911" spans="1:20" s="1718" customFormat="1" x14ac:dyDescent="0.25">
      <c r="A2911" s="1722" t="s">
        <v>1396</v>
      </c>
      <c r="B2911" s="852" t="str">
        <f ca="1">_xlfn.CONCAT(IFERROR(SUBSTITUTE(ADDRESS(1,MATCH(A2911,INDIRECT("'"&amp;E2911&amp;"'"&amp;"!A" &amp; $O$2905+ 5 &amp; ":Z" &amp; $O$2905 + 5),0),4),1,""),""),$O$2905+ 5)</f>
        <v>H760</v>
      </c>
      <c r="C2911" s="852" t="str">
        <f ca="1">_xlfn.CONCAT(IFERROR(SUBSTITUTE(ADDRESS(1,MATCH(A2911,INDIRECT("'"&amp;E2911&amp;"'"&amp;"!A" &amp; $O$2905+ 5 &amp; ":Z" &amp; $O$2905 + 5),0),4),1,""),""),$O$2905+ 6)</f>
        <v>H761</v>
      </c>
      <c r="D2911" s="852" t="s">
        <v>1350</v>
      </c>
      <c r="E2911" s="852" t="s">
        <v>1516</v>
      </c>
      <c r="F2911" s="1720" t="s">
        <v>1396</v>
      </c>
      <c r="G2911" s="1720" t="str">
        <f>IF(T2911&lt;&gt;"","S","")</f>
        <v/>
      </c>
      <c r="H2911" s="1720" t="s">
        <v>1990</v>
      </c>
      <c r="I2911" s="852"/>
      <c r="J2911" s="852"/>
      <c r="K2911" s="852"/>
      <c r="L2911" s="852" t="s">
        <v>1396</v>
      </c>
      <c r="M2911" s="1369">
        <v>1732</v>
      </c>
      <c r="N2911" s="852"/>
      <c r="R2911" s="1720" t="s">
        <v>2201</v>
      </c>
      <c r="T2911" s="1720" t="str">
        <f t="shared" si="584"/>
        <v/>
      </c>
    </row>
    <row r="2912" spans="1:20" s="1718" customFormat="1" x14ac:dyDescent="0.25">
      <c r="A2912" s="1722" t="s">
        <v>2005</v>
      </c>
      <c r="B2912" s="852" t="str">
        <f ca="1">_xlfn.CONCAT(IFERROR(SUBSTITUTE(ADDRESS(1,MATCH(A2912,INDIRECT("'"&amp;E2912&amp;"'"&amp;"!A" &amp; $O$2905+ 8 &amp; ":Z" &amp; $O$2905 + 8),0),4),1,""),""),$O$2905 + 8)</f>
        <v>J763</v>
      </c>
      <c r="C2912" s="852" t="str">
        <f ca="1">_xlfn.CONCAT(IFERROR(SUBSTITUTE(ADDRESS(1,MATCH(A2912,INDIRECT("'"&amp;E2912&amp;"'"&amp;"!A" &amp; $O$2905+ 8 &amp; ":Z" &amp; $O$2905 + 8),0),4),1,""),""),$O$2905 + 9)</f>
        <v>J764</v>
      </c>
      <c r="D2912" s="852" t="s">
        <v>1350</v>
      </c>
      <c r="E2912" s="852" t="s">
        <v>1516</v>
      </c>
      <c r="F2912" s="852" t="s">
        <v>2005</v>
      </c>
      <c r="G2912" s="1720" t="str">
        <f>IF(T2912&lt;&gt;"","AQ","")</f>
        <v/>
      </c>
      <c r="H2912" s="1720" t="s">
        <v>1990</v>
      </c>
      <c r="I2912" s="852"/>
      <c r="J2912" s="852"/>
      <c r="K2912" s="852"/>
      <c r="L2912" s="852" t="s">
        <v>2005</v>
      </c>
      <c r="M2912" s="1369">
        <v>1733</v>
      </c>
      <c r="N2912" s="852"/>
      <c r="R2912" s="1720" t="s">
        <v>2201</v>
      </c>
      <c r="T2912" s="1720" t="str">
        <f t="shared" si="584"/>
        <v/>
      </c>
    </row>
    <row r="2913" spans="1:20" s="1718" customFormat="1" x14ac:dyDescent="0.25">
      <c r="A2913" s="1722" t="s">
        <v>1482</v>
      </c>
      <c r="B2913" s="852" t="str">
        <f ca="1">_xlfn.CONCAT(IFERROR(SUBSTITUTE(ADDRESS(1,MATCH(A2913,INDIRECT("'"&amp;E2913&amp;"'"&amp;"!A" &amp; $O$2905+ 8 &amp; ":Z" &amp; $O$2905 + 8),0),4),1,""),""),$O$2905 + 8)</f>
        <v>N763</v>
      </c>
      <c r="C2913" s="852" t="str">
        <f ca="1">_xlfn.CONCAT(IFERROR(SUBSTITUTE(ADDRESS(1,MATCH(A2913,INDIRECT("'"&amp;E2913&amp;"'"&amp;"!A" &amp; $O$2905+ 8 &amp; ":Z" &amp; $O$2905 + 8),0),4),1,""),""),$O$2905 + 9)</f>
        <v>N764</v>
      </c>
      <c r="D2913" s="852" t="s">
        <v>1350</v>
      </c>
      <c r="E2913" s="852" t="s">
        <v>1516</v>
      </c>
      <c r="F2913" s="852" t="s">
        <v>2054</v>
      </c>
      <c r="G2913" s="1720" t="str">
        <f>IF(T2913&lt;&gt;"","AA","")</f>
        <v/>
      </c>
      <c r="H2913" s="1720" t="s">
        <v>1990</v>
      </c>
      <c r="I2913" s="852"/>
      <c r="J2913" s="852"/>
      <c r="K2913" s="852"/>
      <c r="L2913" s="852" t="s">
        <v>2006</v>
      </c>
      <c r="M2913" s="1369">
        <v>1734</v>
      </c>
      <c r="N2913" s="852"/>
      <c r="R2913" s="1720" t="s">
        <v>2201</v>
      </c>
      <c r="T2913" s="1720" t="str">
        <f t="shared" si="584"/>
        <v/>
      </c>
    </row>
    <row r="2914" spans="1:20" s="1718" customFormat="1" x14ac:dyDescent="0.25">
      <c r="A2914" s="1722" t="s">
        <v>1397</v>
      </c>
      <c r="B2914" s="852" t="str">
        <f ca="1">_xlfn.CONCAT(IFERROR(SUBSTITUTE(ADDRESS(1,MATCH(A2914,INDIRECT("'"&amp;E2914&amp;"'"&amp;"!A" &amp; $O$2905+ 2 &amp; ":Z" &amp; $O$2905 + 2),0),4),1,""),""),$O$2905 + 2)</f>
        <v>L757</v>
      </c>
      <c r="C2914" s="852" t="str">
        <f ca="1">_xlfn.CONCAT(IFERROR(SUBSTITUTE(ADDRESS(1,MATCH(A2914,INDIRECT("'"&amp;E2914&amp;"'"&amp;"!A" &amp; $O$2905+ 2 &amp; ":Z" &amp; $O$2905 + 2),0),4),1,""),""),$O$2905 + 3)</f>
        <v>L758</v>
      </c>
      <c r="D2914" s="852" t="s">
        <v>1350</v>
      </c>
      <c r="E2914" s="852" t="s">
        <v>1516</v>
      </c>
      <c r="F2914" s="852" t="s">
        <v>1993</v>
      </c>
      <c r="G2914" s="1720" t="str">
        <f>IF(T2914&lt;&gt;"","H","")</f>
        <v/>
      </c>
      <c r="H2914" s="1720" t="s">
        <v>1990</v>
      </c>
      <c r="I2914" s="852"/>
      <c r="J2914" s="852"/>
      <c r="K2914" s="852"/>
      <c r="L2914" s="852" t="s">
        <v>1397</v>
      </c>
      <c r="M2914" s="1369">
        <v>1735</v>
      </c>
      <c r="N2914" s="852"/>
      <c r="R2914" s="1720" t="s">
        <v>2201</v>
      </c>
      <c r="T2914" s="1720" t="str">
        <f t="shared" si="584"/>
        <v/>
      </c>
    </row>
    <row r="2915" spans="1:20" s="1718" customFormat="1" x14ac:dyDescent="0.25">
      <c r="A2915" s="1722" t="s">
        <v>1705</v>
      </c>
      <c r="B2915" s="1307" t="str">
        <f>IFERROR(_xlfn.CONCAT("D",('Configurable Tab'!$C$23+1)),"")</f>
        <v>D226</v>
      </c>
      <c r="C2915" s="1307" t="str">
        <f>IFERROR(_xlfn.CONCAT("E",('Configurable Tab'!$C$23+1)),"")</f>
        <v>E226</v>
      </c>
      <c r="D2915" s="852" t="s">
        <v>1350</v>
      </c>
      <c r="E2915" s="852" t="s">
        <v>1742</v>
      </c>
      <c r="F2915" s="1720"/>
      <c r="G2915" s="1720"/>
      <c r="H2915" s="1720"/>
      <c r="I2915" s="1307" t="str">
        <f t="shared" ref="I2915:I2925" si="585">IF(J2915&lt;&gt;"",A2915,"")</f>
        <v/>
      </c>
      <c r="J2915" s="1720" t="str">
        <f t="shared" ref="J2915:J2924" si="586">IFERROR(IF($Q$2905="Yes",Q$1&amp;M2905,""),"")</f>
        <v/>
      </c>
      <c r="K2915" s="1720" t="str">
        <f t="shared" ref="K2915:K2925" si="587">IF(J2915&lt;&gt;"",E2915,"")</f>
        <v/>
      </c>
      <c r="M2915" s="1719"/>
      <c r="Q2915" s="1307" t="str">
        <f>IFERROR(_xlfn.CONCAT("C",('Configurable Tab'!$C41+1)),"")</f>
        <v>C424</v>
      </c>
      <c r="R2915" s="1720" t="s">
        <v>2201</v>
      </c>
    </row>
    <row r="2916" spans="1:20" s="1718" customFormat="1" x14ac:dyDescent="0.25">
      <c r="A2916" s="1722" t="s">
        <v>1383</v>
      </c>
      <c r="B2916" s="1307" t="str">
        <f>IFERROR(_xlfn.CONCAT("D",('Configurable Tab'!$C$23+2)),"")</f>
        <v>D227</v>
      </c>
      <c r="C2916" s="1307" t="str">
        <f>IFERROR(_xlfn.CONCAT("E",('Configurable Tab'!$C$23+2)),"")</f>
        <v>E227</v>
      </c>
      <c r="D2916" s="852" t="s">
        <v>1350</v>
      </c>
      <c r="E2916" s="852" t="s">
        <v>1742</v>
      </c>
      <c r="F2916" s="1720"/>
      <c r="G2916" s="1720"/>
      <c r="H2916" s="1720"/>
      <c r="I2916" s="1307" t="str">
        <f t="shared" si="585"/>
        <v/>
      </c>
      <c r="J2916" s="1720" t="str">
        <f t="shared" si="586"/>
        <v/>
      </c>
      <c r="K2916" s="1720" t="str">
        <f t="shared" si="587"/>
        <v/>
      </c>
      <c r="M2916" s="1719"/>
      <c r="R2916" s="1720" t="s">
        <v>2201</v>
      </c>
    </row>
    <row r="2917" spans="1:20" s="1718" customFormat="1" x14ac:dyDescent="0.25">
      <c r="A2917" s="1722" t="s">
        <v>1381</v>
      </c>
      <c r="B2917" s="1307" t="str">
        <f>IFERROR(_xlfn.CONCAT("I",('Configurable Tab'!$C$23+1)),"")</f>
        <v>I226</v>
      </c>
      <c r="C2917" s="1307" t="str">
        <f>IFERROR(_xlfn.CONCAT("I",('Configurable Tab'!$C$23+2)),"")</f>
        <v>I227</v>
      </c>
      <c r="D2917" s="852" t="s">
        <v>1350</v>
      </c>
      <c r="E2917" s="852" t="s">
        <v>1742</v>
      </c>
      <c r="F2917" s="1720"/>
      <c r="G2917" s="1720"/>
      <c r="H2917" s="1720"/>
      <c r="I2917" s="1307" t="str">
        <f t="shared" si="585"/>
        <v/>
      </c>
      <c r="J2917" s="1720" t="str">
        <f t="shared" si="586"/>
        <v/>
      </c>
      <c r="K2917" s="1720" t="str">
        <f t="shared" si="587"/>
        <v/>
      </c>
      <c r="M2917" s="1719"/>
      <c r="R2917" s="1720" t="s">
        <v>2201</v>
      </c>
    </row>
    <row r="2918" spans="1:20" s="1718" customFormat="1" x14ac:dyDescent="0.25">
      <c r="A2918" s="1722" t="s">
        <v>1382</v>
      </c>
      <c r="B2918" s="1307" t="str">
        <f>IFERROR(_xlfn.CONCAT("M",('Configurable Tab'!$C$23+1)),"")</f>
        <v>M226</v>
      </c>
      <c r="C2918" s="1307" t="str">
        <f>IFERROR(_xlfn.CONCAT("M",('Configurable Tab'!$C$23+2)),"")</f>
        <v>M227</v>
      </c>
      <c r="D2918" s="852" t="s">
        <v>1350</v>
      </c>
      <c r="E2918" s="852" t="s">
        <v>1742</v>
      </c>
      <c r="F2918" s="1720"/>
      <c r="G2918" s="1720"/>
      <c r="H2918" s="1720"/>
      <c r="I2918" s="1307" t="str">
        <f t="shared" si="585"/>
        <v/>
      </c>
      <c r="J2918" s="1720" t="str">
        <f t="shared" si="586"/>
        <v/>
      </c>
      <c r="K2918" s="1720" t="str">
        <f t="shared" si="587"/>
        <v/>
      </c>
      <c r="M2918" s="1719"/>
      <c r="R2918" s="1720" t="s">
        <v>2201</v>
      </c>
    </row>
    <row r="2919" spans="1:20" s="1718" customFormat="1" x14ac:dyDescent="0.25">
      <c r="A2919" s="1722" t="s">
        <v>1385</v>
      </c>
      <c r="B2919" s="1307" t="str">
        <f>IFERROR(_xlfn.CONCAT("D",('Configurable Tab'!$C$23+4)),"")</f>
        <v>D229</v>
      </c>
      <c r="C2919" s="1307" t="str">
        <f>IFERROR(_xlfn.CONCAT("E",('Configurable Tab'!$C$23+4)),"")</f>
        <v>E229</v>
      </c>
      <c r="D2919" s="852" t="s">
        <v>1350</v>
      </c>
      <c r="E2919" s="852" t="s">
        <v>1742</v>
      </c>
      <c r="F2919" s="1720"/>
      <c r="G2919" s="1720"/>
      <c r="H2919" s="1720"/>
      <c r="I2919" s="1307" t="str">
        <f t="shared" si="585"/>
        <v/>
      </c>
      <c r="J2919" s="1720" t="str">
        <f t="shared" si="586"/>
        <v/>
      </c>
      <c r="K2919" s="1720" t="str">
        <f t="shared" si="587"/>
        <v/>
      </c>
      <c r="M2919" s="1719"/>
      <c r="R2919" s="1720" t="s">
        <v>2201</v>
      </c>
    </row>
    <row r="2920" spans="1:20" s="1718" customFormat="1" x14ac:dyDescent="0.25">
      <c r="A2920" s="1722" t="s">
        <v>1386</v>
      </c>
      <c r="B2920" s="1307" t="str">
        <f>IFERROR(_xlfn.CONCAT("D",('Configurable Tab'!$C$23+5)),"")</f>
        <v>D230</v>
      </c>
      <c r="C2920" s="1307" t="str">
        <f>IFERROR(_xlfn.CONCAT("E",('Configurable Tab'!$C$23+5)),"")</f>
        <v>E230</v>
      </c>
      <c r="D2920" s="852" t="s">
        <v>1350</v>
      </c>
      <c r="E2920" s="852" t="s">
        <v>1742</v>
      </c>
      <c r="F2920" s="1720"/>
      <c r="G2920" s="1720"/>
      <c r="H2920" s="1720"/>
      <c r="I2920" s="1307" t="str">
        <f t="shared" si="585"/>
        <v/>
      </c>
      <c r="J2920" s="1720" t="str">
        <f t="shared" si="586"/>
        <v/>
      </c>
      <c r="K2920" s="1720" t="str">
        <f t="shared" si="587"/>
        <v/>
      </c>
      <c r="M2920" s="1719"/>
      <c r="R2920" s="1720" t="s">
        <v>2201</v>
      </c>
    </row>
    <row r="2921" spans="1:20" s="1718" customFormat="1" x14ac:dyDescent="0.25">
      <c r="A2921" s="1722" t="s">
        <v>1396</v>
      </c>
      <c r="B2921" s="1307" t="str">
        <f>IFERROR(_xlfn.CONCAT("G",('Configurable Tab'!$C$23+7)),"")</f>
        <v>G232</v>
      </c>
      <c r="C2921" s="1307" t="str">
        <f>IFERROR(_xlfn.CONCAT("G",('Configurable Tab'!$C$23+8)),"")</f>
        <v>G233</v>
      </c>
      <c r="D2921" s="852" t="s">
        <v>1350</v>
      </c>
      <c r="E2921" s="852" t="s">
        <v>1742</v>
      </c>
      <c r="F2921" s="1720"/>
      <c r="G2921" s="1720"/>
      <c r="H2921" s="1720"/>
      <c r="I2921" s="1307" t="str">
        <f t="shared" si="585"/>
        <v/>
      </c>
      <c r="J2921" s="1720" t="str">
        <f t="shared" si="586"/>
        <v/>
      </c>
      <c r="K2921" s="1720" t="str">
        <f t="shared" si="587"/>
        <v/>
      </c>
      <c r="M2921" s="1719"/>
      <c r="R2921" s="1720" t="s">
        <v>2201</v>
      </c>
    </row>
    <row r="2922" spans="1:20" s="1718" customFormat="1" x14ac:dyDescent="0.25">
      <c r="A2922" s="1722" t="s">
        <v>2005</v>
      </c>
      <c r="B2922" s="1307" t="str">
        <f>IFERROR(_xlfn.CONCAT("G",('Configurable Tab'!$C$23+7)),"")</f>
        <v>G232</v>
      </c>
      <c r="C2922" s="1307" t="str">
        <f>IFERROR(_xlfn.CONCAT("G",('Configurable Tab'!$C$23+8)),"")</f>
        <v>G233</v>
      </c>
      <c r="D2922" s="852" t="s">
        <v>1350</v>
      </c>
      <c r="E2922" s="852" t="s">
        <v>1742</v>
      </c>
      <c r="F2922" s="1720"/>
      <c r="G2922" s="1720"/>
      <c r="H2922" s="1720"/>
      <c r="I2922" s="1307" t="str">
        <f t="shared" si="585"/>
        <v/>
      </c>
      <c r="J2922" s="1720" t="str">
        <f t="shared" si="586"/>
        <v/>
      </c>
      <c r="K2922" s="1720" t="str">
        <f t="shared" si="587"/>
        <v/>
      </c>
      <c r="M2922" s="1719"/>
      <c r="R2922" s="1720" t="s">
        <v>2201</v>
      </c>
    </row>
    <row r="2923" spans="1:20" s="1718" customFormat="1" x14ac:dyDescent="0.25">
      <c r="A2923" s="1722" t="s">
        <v>1482</v>
      </c>
      <c r="B2923" s="1307" t="str">
        <f>IFERROR(_xlfn.CONCAT("K",('Configurable Tab'!$C$23+7)),"")</f>
        <v>K232</v>
      </c>
      <c r="C2923" s="1307" t="str">
        <f>IFERROR(_xlfn.CONCAT("K",('Configurable Tab'!$C$23+8)),"")</f>
        <v>K233</v>
      </c>
      <c r="D2923" s="852" t="s">
        <v>1350</v>
      </c>
      <c r="E2923" s="852" t="s">
        <v>1742</v>
      </c>
      <c r="F2923" s="1720"/>
      <c r="G2923" s="1720"/>
      <c r="H2923" s="1720"/>
      <c r="I2923" s="1307" t="str">
        <f t="shared" si="585"/>
        <v/>
      </c>
      <c r="J2923" s="1720" t="str">
        <f t="shared" si="586"/>
        <v/>
      </c>
      <c r="K2923" s="1720" t="str">
        <f t="shared" si="587"/>
        <v/>
      </c>
      <c r="M2923" s="1719"/>
      <c r="R2923" s="1720" t="s">
        <v>2201</v>
      </c>
    </row>
    <row r="2924" spans="1:20" s="1718" customFormat="1" x14ac:dyDescent="0.25">
      <c r="A2924" s="1722" t="s">
        <v>1397</v>
      </c>
      <c r="B2924" s="1307" t="str">
        <f>IFERROR(_xlfn.CONCAT("K",('Configurable Tab'!$C$23+1)),"")</f>
        <v>K226</v>
      </c>
      <c r="C2924" s="1307" t="str">
        <f>IFERROR(_xlfn.CONCAT("K",('Configurable Tab'!$C$23+2)),"")</f>
        <v>K227</v>
      </c>
      <c r="D2924" s="852" t="s">
        <v>1350</v>
      </c>
      <c r="E2924" s="852" t="s">
        <v>1742</v>
      </c>
      <c r="F2924" s="1720"/>
      <c r="G2924" s="1720"/>
      <c r="H2924" s="1720"/>
      <c r="I2924" s="1307" t="str">
        <f t="shared" si="585"/>
        <v/>
      </c>
      <c r="J2924" s="1720" t="str">
        <f t="shared" si="586"/>
        <v/>
      </c>
      <c r="K2924" s="1720" t="str">
        <f t="shared" si="587"/>
        <v/>
      </c>
      <c r="M2924" s="1719"/>
      <c r="R2924" s="1720" t="s">
        <v>2201</v>
      </c>
    </row>
    <row r="2925" spans="1:20" s="1718" customFormat="1" x14ac:dyDescent="0.25">
      <c r="A2925" s="1722" t="s">
        <v>1496</v>
      </c>
      <c r="B2925" s="852" t="str">
        <f ca="1">IFERROR(_xlfn.CONCAT("C",MATCH(A2925,INDIRECT("'"&amp;E2925&amp;"'!C"&amp;$O$2905&amp;":C"&amp;$O$2907),0)+$O$2905-1),"")</f>
        <v>C767</v>
      </c>
      <c r="C2925" s="852" t="str">
        <f ca="1">IFERROR(_xlfn.CONCAT("D",MATCH(A2925,INDIRECT("'"&amp;E2925&amp;"'!C"&amp;$O$2905&amp;":C"&amp;$O$2907),0)+$O$2905-1),"")</f>
        <v>D767</v>
      </c>
      <c r="D2925" s="852" t="s">
        <v>1350</v>
      </c>
      <c r="E2925" s="852" t="s">
        <v>1516</v>
      </c>
      <c r="F2925" s="1720" t="s">
        <v>1496</v>
      </c>
      <c r="G2925" s="1720" t="str">
        <f t="shared" ref="G2925" si="588">IF(T2925&lt;&gt;"","AS","")</f>
        <v/>
      </c>
      <c r="H2925" s="1720" t="s">
        <v>1990</v>
      </c>
      <c r="I2925" s="1307" t="str">
        <f t="shared" si="585"/>
        <v/>
      </c>
      <c r="J2925" s="1720"/>
      <c r="K2925" s="1720" t="str">
        <f t="shared" si="587"/>
        <v/>
      </c>
      <c r="L2925" s="852"/>
      <c r="M2925" s="1721"/>
      <c r="N2925" s="1720"/>
      <c r="R2925" s="1720" t="s">
        <v>2201</v>
      </c>
      <c r="T2925" s="1720" t="str">
        <f t="shared" ref="T2925:T2933" si="589">IF(Q$2905="Yes",53,"")</f>
        <v/>
      </c>
    </row>
    <row r="2926" spans="1:20" s="1718" customFormat="1" x14ac:dyDescent="0.25">
      <c r="A2926" s="1723" t="s">
        <v>1495</v>
      </c>
      <c r="B2926" s="852" t="str">
        <f ca="1">IFERROR(_xlfn.CONCAT("C",MATCH(A2926,INDIRECT("'"&amp;E2926&amp;"'!C"&amp;$O$2905&amp;":C"&amp;$O$2907),0)+$O$2905-1),"")</f>
        <v>C765</v>
      </c>
      <c r="C2926" s="852" t="str">
        <f ca="1">IFERROR(_xlfn.CONCAT("D",MATCH(A2926,INDIRECT("'"&amp;E2926&amp;"'!C"&amp;$O$2905&amp;":C"&amp;$O$2907),0)+$O$2905-1),"")</f>
        <v>D765</v>
      </c>
      <c r="D2926" s="852" t="s">
        <v>1350</v>
      </c>
      <c r="E2926" s="852" t="s">
        <v>1516</v>
      </c>
      <c r="F2926" s="1720" t="s">
        <v>1495</v>
      </c>
      <c r="G2926" s="1720" t="str">
        <f>IF(T2926&lt;&gt;"","AN","")</f>
        <v/>
      </c>
      <c r="H2926" s="1720" t="s">
        <v>1990</v>
      </c>
      <c r="I2926" s="1307"/>
      <c r="J2926" s="1720"/>
      <c r="K2926" s="1720"/>
      <c r="L2926" s="852"/>
      <c r="M2926" s="1721"/>
      <c r="N2926" s="1720"/>
      <c r="O2926" s="1606"/>
      <c r="P2926" s="625"/>
      <c r="Q2926" s="625"/>
      <c r="R2926" s="1720" t="s">
        <v>2201</v>
      </c>
      <c r="T2926" s="1720" t="str">
        <f t="shared" si="589"/>
        <v/>
      </c>
    </row>
    <row r="2927" spans="1:20" s="1718" customFormat="1" x14ac:dyDescent="0.25">
      <c r="A2927" s="1723" t="s">
        <v>1492</v>
      </c>
      <c r="B2927" s="852" t="str">
        <f ca="1">_xlfn.CONCAT(IFERROR(SUBSTITUTE(ADDRESS(1,MATCH(A2927,INDIRECT("'"&amp;E2927&amp;"'"&amp;"!A" &amp; $O$2905+ 8 &amp; ":Z" &amp; $O$2905 + 8),0),4),1,""),""),$O$2905 + 8)</f>
        <v>H763</v>
      </c>
      <c r="C2927" s="852" t="str">
        <f ca="1">_xlfn.CONCAT(IFERROR(SUBSTITUTE(ADDRESS(1,MATCH(A2927,INDIRECT("'"&amp;E2927&amp;"'"&amp;"!A" &amp; $O$2905+ 8 &amp; ":Z" &amp; $O$2905 + 8),0),4),1,""),""),$O$2905 + 9)</f>
        <v>H764</v>
      </c>
      <c r="D2927" s="852" t="s">
        <v>1350</v>
      </c>
      <c r="E2927" s="852" t="s">
        <v>1516</v>
      </c>
      <c r="F2927" s="1720" t="s">
        <v>1492</v>
      </c>
      <c r="G2927" s="1720" t="str">
        <f>IF(T2927&lt;&gt;"","AL","")</f>
        <v/>
      </c>
      <c r="H2927" s="1720" t="s">
        <v>1990</v>
      </c>
      <c r="I2927" s="1307"/>
      <c r="J2927" s="1720"/>
      <c r="K2927" s="1720"/>
      <c r="L2927" s="852"/>
      <c r="M2927" s="1721"/>
      <c r="N2927" s="1720"/>
      <c r="O2927" s="625"/>
      <c r="P2927" s="625"/>
      <c r="Q2927" s="625"/>
      <c r="R2927" s="1720" t="s">
        <v>2201</v>
      </c>
      <c r="T2927" s="1720" t="str">
        <f t="shared" si="589"/>
        <v/>
      </c>
    </row>
    <row r="2928" spans="1:20" s="1718" customFormat="1" x14ac:dyDescent="0.25">
      <c r="A2928" s="1723" t="s">
        <v>1380</v>
      </c>
      <c r="B2928" s="852" t="str">
        <f ca="1">_xlfn.CONCAT(IFERROR(SUBSTITUTE(ADDRESS(1,MATCH(A2928,INDIRECT("'"&amp;E2928&amp;"'"&amp;"!A" &amp; $O$2905+ 2 &amp; ":Z" &amp; $O$2905 + 2),0),4),1,""),""),$O$2905+ 2)</f>
        <v>H757</v>
      </c>
      <c r="C2928" s="852" t="str">
        <f ca="1">_xlfn.CONCAT(IFERROR(SUBSTITUTE(ADDRESS(1,MATCH(A2928,INDIRECT("'"&amp;E2928&amp;"'"&amp;"!A" &amp; $O$2905+ 2 &amp; ":Z" &amp; $O$2905 + 2),0),4),1,""),""),$O$2905+ 3)</f>
        <v>H758</v>
      </c>
      <c r="D2928" s="852" t="s">
        <v>1350</v>
      </c>
      <c r="E2928" s="852" t="s">
        <v>1516</v>
      </c>
      <c r="F2928" s="1720" t="s">
        <v>1991</v>
      </c>
      <c r="G2928" s="1720" t="str">
        <f>IF(T2928&lt;&gt;"","E","")</f>
        <v/>
      </c>
      <c r="H2928" s="1720" t="s">
        <v>1990</v>
      </c>
      <c r="I2928" s="1307"/>
      <c r="J2928" s="1720"/>
      <c r="K2928" s="1720"/>
      <c r="L2928" s="852"/>
      <c r="M2928" s="1721"/>
      <c r="N2928" s="1720"/>
      <c r="O2928" s="625"/>
      <c r="P2928" s="625"/>
      <c r="Q2928" s="625"/>
      <c r="R2928" s="1720" t="s">
        <v>2201</v>
      </c>
      <c r="T2928" s="1720" t="str">
        <f t="shared" si="589"/>
        <v/>
      </c>
    </row>
    <row r="2929" spans="1:20" s="1718" customFormat="1" x14ac:dyDescent="0.25">
      <c r="A2929" s="1723" t="s">
        <v>1487</v>
      </c>
      <c r="B2929" s="852" t="str">
        <f ca="1">_xlfn.CONCAT(IFERROR(SUBSTITUTE(ADDRESS(1,MATCH(A2929,INDIRECT("'"&amp;E2929&amp;"'"&amp;"!A" &amp; $O$2905+ 2 &amp; ":Z" &amp; $O$2905 + 2),0),4),1,""),""),$O$2905+ 2)</f>
        <v>R757</v>
      </c>
      <c r="C2929" s="852" t="str">
        <f ca="1">_xlfn.CONCAT(IFERROR(SUBSTITUTE(ADDRESS(1,MATCH(A2929,INDIRECT("'"&amp;E2929&amp;"'"&amp;"!A" &amp; $O$2905+ 2 &amp; ":Z" &amp; $O$2905 + 2),0),4),1,""),""),$O$2905+ 3)</f>
        <v>R758</v>
      </c>
      <c r="D2929" s="852" t="s">
        <v>1350</v>
      </c>
      <c r="E2929" s="852" t="s">
        <v>1516</v>
      </c>
      <c r="F2929" s="1720" t="s">
        <v>1995</v>
      </c>
      <c r="G2929" s="1720" t="str">
        <f>IF(T2929&lt;&gt;"","G","")</f>
        <v/>
      </c>
      <c r="H2929" s="1720" t="s">
        <v>1990</v>
      </c>
      <c r="I2929" s="1307"/>
      <c r="J2929" s="1720"/>
      <c r="K2929" s="1720"/>
      <c r="L2929" s="852"/>
      <c r="M2929" s="1721"/>
      <c r="N2929" s="1720"/>
      <c r="O2929" s="625"/>
      <c r="P2929" s="625"/>
      <c r="Q2929" s="625"/>
      <c r="R2929" s="1720" t="s">
        <v>2201</v>
      </c>
      <c r="T2929" s="1720" t="str">
        <f t="shared" si="589"/>
        <v/>
      </c>
    </row>
    <row r="2930" spans="1:20" s="1718" customFormat="1" x14ac:dyDescent="0.25">
      <c r="A2930" s="1723" t="s">
        <v>1488</v>
      </c>
      <c r="B2930" s="852" t="str">
        <f ca="1">_xlfn.CONCAT(IFERROR(SUBSTITUTE(ADDRESS(1,MATCH(A2930,INDIRECT("'"&amp;E2930&amp;"'"&amp;"!A" &amp; $O$2905+ 2 &amp; ":Z" &amp; $O$2905 + 2),0),4),1,""),""),$O$2905+ 2)</f>
        <v>T757</v>
      </c>
      <c r="C2930" s="852" t="str">
        <f ca="1">_xlfn.CONCAT(IFERROR(SUBSTITUTE(ADDRESS(1,MATCH(A2930,INDIRECT("'"&amp;E2930&amp;"'"&amp;"!A" &amp; $O$2905+ 2 &amp; ":Z" &amp; $O$2905 + 2),0),4),1,""),""),$O$2905+ 3)</f>
        <v>T758</v>
      </c>
      <c r="D2930" s="852" t="s">
        <v>1350</v>
      </c>
      <c r="E2930" s="852" t="s">
        <v>1516</v>
      </c>
      <c r="F2930" s="867" t="s">
        <v>1488</v>
      </c>
      <c r="G2930" s="1720" t="str">
        <f>IF(T2930&lt;&gt;"","AW","")</f>
        <v/>
      </c>
      <c r="H2930" s="1720" t="s">
        <v>1990</v>
      </c>
      <c r="I2930" s="1307"/>
      <c r="J2930" s="1720"/>
      <c r="K2930" s="1720"/>
      <c r="L2930" s="852"/>
      <c r="M2930" s="1721"/>
      <c r="N2930" s="1720"/>
      <c r="O2930" s="625"/>
      <c r="P2930" s="625"/>
      <c r="Q2930" s="625"/>
      <c r="R2930" s="1720" t="s">
        <v>2201</v>
      </c>
      <c r="T2930" s="1720" t="str">
        <f t="shared" si="589"/>
        <v/>
      </c>
    </row>
    <row r="2931" spans="1:20" s="1718" customFormat="1" x14ac:dyDescent="0.25">
      <c r="A2931" s="1723" t="s">
        <v>1603</v>
      </c>
      <c r="B2931" s="852" t="str">
        <f ca="1">_xlfn.CONCAT(IFERROR(SUBSTITUTE(ADDRESS(1,MATCH(A2931,INDIRECT("'"&amp;E2931&amp;"'"&amp;"!A" &amp; $O$2905+ 5 &amp; ":Z" &amp; $O$2905 + 5),0),4),1,""),""),$O$2905+ 5)</f>
        <v>R760</v>
      </c>
      <c r="C2931" s="852" t="str">
        <f ca="1">_xlfn.CONCAT(IFERROR(SUBSTITUTE(ADDRESS(1,MATCH(A2931,INDIRECT("'"&amp;E2931&amp;"'"&amp;"!A" &amp; $O$2905+ 5 &amp; ":Z" &amp; $O$2905 + 5),0),4),1,""),""),$O$2905+ 6)</f>
        <v>R761</v>
      </c>
      <c r="D2931" s="852" t="s">
        <v>1350</v>
      </c>
      <c r="E2931" s="852" t="s">
        <v>1516</v>
      </c>
      <c r="F2931" s="1720" t="s">
        <v>1999</v>
      </c>
      <c r="G2931" s="1720" t="str">
        <f t="shared" ref="G2931" si="590">IF(T2931&lt;&gt;"","AB","")</f>
        <v/>
      </c>
      <c r="H2931" s="1720" t="s">
        <v>1990</v>
      </c>
      <c r="I2931" s="1307"/>
      <c r="J2931" s="1720"/>
      <c r="K2931" s="1720"/>
      <c r="L2931" s="852"/>
      <c r="M2931" s="1721"/>
      <c r="N2931" s="1720"/>
      <c r="O2931" s="625"/>
      <c r="P2931" s="625"/>
      <c r="Q2931" s="625"/>
      <c r="R2931" s="1720" t="s">
        <v>2201</v>
      </c>
      <c r="T2931" s="1720" t="str">
        <f t="shared" si="589"/>
        <v/>
      </c>
    </row>
    <row r="2932" spans="1:20" s="1718" customFormat="1" x14ac:dyDescent="0.25">
      <c r="A2932" s="1723" t="s">
        <v>1604</v>
      </c>
      <c r="B2932" s="852" t="str">
        <f ca="1">_xlfn.CONCAT(IFERROR(SUBSTITUTE(ADDRESS(1,MATCH(A2932,INDIRECT("'"&amp;E2932&amp;"'"&amp;"!A" &amp; $O$2905+ 5 &amp; ":Z" &amp; $O$2905 + 5),0),4),1,""),""),$O$2905+ 5)</f>
        <v>T760</v>
      </c>
      <c r="C2932" s="852" t="str">
        <f ca="1">_xlfn.CONCAT(IFERROR(SUBSTITUTE(ADDRESS(1,MATCH(A2932,INDIRECT("'"&amp;E2932&amp;"'"&amp;"!A" &amp; $O$2905+ 5 &amp; ":Z" &amp; $O$2905 + 5),0),4),1,""),""),$O$2905+ 6)</f>
        <v>T761</v>
      </c>
      <c r="D2932" s="852" t="s">
        <v>1350</v>
      </c>
      <c r="E2932" s="852" t="s">
        <v>1516</v>
      </c>
      <c r="F2932" s="1720" t="s">
        <v>1604</v>
      </c>
      <c r="G2932" s="1720" t="str">
        <f t="shared" ref="G2932" si="591">IF(T2932&lt;&gt;"","AP","")</f>
        <v/>
      </c>
      <c r="H2932" s="1720" t="s">
        <v>1990</v>
      </c>
      <c r="I2932" s="1307"/>
      <c r="J2932" s="1720"/>
      <c r="K2932" s="1720"/>
      <c r="L2932" s="852"/>
      <c r="M2932" s="1721"/>
      <c r="N2932" s="1720"/>
      <c r="O2932" s="625"/>
      <c r="P2932" s="625"/>
      <c r="Q2932" s="625"/>
      <c r="R2932" s="1720" t="s">
        <v>2201</v>
      </c>
      <c r="T2932" s="1720" t="str">
        <f t="shared" si="589"/>
        <v/>
      </c>
    </row>
    <row r="2933" spans="1:20" s="1718" customFormat="1" x14ac:dyDescent="0.25">
      <c r="A2933" s="1723" t="s">
        <v>2135</v>
      </c>
      <c r="B2933" s="852" t="str">
        <f ca="1">_xlfn.CONCAT(IFERROR(SUBSTITUTE(ADDRESS(1,MATCH(A2933,INDIRECT("'"&amp;E2933&amp;"'"&amp;"!A" &amp; $O$2905+ 8 &amp; ":Z" &amp; $O$2905 + 8),0),4),1,""),""),$O$2905 + 8)</f>
        <v>L763</v>
      </c>
      <c r="C2933" s="852" t="str">
        <f ca="1">_xlfn.CONCAT(IFERROR(SUBSTITUTE(ADDRESS(1,MATCH(A2933,INDIRECT("'"&amp;E2933&amp;"'"&amp;"!A" &amp; $O$2905+ 8 &amp; ":Z" &amp; $O$2905 + 8),0),4),1,""),""),$O$2905 + 9)</f>
        <v>L764</v>
      </c>
      <c r="D2933" s="852" t="s">
        <v>1350</v>
      </c>
      <c r="E2933" s="852" t="s">
        <v>1516</v>
      </c>
      <c r="F2933" s="1720" t="s">
        <v>2135</v>
      </c>
      <c r="G2933" s="1720" t="str">
        <f>IF(T2933&lt;&gt;"","AZ","")</f>
        <v/>
      </c>
      <c r="H2933" s="1720" t="s">
        <v>1990</v>
      </c>
      <c r="I2933" s="1307"/>
      <c r="J2933" s="1720"/>
      <c r="K2933" s="1720"/>
      <c r="L2933" s="852" t="s">
        <v>2135</v>
      </c>
      <c r="M2933" s="1721">
        <v>1736</v>
      </c>
      <c r="N2933" s="1720"/>
      <c r="O2933" s="625"/>
      <c r="P2933" s="625"/>
      <c r="Q2933" s="625"/>
      <c r="R2933" s="1720" t="s">
        <v>2201</v>
      </c>
      <c r="T2933" s="1720" t="str">
        <f t="shared" si="589"/>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Q61"/>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2" customWidth="1"/>
    <col min="6" max="6" width="42.28515625" style="720" customWidth="1"/>
    <col min="7" max="7" width="27.28515625" style="720" customWidth="1"/>
    <col min="8" max="8" width="19.28515625" style="720" customWidth="1"/>
    <col min="9" max="9" width="9.140625" style="720" customWidth="1"/>
    <col min="10" max="10" width="20.5703125" style="1622" customWidth="1"/>
    <col min="11" max="11" width="18.28515625" style="1620" customWidth="1"/>
    <col min="12" max="12" width="19.140625" style="720" customWidth="1"/>
    <col min="13" max="13" width="23" style="720" customWidth="1"/>
    <col min="14" max="14" width="23" style="1623" customWidth="1"/>
    <col min="15" max="15" width="16.28515625" style="720" customWidth="1"/>
    <col min="16" max="16" width="27.28515625" style="1064" customWidth="1"/>
    <col min="17" max="17" width="27.85546875" style="1064" customWidth="1"/>
    <col min="18" max="16384" width="9.140625" style="1064"/>
  </cols>
  <sheetData>
    <row r="1" spans="1:17" ht="30.75" thickBot="1" x14ac:dyDescent="0.3">
      <c r="A1" s="2138" t="s">
        <v>1728</v>
      </c>
      <c r="B1" s="2139"/>
      <c r="C1" s="2139"/>
      <c r="D1" s="2139"/>
      <c r="E1" s="2140"/>
      <c r="F1" s="2141" t="s">
        <v>1729</v>
      </c>
      <c r="G1" s="2142"/>
      <c r="H1" s="2142"/>
      <c r="I1" s="2142"/>
      <c r="J1" s="2142"/>
      <c r="K1" s="2142"/>
      <c r="L1" s="2142"/>
      <c r="M1" s="2143"/>
      <c r="N1" s="1711"/>
      <c r="O1" s="1716" t="s">
        <v>2105</v>
      </c>
      <c r="P1" s="1714"/>
      <c r="Q1" s="1712" t="s">
        <v>2170</v>
      </c>
    </row>
    <row r="2" spans="1:17" ht="15.75" thickBot="1" x14ac:dyDescent="0.3">
      <c r="A2" s="1677" t="s">
        <v>1728</v>
      </c>
      <c r="B2" s="1678" t="s">
        <v>1733</v>
      </c>
      <c r="C2" s="1678" t="s">
        <v>1730</v>
      </c>
      <c r="D2" s="1679" t="s">
        <v>1731</v>
      </c>
      <c r="E2" s="1680" t="s">
        <v>1599</v>
      </c>
      <c r="F2" s="1681" t="s">
        <v>1383</v>
      </c>
      <c r="G2" s="1682" t="s">
        <v>1732</v>
      </c>
      <c r="H2" s="1683" t="s">
        <v>1730</v>
      </c>
      <c r="I2" s="1684" t="s">
        <v>1731</v>
      </c>
      <c r="J2" s="1685" t="s">
        <v>1599</v>
      </c>
      <c r="K2" s="1618" t="s">
        <v>2138</v>
      </c>
      <c r="L2" s="1627" t="s">
        <v>2138</v>
      </c>
      <c r="M2" s="1685" t="s">
        <v>2139</v>
      </c>
      <c r="N2" s="1710" t="s">
        <v>2140</v>
      </c>
      <c r="O2" s="1717">
        <v>4</v>
      </c>
      <c r="P2" s="1715"/>
      <c r="Q2" s="1713">
        <f>MAX('Customer Inputs'!C:C)</f>
        <v>10</v>
      </c>
    </row>
    <row r="3" spans="1:17" ht="35.25" customHeight="1" x14ac:dyDescent="0.25">
      <c r="A3" s="1671" t="s">
        <v>851</v>
      </c>
      <c r="B3" s="1671">
        <v>1</v>
      </c>
      <c r="C3" s="1671">
        <v>12</v>
      </c>
      <c r="D3" s="1671">
        <v>24</v>
      </c>
      <c r="E3" s="1672" t="str">
        <f>J3</f>
        <v>Yes</v>
      </c>
      <c r="F3" s="1671" t="s">
        <v>1485</v>
      </c>
      <c r="G3" s="1671">
        <v>1201</v>
      </c>
      <c r="H3" s="1671">
        <v>3</v>
      </c>
      <c r="I3" s="1671">
        <v>16</v>
      </c>
      <c r="J3" s="1673" t="str">
        <f>'Incentives Worksheet'!T12</f>
        <v>Yes</v>
      </c>
      <c r="K3" s="1674" t="str">
        <f t="shared" ref="K3:K47" si="0">_xlfn.CONCAT(_xlfn.CONCAT("D",H3+10), _xlfn.CONCAT(":E",H3+10))</f>
        <v>D13:E13</v>
      </c>
      <c r="L3" s="1671" t="str">
        <f>_xlfn.CONCAT("F",I3-1)</f>
        <v>F15</v>
      </c>
      <c r="M3" s="1675" t="str">
        <f>'Incentives Worksheet'!T15</f>
        <v>No</v>
      </c>
      <c r="N3" s="1676">
        <f>'Incentives Worksheet'!F15</f>
        <v>0</v>
      </c>
    </row>
    <row r="4" spans="1:17" x14ac:dyDescent="0.25">
      <c r="A4" s="1619" t="s">
        <v>851</v>
      </c>
      <c r="B4" s="1619">
        <v>2</v>
      </c>
      <c r="C4" s="1619">
        <v>26</v>
      </c>
      <c r="D4" s="1619">
        <v>38</v>
      </c>
      <c r="E4" s="1666" t="str">
        <f>J3</f>
        <v>Yes</v>
      </c>
      <c r="F4" s="1619" t="s">
        <v>1485</v>
      </c>
      <c r="G4" s="1619">
        <v>1202</v>
      </c>
      <c r="H4" s="1619">
        <v>17</v>
      </c>
      <c r="I4" s="1619">
        <v>30</v>
      </c>
      <c r="J4" s="1665" t="str">
        <f>'Incentives Worksheet'!T26</f>
        <v>Yes</v>
      </c>
      <c r="K4" s="1668" t="str">
        <f t="shared" si="0"/>
        <v>D27:E27</v>
      </c>
      <c r="L4" s="1619" t="str">
        <f t="shared" ref="L4:L47" si="1">_xlfn.CONCAT("F",I4-1)</f>
        <v>F29</v>
      </c>
      <c r="M4" s="1669" t="str">
        <f>'Incentives Worksheet'!T29</f>
        <v>No</v>
      </c>
      <c r="N4" s="1670">
        <f>'Incentives Worksheet'!F29</f>
        <v>0</v>
      </c>
    </row>
    <row r="5" spans="1:17" x14ac:dyDescent="0.25">
      <c r="A5" s="1621" t="s">
        <v>851</v>
      </c>
      <c r="B5" s="1621">
        <v>3</v>
      </c>
      <c r="C5" s="1621">
        <v>40</v>
      </c>
      <c r="D5" s="1619">
        <v>52</v>
      </c>
      <c r="E5" s="1666" t="str">
        <f>J3</f>
        <v>Yes</v>
      </c>
      <c r="F5" s="1619" t="s">
        <v>1500</v>
      </c>
      <c r="G5" s="1619">
        <v>1401</v>
      </c>
      <c r="H5" s="1619">
        <v>31</v>
      </c>
      <c r="I5" s="1619">
        <v>44</v>
      </c>
      <c r="J5" s="1665" t="str">
        <f>'Incentives Worksheet'!T40</f>
        <v>Yes</v>
      </c>
      <c r="K5" s="1668" t="str">
        <f t="shared" si="0"/>
        <v>D41:E41</v>
      </c>
      <c r="L5" s="1619" t="str">
        <f t="shared" si="1"/>
        <v>F43</v>
      </c>
      <c r="M5" s="1669" t="str">
        <f>'Incentives Worksheet'!T43</f>
        <v>No</v>
      </c>
      <c r="N5" s="1670">
        <f>'Incentives Worksheet'!F43</f>
        <v>0</v>
      </c>
    </row>
    <row r="6" spans="1:17" x14ac:dyDescent="0.25">
      <c r="A6" s="1621" t="s">
        <v>217</v>
      </c>
      <c r="B6" s="1621">
        <v>1</v>
      </c>
      <c r="C6" s="1621">
        <v>54</v>
      </c>
      <c r="D6" s="1619">
        <v>66</v>
      </c>
      <c r="E6" s="1666" t="str">
        <f>J9</f>
        <v>Yes</v>
      </c>
      <c r="F6" s="1619" t="s">
        <v>1500</v>
      </c>
      <c r="G6" s="1619">
        <v>1402</v>
      </c>
      <c r="H6" s="1619">
        <v>45</v>
      </c>
      <c r="I6" s="1619">
        <v>58</v>
      </c>
      <c r="J6" s="1665" t="str">
        <f>'Incentives Worksheet'!T54</f>
        <v>Yes</v>
      </c>
      <c r="K6" s="1668" t="str">
        <f t="shared" si="0"/>
        <v>D55:E55</v>
      </c>
      <c r="L6" s="1619" t="str">
        <f t="shared" si="1"/>
        <v>F57</v>
      </c>
      <c r="M6" s="1669" t="str">
        <f>'Incentives Worksheet'!T57</f>
        <v>No</v>
      </c>
      <c r="N6" s="1670">
        <f>'Incentives Worksheet'!F57</f>
        <v>0</v>
      </c>
    </row>
    <row r="7" spans="1:17" x14ac:dyDescent="0.25">
      <c r="A7" s="1621" t="s">
        <v>217</v>
      </c>
      <c r="B7" s="1621">
        <v>2</v>
      </c>
      <c r="C7" s="1621">
        <v>68</v>
      </c>
      <c r="D7" s="1619">
        <v>80</v>
      </c>
      <c r="E7" s="1666" t="str">
        <f>J9</f>
        <v>Yes</v>
      </c>
      <c r="F7" s="1619" t="s">
        <v>1513</v>
      </c>
      <c r="G7" s="1619">
        <v>1501</v>
      </c>
      <c r="H7" s="1619">
        <v>59</v>
      </c>
      <c r="I7" s="1619">
        <v>74</v>
      </c>
      <c r="J7" s="1665" t="str">
        <f>'Incentives Worksheet'!T68</f>
        <v>Yes</v>
      </c>
      <c r="K7" s="1668" t="str">
        <f>_xlfn.CONCAT(_xlfn.CONCAT("D",H7+12), _xlfn.CONCAT(":E",H7+12))</f>
        <v>D71:E71</v>
      </c>
      <c r="L7" s="1619" t="str">
        <f>_xlfn.CONCAT("F",I7-2)</f>
        <v>F72</v>
      </c>
      <c r="M7" s="1669" t="str">
        <f>'Incentives Worksheet'!T72</f>
        <v>No</v>
      </c>
      <c r="N7" s="1670">
        <f>'Incentives Worksheet'!F72</f>
        <v>0</v>
      </c>
    </row>
    <row r="8" spans="1:17" x14ac:dyDescent="0.25">
      <c r="A8" s="1621" t="s">
        <v>525</v>
      </c>
      <c r="B8" s="1621">
        <v>1</v>
      </c>
      <c r="C8" s="1621">
        <v>82</v>
      </c>
      <c r="D8" s="1619">
        <v>94</v>
      </c>
      <c r="E8" s="1666" t="str">
        <f>J13</f>
        <v>Yes</v>
      </c>
      <c r="F8" s="1619" t="s">
        <v>1513</v>
      </c>
      <c r="G8" s="1619">
        <v>1502</v>
      </c>
      <c r="H8" s="1619">
        <v>75</v>
      </c>
      <c r="I8" s="1619">
        <v>90</v>
      </c>
      <c r="J8" s="1665" t="str">
        <f>'Incentives Worksheet'!T84</f>
        <v>Yes</v>
      </c>
      <c r="K8" s="1668" t="str">
        <f>_xlfn.CONCAT(_xlfn.CONCAT("D",H8+12), _xlfn.CONCAT(":E",H8+12))</f>
        <v>D87:E87</v>
      </c>
      <c r="L8" s="1619" t="str">
        <f>_xlfn.CONCAT("F",I8-2)</f>
        <v>F88</v>
      </c>
      <c r="M8" s="1669" t="str">
        <f>'Incentives Worksheet'!T88</f>
        <v>No</v>
      </c>
      <c r="N8" s="1670">
        <f>'Incentives Worksheet'!F88</f>
        <v>0</v>
      </c>
    </row>
    <row r="9" spans="1:17" x14ac:dyDescent="0.25">
      <c r="A9" s="1621" t="s">
        <v>525</v>
      </c>
      <c r="B9" s="1621">
        <v>2</v>
      </c>
      <c r="C9" s="1621">
        <v>96</v>
      </c>
      <c r="D9" s="1619">
        <v>108</v>
      </c>
      <c r="E9" s="1666" t="str">
        <f>J13</f>
        <v>Yes</v>
      </c>
      <c r="F9" s="1619" t="s">
        <v>1522</v>
      </c>
      <c r="G9" s="1619">
        <v>5501</v>
      </c>
      <c r="H9" s="1619">
        <v>91</v>
      </c>
      <c r="I9" s="1619">
        <v>104</v>
      </c>
      <c r="J9" s="1665" t="str">
        <f>'Incentives Worksheet'!T100</f>
        <v>Yes</v>
      </c>
      <c r="K9" s="1668" t="str">
        <f t="shared" si="0"/>
        <v>D101:E101</v>
      </c>
      <c r="L9" s="1619" t="str">
        <f t="shared" si="1"/>
        <v>F103</v>
      </c>
      <c r="M9" s="1669" t="str">
        <f>'Incentives Worksheet'!T103</f>
        <v>No</v>
      </c>
      <c r="N9" s="1670">
        <f>'Incentives Worksheet'!F103</f>
        <v>0</v>
      </c>
    </row>
    <row r="10" spans="1:17" x14ac:dyDescent="0.25">
      <c r="A10" s="1621" t="s">
        <v>1105</v>
      </c>
      <c r="B10" s="1621">
        <v>1</v>
      </c>
      <c r="C10" s="1621">
        <v>110</v>
      </c>
      <c r="D10" s="1619">
        <v>116</v>
      </c>
      <c r="E10" s="1666"/>
      <c r="F10" s="1619" t="s">
        <v>1522</v>
      </c>
      <c r="G10" s="1619">
        <v>5502</v>
      </c>
      <c r="H10" s="1619">
        <v>105</v>
      </c>
      <c r="I10" s="1619">
        <v>118</v>
      </c>
      <c r="J10" s="1665" t="str">
        <f>'Incentives Worksheet'!T114</f>
        <v>Yes</v>
      </c>
      <c r="K10" s="1668" t="str">
        <f t="shared" si="0"/>
        <v>D115:E115</v>
      </c>
      <c r="L10" s="1619" t="str">
        <f t="shared" si="1"/>
        <v>F117</v>
      </c>
      <c r="M10" s="1669" t="str">
        <f>'Incentives Worksheet'!T117</f>
        <v>No</v>
      </c>
      <c r="N10" s="1670">
        <f>'Incentives Worksheet'!F117</f>
        <v>0</v>
      </c>
    </row>
    <row r="11" spans="1:17" x14ac:dyDescent="0.25">
      <c r="A11" s="1621" t="s">
        <v>1105</v>
      </c>
      <c r="B11" s="1621">
        <v>2</v>
      </c>
      <c r="C11" s="1621">
        <v>118</v>
      </c>
      <c r="D11" s="1619">
        <v>124</v>
      </c>
      <c r="E11" s="1666"/>
      <c r="F11" s="1619" t="s">
        <v>1523</v>
      </c>
      <c r="G11" s="1619">
        <v>2801</v>
      </c>
      <c r="H11" s="1619">
        <v>119</v>
      </c>
      <c r="I11" s="1619">
        <v>134</v>
      </c>
      <c r="J11" s="1665" t="str">
        <f>'Incentives Worksheet'!T128</f>
        <v>Yes</v>
      </c>
      <c r="K11" s="1668" t="str">
        <f>_xlfn.CONCAT(_xlfn.CONCAT("D",H11+12), _xlfn.CONCAT(":E",H11+12))</f>
        <v>D131:E131</v>
      </c>
      <c r="L11" s="1619" t="str">
        <f>_xlfn.CONCAT("F",I11-2)</f>
        <v>F132</v>
      </c>
      <c r="M11" s="1669" t="str">
        <f>'Incentives Worksheet'!T132</f>
        <v>No</v>
      </c>
      <c r="N11" s="1670">
        <f>'Incentives Worksheet'!F132</f>
        <v>0</v>
      </c>
    </row>
    <row r="12" spans="1:17" x14ac:dyDescent="0.25">
      <c r="A12" s="1621" t="s">
        <v>1105</v>
      </c>
      <c r="B12" s="1621">
        <v>3</v>
      </c>
      <c r="C12" s="1621">
        <v>126</v>
      </c>
      <c r="D12" s="1619">
        <v>132</v>
      </c>
      <c r="E12" s="1666"/>
      <c r="F12" s="1619" t="s">
        <v>1523</v>
      </c>
      <c r="G12" s="1619">
        <v>2802</v>
      </c>
      <c r="H12" s="1619">
        <v>135</v>
      </c>
      <c r="I12" s="1619">
        <v>150</v>
      </c>
      <c r="J12" s="1665" t="str">
        <f>'Incentives Worksheet'!T144</f>
        <v>Yes</v>
      </c>
      <c r="K12" s="1668" t="str">
        <f>_xlfn.CONCAT(_xlfn.CONCAT("D",H12+12), _xlfn.CONCAT(":E",H12+12))</f>
        <v>D147:E147</v>
      </c>
      <c r="L12" s="1619" t="str">
        <f>_xlfn.CONCAT("F",I12-2)</f>
        <v>F148</v>
      </c>
      <c r="M12" s="1669" t="str">
        <f>'Incentives Worksheet'!T148</f>
        <v>No</v>
      </c>
      <c r="N12" s="1670">
        <f>'Incentives Worksheet'!F148</f>
        <v>0</v>
      </c>
    </row>
    <row r="13" spans="1:17" x14ac:dyDescent="0.25">
      <c r="A13" s="1621" t="s">
        <v>1105</v>
      </c>
      <c r="B13" s="1621">
        <v>4</v>
      </c>
      <c r="C13" s="1621">
        <v>134</v>
      </c>
      <c r="D13" s="1619">
        <v>140</v>
      </c>
      <c r="E13" s="1666"/>
      <c r="F13" s="1619" t="s">
        <v>1530</v>
      </c>
      <c r="G13" s="1619">
        <v>3401</v>
      </c>
      <c r="H13" s="1619">
        <v>151</v>
      </c>
      <c r="I13" s="1619">
        <v>164</v>
      </c>
      <c r="J13" s="1665" t="str">
        <f>'Incentives Worksheet'!T160</f>
        <v>Yes</v>
      </c>
      <c r="K13" s="1668" t="str">
        <f t="shared" si="0"/>
        <v>D161:E161</v>
      </c>
      <c r="L13" s="1619" t="str">
        <f t="shared" si="1"/>
        <v>F163</v>
      </c>
      <c r="M13" s="1669" t="str">
        <f>'Incentives Worksheet'!T163</f>
        <v>No</v>
      </c>
      <c r="N13" s="1670">
        <f>'Incentives Worksheet'!F163</f>
        <v>0</v>
      </c>
    </row>
    <row r="14" spans="1:17" x14ac:dyDescent="0.25">
      <c r="A14" s="1621" t="s">
        <v>1105</v>
      </c>
      <c r="B14" s="1621">
        <v>5</v>
      </c>
      <c r="C14" s="1621">
        <v>142</v>
      </c>
      <c r="D14" s="1619">
        <v>148</v>
      </c>
      <c r="E14" s="1666"/>
      <c r="F14" s="1619" t="s">
        <v>1530</v>
      </c>
      <c r="G14" s="1619">
        <v>3402</v>
      </c>
      <c r="H14" s="1619">
        <v>165</v>
      </c>
      <c r="I14" s="1619">
        <v>178</v>
      </c>
      <c r="J14" s="1665" t="str">
        <f>'Incentives Worksheet'!T174</f>
        <v>Yes</v>
      </c>
      <c r="K14" s="1668" t="str">
        <f t="shared" si="0"/>
        <v>D175:E175</v>
      </c>
      <c r="L14" s="1619" t="str">
        <f t="shared" si="1"/>
        <v>F177</v>
      </c>
      <c r="M14" s="1669" t="str">
        <f>'Incentives Worksheet'!T177</f>
        <v>No</v>
      </c>
      <c r="N14" s="1670">
        <f>'Incentives Worksheet'!F177</f>
        <v>0</v>
      </c>
    </row>
    <row r="15" spans="1:17" x14ac:dyDescent="0.25">
      <c r="A15" s="1621" t="s">
        <v>717</v>
      </c>
      <c r="B15" s="1621">
        <v>1</v>
      </c>
      <c r="C15" s="1621">
        <v>150</v>
      </c>
      <c r="D15" s="1619">
        <v>156</v>
      </c>
      <c r="E15" s="1666" t="str">
        <f t="shared" ref="E15:E16" si="2">J24</f>
        <v>Yes</v>
      </c>
      <c r="F15" s="1619" t="s">
        <v>1534</v>
      </c>
      <c r="G15" s="1619">
        <v>3501</v>
      </c>
      <c r="H15" s="1619">
        <v>179</v>
      </c>
      <c r="I15" s="1619">
        <v>192</v>
      </c>
      <c r="J15" s="1665" t="str">
        <f>'Incentives Worksheet'!T188</f>
        <v>Yes</v>
      </c>
      <c r="K15" s="1668" t="str">
        <f t="shared" si="0"/>
        <v>D189:E189</v>
      </c>
      <c r="L15" s="1619" t="str">
        <f t="shared" si="1"/>
        <v>F191</v>
      </c>
      <c r="M15" s="1669" t="str">
        <f>'Incentives Worksheet'!T191</f>
        <v>No</v>
      </c>
      <c r="N15" s="1670">
        <f>'Incentives Worksheet'!F191</f>
        <v>0</v>
      </c>
    </row>
    <row r="16" spans="1:17" x14ac:dyDescent="0.25">
      <c r="A16" s="1621" t="s">
        <v>1095</v>
      </c>
      <c r="B16" s="1621">
        <v>1</v>
      </c>
      <c r="C16" s="1621">
        <v>158</v>
      </c>
      <c r="D16" s="1619">
        <v>164</v>
      </c>
      <c r="E16" s="1666" t="str">
        <f t="shared" si="2"/>
        <v>No</v>
      </c>
      <c r="F16" s="1619" t="s">
        <v>1534</v>
      </c>
      <c r="G16" s="1619">
        <v>3502</v>
      </c>
      <c r="H16" s="1619">
        <v>193</v>
      </c>
      <c r="I16" s="1619">
        <v>206</v>
      </c>
      <c r="J16" s="1665" t="str">
        <f>'Incentives Worksheet'!T202</f>
        <v>Yes</v>
      </c>
      <c r="K16" s="1668" t="str">
        <f t="shared" si="0"/>
        <v>D203:E203</v>
      </c>
      <c r="L16" s="1619" t="str">
        <f t="shared" si="1"/>
        <v>F205</v>
      </c>
      <c r="M16" s="1669" t="str">
        <f>'Incentives Worksheet'!T205</f>
        <v>No</v>
      </c>
      <c r="N16" s="1670">
        <f>'Incentives Worksheet'!F205</f>
        <v>0</v>
      </c>
    </row>
    <row r="17" spans="1:14" x14ac:dyDescent="0.25">
      <c r="A17" s="1621" t="s">
        <v>1095</v>
      </c>
      <c r="B17" s="1621">
        <v>2</v>
      </c>
      <c r="C17" s="1621">
        <v>166</v>
      </c>
      <c r="D17" s="1619">
        <v>172</v>
      </c>
      <c r="E17" s="1667" t="str">
        <f>J25</f>
        <v>No</v>
      </c>
      <c r="F17" s="1619" t="s">
        <v>1537</v>
      </c>
      <c r="G17" s="1619">
        <v>3601</v>
      </c>
      <c r="H17" s="1619">
        <v>207</v>
      </c>
      <c r="I17" s="1619">
        <v>222</v>
      </c>
      <c r="J17" s="1665" t="str">
        <f>'Incentives Worksheet'!T216</f>
        <v>Yes</v>
      </c>
      <c r="K17" s="1668" t="str">
        <f>_xlfn.CONCAT(_xlfn.CONCAT("D",H17+12), _xlfn.CONCAT(":E",H17+12))</f>
        <v>D219:E219</v>
      </c>
      <c r="L17" s="1619" t="str">
        <f>_xlfn.CONCAT("F",I17-2)</f>
        <v>F220</v>
      </c>
      <c r="M17" s="1669" t="str">
        <f>'Incentives Worksheet'!T220</f>
        <v>No</v>
      </c>
      <c r="N17" s="1670">
        <f>'Incentives Worksheet'!F220</f>
        <v>0</v>
      </c>
    </row>
    <row r="18" spans="1:14" x14ac:dyDescent="0.25">
      <c r="A18" s="1621" t="s">
        <v>999</v>
      </c>
      <c r="B18" s="1621">
        <v>1</v>
      </c>
      <c r="C18" s="1621">
        <v>174</v>
      </c>
      <c r="D18" s="1619">
        <v>180</v>
      </c>
      <c r="E18" s="1667" t="str">
        <f>J28</f>
        <v>No</v>
      </c>
      <c r="F18" s="1619" t="s">
        <v>1537</v>
      </c>
      <c r="G18" s="1619">
        <v>3602</v>
      </c>
      <c r="H18" s="1619">
        <v>223</v>
      </c>
      <c r="I18" s="1619">
        <v>238</v>
      </c>
      <c r="J18" s="1665" t="str">
        <f>'Incentives Worksheet'!T232</f>
        <v>Yes</v>
      </c>
      <c r="K18" s="1668" t="str">
        <f>_xlfn.CONCAT(_xlfn.CONCAT("D",H18+12), _xlfn.CONCAT(":E",H18+12))</f>
        <v>D235:E235</v>
      </c>
      <c r="L18" s="1619" t="str">
        <f>_xlfn.CONCAT("F",I18-2)</f>
        <v>F236</v>
      </c>
      <c r="M18" s="1669" t="str">
        <f>'Incentives Worksheet'!T236</f>
        <v>No</v>
      </c>
      <c r="N18" s="1670">
        <f>'Incentives Worksheet'!F236</f>
        <v>0</v>
      </c>
    </row>
    <row r="19" spans="1:14" x14ac:dyDescent="0.25">
      <c r="A19" s="1621" t="s">
        <v>1473</v>
      </c>
      <c r="B19" s="1621">
        <v>1</v>
      </c>
      <c r="C19" s="1621">
        <v>182</v>
      </c>
      <c r="D19" s="1619">
        <v>191</v>
      </c>
      <c r="E19" s="1667" t="str">
        <f>J29</f>
        <v>No</v>
      </c>
      <c r="F19" s="1619" t="s">
        <v>1539</v>
      </c>
      <c r="G19" s="1619">
        <v>1301</v>
      </c>
      <c r="H19" s="1619">
        <v>239</v>
      </c>
      <c r="I19" s="1619">
        <v>252</v>
      </c>
      <c r="J19" s="1665"/>
      <c r="K19" s="1668" t="str">
        <f t="shared" si="0"/>
        <v>D249:E249</v>
      </c>
      <c r="L19" s="1619" t="str">
        <f t="shared" si="1"/>
        <v>F251</v>
      </c>
      <c r="M19" s="1669" t="str">
        <f>'Incentives Worksheet'!T251</f>
        <v>No</v>
      </c>
      <c r="N19" s="1670">
        <f>'Incentives Worksheet'!F251</f>
        <v>0</v>
      </c>
    </row>
    <row r="20" spans="1:14" x14ac:dyDescent="0.25">
      <c r="A20" s="1621" t="s">
        <v>1099</v>
      </c>
      <c r="B20" s="1621">
        <v>1</v>
      </c>
      <c r="C20" s="1621">
        <v>193</v>
      </c>
      <c r="D20" s="1619">
        <v>203</v>
      </c>
      <c r="E20" s="1667" t="str">
        <f>J31</f>
        <v>No</v>
      </c>
      <c r="F20" s="1619" t="s">
        <v>1539</v>
      </c>
      <c r="G20" s="1619">
        <v>1302</v>
      </c>
      <c r="H20" s="1619">
        <v>253</v>
      </c>
      <c r="I20" s="1619">
        <v>266</v>
      </c>
      <c r="J20" s="1665"/>
      <c r="K20" s="1668" t="str">
        <f t="shared" si="0"/>
        <v>D263:E263</v>
      </c>
      <c r="L20" s="1619" t="str">
        <f t="shared" si="1"/>
        <v>F265</v>
      </c>
      <c r="M20" s="1669" t="str">
        <f>'Incentives Worksheet'!T265</f>
        <v>No</v>
      </c>
      <c r="N20" s="1670">
        <f>'Incentives Worksheet'!F265</f>
        <v>0</v>
      </c>
    </row>
    <row r="21" spans="1:14" x14ac:dyDescent="0.25">
      <c r="A21" s="1621" t="s">
        <v>1099</v>
      </c>
      <c r="B21" s="1621">
        <v>2</v>
      </c>
      <c r="C21" s="1621">
        <v>205</v>
      </c>
      <c r="D21" s="1619">
        <v>215</v>
      </c>
      <c r="E21" s="1667" t="str">
        <f>J31</f>
        <v>No</v>
      </c>
      <c r="F21" s="1619" t="s">
        <v>1539</v>
      </c>
      <c r="G21" s="1619">
        <v>1303</v>
      </c>
      <c r="H21" s="1619">
        <v>267</v>
      </c>
      <c r="I21" s="1619">
        <v>280</v>
      </c>
      <c r="J21" s="1665"/>
      <c r="K21" s="1668" t="str">
        <f t="shared" si="0"/>
        <v>D277:E277</v>
      </c>
      <c r="L21" s="1619" t="str">
        <f t="shared" si="1"/>
        <v>F279</v>
      </c>
      <c r="M21" s="1669" t="str">
        <f>'Incentives Worksheet'!T279</f>
        <v>No</v>
      </c>
      <c r="N21" s="1670">
        <f>'Incentives Worksheet'!F279</f>
        <v>0</v>
      </c>
    </row>
    <row r="22" spans="1:14" x14ac:dyDescent="0.25">
      <c r="A22" s="1621" t="s">
        <v>1483</v>
      </c>
      <c r="B22" s="1621">
        <v>1</v>
      </c>
      <c r="C22" s="1621">
        <v>217</v>
      </c>
      <c r="D22" s="1619">
        <v>223</v>
      </c>
      <c r="E22" s="1667" t="str">
        <f>J37</f>
        <v>No</v>
      </c>
      <c r="F22" s="1619" t="s">
        <v>1539</v>
      </c>
      <c r="G22" s="1619">
        <v>1304</v>
      </c>
      <c r="H22" s="1619">
        <v>281</v>
      </c>
      <c r="I22" s="1619">
        <v>294</v>
      </c>
      <c r="J22" s="1665"/>
      <c r="K22" s="1668" t="str">
        <f t="shared" si="0"/>
        <v>D291:E291</v>
      </c>
      <c r="L22" s="1619" t="str">
        <f t="shared" si="1"/>
        <v>F293</v>
      </c>
      <c r="M22" s="1669" t="str">
        <f>'Incentives Worksheet'!T293</f>
        <v>No</v>
      </c>
      <c r="N22" s="1670">
        <f>'Incentives Worksheet'!F293</f>
        <v>0</v>
      </c>
    </row>
    <row r="23" spans="1:14" x14ac:dyDescent="0.25">
      <c r="A23" s="1621" t="s">
        <v>1775</v>
      </c>
      <c r="B23" s="1621">
        <v>1</v>
      </c>
      <c r="C23" s="1621">
        <v>225</v>
      </c>
      <c r="D23" s="1621">
        <v>234</v>
      </c>
      <c r="E23" s="1667" t="str">
        <f>J38</f>
        <v>No</v>
      </c>
      <c r="F23" s="1619" t="s">
        <v>1539</v>
      </c>
      <c r="G23" s="1619">
        <v>1305</v>
      </c>
      <c r="H23" s="1619">
        <v>295</v>
      </c>
      <c r="I23" s="1619">
        <v>308</v>
      </c>
      <c r="J23" s="1665"/>
      <c r="K23" s="1668" t="str">
        <f t="shared" si="0"/>
        <v>D305:E305</v>
      </c>
      <c r="L23" s="1619" t="str">
        <f t="shared" si="1"/>
        <v>F307</v>
      </c>
      <c r="M23" s="1669" t="str">
        <f>'Incentives Worksheet'!T307</f>
        <v>No</v>
      </c>
      <c r="N23" s="1670">
        <f>'Incentives Worksheet'!F307</f>
        <v>0</v>
      </c>
    </row>
    <row r="24" spans="1:14" x14ac:dyDescent="0.25">
      <c r="A24" s="1621" t="s">
        <v>1775</v>
      </c>
      <c r="B24" s="1621">
        <v>2</v>
      </c>
      <c r="C24" s="1621">
        <v>236</v>
      </c>
      <c r="D24" s="1621">
        <v>245</v>
      </c>
      <c r="E24" s="1667" t="str">
        <f t="shared" ref="E24:E31" si="3">J39</f>
        <v>No</v>
      </c>
      <c r="F24" s="1619" t="s">
        <v>1540</v>
      </c>
      <c r="G24" s="1619">
        <v>4001</v>
      </c>
      <c r="H24" s="1619">
        <v>309</v>
      </c>
      <c r="I24" s="1619">
        <v>322</v>
      </c>
      <c r="J24" s="1664" t="str">
        <f>'Incentives Worksheet'!T318</f>
        <v>Yes</v>
      </c>
      <c r="K24" s="1668" t="str">
        <f t="shared" si="0"/>
        <v>D319:E319</v>
      </c>
      <c r="L24" s="1619" t="str">
        <f t="shared" si="1"/>
        <v>F321</v>
      </c>
      <c r="M24" s="1669" t="str">
        <f>'Incentives Worksheet'!T321</f>
        <v>No</v>
      </c>
      <c r="N24" s="1670">
        <f>'Incentives Worksheet'!F321</f>
        <v>0</v>
      </c>
    </row>
    <row r="25" spans="1:14" x14ac:dyDescent="0.25">
      <c r="A25" s="1621" t="s">
        <v>1775</v>
      </c>
      <c r="B25" s="1621">
        <v>3</v>
      </c>
      <c r="C25" s="1621">
        <v>247</v>
      </c>
      <c r="D25" s="1621">
        <v>256</v>
      </c>
      <c r="E25" s="1667" t="str">
        <f t="shared" si="3"/>
        <v>No</v>
      </c>
      <c r="F25" s="1619" t="s">
        <v>1600</v>
      </c>
      <c r="G25" s="1619">
        <v>4601</v>
      </c>
      <c r="H25" s="1619">
        <v>323</v>
      </c>
      <c r="I25" s="1619">
        <v>336</v>
      </c>
      <c r="J25" s="1664" t="str">
        <f>'Incentives Worksheet'!T332</f>
        <v>No</v>
      </c>
      <c r="K25" s="1668" t="str">
        <f t="shared" si="0"/>
        <v>D333:E333</v>
      </c>
      <c r="L25" s="1619" t="str">
        <f t="shared" si="1"/>
        <v>F335</v>
      </c>
      <c r="M25" s="1669" t="str">
        <f>'Incentives Worksheet'!T335</f>
        <v>No</v>
      </c>
      <c r="N25" s="1670">
        <f>'Incentives Worksheet'!F335</f>
        <v>0</v>
      </c>
    </row>
    <row r="26" spans="1:14" x14ac:dyDescent="0.25">
      <c r="A26" s="1621" t="s">
        <v>1775</v>
      </c>
      <c r="B26" s="1621">
        <v>4</v>
      </c>
      <c r="C26" s="1621">
        <v>258</v>
      </c>
      <c r="D26" s="1621">
        <v>267</v>
      </c>
      <c r="E26" s="1667" t="str">
        <f t="shared" si="3"/>
        <v>No</v>
      </c>
      <c r="F26" s="1619" t="s">
        <v>1600</v>
      </c>
      <c r="G26" s="1619">
        <v>4602</v>
      </c>
      <c r="H26" s="1619">
        <v>337</v>
      </c>
      <c r="I26" s="1619">
        <v>350</v>
      </c>
      <c r="J26" s="1664" t="str">
        <f>'Incentives Worksheet'!T346</f>
        <v>No</v>
      </c>
      <c r="K26" s="1668" t="str">
        <f t="shared" si="0"/>
        <v>D347:E347</v>
      </c>
      <c r="L26" s="1619" t="str">
        <f t="shared" si="1"/>
        <v>F349</v>
      </c>
      <c r="M26" s="1669" t="str">
        <f>'Incentives Worksheet'!T349</f>
        <v>No</v>
      </c>
      <c r="N26" s="1670">
        <f>'Incentives Worksheet'!F349</f>
        <v>0</v>
      </c>
    </row>
    <row r="27" spans="1:14" x14ac:dyDescent="0.25">
      <c r="A27" s="1621" t="s">
        <v>1775</v>
      </c>
      <c r="B27" s="1621">
        <v>5</v>
      </c>
      <c r="C27" s="1621">
        <v>269</v>
      </c>
      <c r="D27" s="1621">
        <v>278</v>
      </c>
      <c r="E27" s="1667" t="str">
        <f t="shared" si="3"/>
        <v>No</v>
      </c>
      <c r="F27" s="1619" t="s">
        <v>1761</v>
      </c>
      <c r="G27" s="1619">
        <v>4901</v>
      </c>
      <c r="H27" s="1619">
        <v>351</v>
      </c>
      <c r="I27" s="1619">
        <v>364</v>
      </c>
      <c r="J27" s="1664" t="str">
        <f>'Incentives Worksheet'!T360</f>
        <v>No</v>
      </c>
      <c r="K27" s="1668" t="str">
        <f t="shared" si="0"/>
        <v>D361:E361</v>
      </c>
      <c r="L27" s="1619" t="str">
        <f t="shared" si="1"/>
        <v>F363</v>
      </c>
      <c r="M27" s="1669" t="str">
        <f>'Incentives Worksheet'!T363</f>
        <v>No</v>
      </c>
      <c r="N27" s="1670">
        <f>'Incentives Worksheet'!F363</f>
        <v>0</v>
      </c>
    </row>
    <row r="28" spans="1:14" x14ac:dyDescent="0.25">
      <c r="A28" s="1621" t="s">
        <v>1775</v>
      </c>
      <c r="B28" s="1621">
        <v>6</v>
      </c>
      <c r="C28" s="1621">
        <v>280</v>
      </c>
      <c r="D28" s="1621">
        <v>289</v>
      </c>
      <c r="E28" s="1667" t="str">
        <f t="shared" si="3"/>
        <v>No</v>
      </c>
      <c r="F28" s="1619" t="s">
        <v>1608</v>
      </c>
      <c r="G28" s="1619">
        <v>5001</v>
      </c>
      <c r="H28" s="1619">
        <v>365</v>
      </c>
      <c r="I28" s="1619">
        <v>378</v>
      </c>
      <c r="J28" s="1664" t="str">
        <f>'Incentives Worksheet'!T374</f>
        <v>No</v>
      </c>
      <c r="K28" s="1668" t="str">
        <f t="shared" si="0"/>
        <v>D375:E375</v>
      </c>
      <c r="L28" s="1619" t="str">
        <f t="shared" si="1"/>
        <v>F377</v>
      </c>
      <c r="M28" s="1669" t="str">
        <f>'Incentives Worksheet'!T377</f>
        <v>No</v>
      </c>
      <c r="N28" s="1670">
        <f>'Incentives Worksheet'!F377</f>
        <v>0</v>
      </c>
    </row>
    <row r="29" spans="1:14" x14ac:dyDescent="0.25">
      <c r="A29" s="1621" t="s">
        <v>1775</v>
      </c>
      <c r="B29" s="1621">
        <v>7</v>
      </c>
      <c r="C29" s="1621">
        <v>291</v>
      </c>
      <c r="D29" s="1621">
        <v>300</v>
      </c>
      <c r="E29" s="1667" t="str">
        <f t="shared" si="3"/>
        <v>No</v>
      </c>
      <c r="F29" s="1619" t="s">
        <v>1133</v>
      </c>
      <c r="G29" s="1619">
        <v>801</v>
      </c>
      <c r="H29" s="1619">
        <v>379</v>
      </c>
      <c r="I29" s="1619">
        <v>392</v>
      </c>
      <c r="J29" s="1664" t="str">
        <f>'Incentives Worksheet'!T388</f>
        <v>No</v>
      </c>
      <c r="K29" s="1668" t="str">
        <f t="shared" si="0"/>
        <v>D389:E389</v>
      </c>
      <c r="L29" s="1619" t="str">
        <f t="shared" si="1"/>
        <v>F391</v>
      </c>
      <c r="M29" s="1669" t="str">
        <f>'Incentives Worksheet'!T391</f>
        <v>No</v>
      </c>
      <c r="N29" s="1670">
        <f>'Incentives Worksheet'!F391</f>
        <v>0</v>
      </c>
    </row>
    <row r="30" spans="1:14" x14ac:dyDescent="0.25">
      <c r="A30" s="1621" t="s">
        <v>1775</v>
      </c>
      <c r="B30" s="1621">
        <v>8</v>
      </c>
      <c r="C30" s="1621">
        <v>302</v>
      </c>
      <c r="D30" s="1621">
        <v>311</v>
      </c>
      <c r="E30" s="1667" t="str">
        <f t="shared" si="3"/>
        <v>No</v>
      </c>
      <c r="F30" s="1619" t="s">
        <v>1612</v>
      </c>
      <c r="G30" s="1619">
        <v>901</v>
      </c>
      <c r="H30" s="1619">
        <v>393</v>
      </c>
      <c r="I30" s="1619">
        <v>406</v>
      </c>
      <c r="J30" s="1664" t="str">
        <f>'Incentives Worksheet'!T402</f>
        <v>No</v>
      </c>
      <c r="K30" s="1668" t="str">
        <f t="shared" si="0"/>
        <v>D403:E403</v>
      </c>
      <c r="L30" s="1619" t="str">
        <f t="shared" si="1"/>
        <v>F405</v>
      </c>
      <c r="M30" s="1669" t="str">
        <f>'Incentives Worksheet'!T405</f>
        <v>No</v>
      </c>
      <c r="N30" s="1670">
        <f>'Incentives Worksheet'!F405</f>
        <v>0</v>
      </c>
    </row>
    <row r="31" spans="1:14" x14ac:dyDescent="0.25">
      <c r="A31" s="1621" t="s">
        <v>1775</v>
      </c>
      <c r="B31" s="1621">
        <v>9</v>
      </c>
      <c r="C31" s="1621">
        <v>313</v>
      </c>
      <c r="D31" s="1621">
        <v>322</v>
      </c>
      <c r="E31" s="1667" t="str">
        <f t="shared" si="3"/>
        <v>No</v>
      </c>
      <c r="F31" s="1619" t="s">
        <v>1614</v>
      </c>
      <c r="G31" s="1619">
        <v>501</v>
      </c>
      <c r="H31" s="1619">
        <v>407</v>
      </c>
      <c r="I31" s="1619">
        <v>420</v>
      </c>
      <c r="J31" s="1664" t="str">
        <f>'Incentives Worksheet'!T416</f>
        <v>No</v>
      </c>
      <c r="K31" s="1668" t="str">
        <f t="shared" si="0"/>
        <v>D417:E417</v>
      </c>
      <c r="L31" s="1619" t="str">
        <f t="shared" si="1"/>
        <v>F419</v>
      </c>
      <c r="M31" s="1669" t="str">
        <f>'Incentives Worksheet'!T419</f>
        <v>No</v>
      </c>
      <c r="N31" s="1670">
        <f>'Incentives Worksheet'!F419</f>
        <v>0</v>
      </c>
    </row>
    <row r="32" spans="1:14" x14ac:dyDescent="0.25">
      <c r="A32" s="1621" t="s">
        <v>1775</v>
      </c>
      <c r="B32" s="1621">
        <v>10</v>
      </c>
      <c r="C32" s="1621">
        <v>324</v>
      </c>
      <c r="D32" s="1621">
        <v>333</v>
      </c>
      <c r="E32" s="1667" t="str">
        <f>J47</f>
        <v>No</v>
      </c>
      <c r="F32" s="1619" t="s">
        <v>1614</v>
      </c>
      <c r="G32" s="1619">
        <v>502</v>
      </c>
      <c r="H32" s="1619">
        <v>421</v>
      </c>
      <c r="I32" s="1619">
        <v>434</v>
      </c>
      <c r="J32" s="1664" t="str">
        <f>'Incentives Worksheet'!T430</f>
        <v>No</v>
      </c>
      <c r="K32" s="1668" t="str">
        <f t="shared" si="0"/>
        <v>D431:E431</v>
      </c>
      <c r="L32" s="1619" t="str">
        <f t="shared" si="1"/>
        <v>F433</v>
      </c>
      <c r="M32" s="1669" t="str">
        <f>'Incentives Worksheet'!T433</f>
        <v>No</v>
      </c>
      <c r="N32" s="1670">
        <f>'Incentives Worksheet'!F433</f>
        <v>0</v>
      </c>
    </row>
    <row r="33" spans="1:14" x14ac:dyDescent="0.25">
      <c r="A33" s="1621" t="s">
        <v>1775</v>
      </c>
      <c r="B33" s="1621">
        <v>11</v>
      </c>
      <c r="C33" s="1621">
        <v>335</v>
      </c>
      <c r="D33" s="1621">
        <v>344</v>
      </c>
      <c r="E33" s="1667" t="str">
        <f t="shared" ref="E33:E40" si="4">J48</f>
        <v>No</v>
      </c>
      <c r="F33" s="1619" t="s">
        <v>1617</v>
      </c>
      <c r="G33" s="1619">
        <v>5601</v>
      </c>
      <c r="H33" s="1619">
        <v>435</v>
      </c>
      <c r="I33" s="1619">
        <v>448</v>
      </c>
      <c r="J33" s="1664" t="str">
        <f>'Incentives Worksheet'!T444</f>
        <v>No</v>
      </c>
      <c r="K33" s="1668" t="str">
        <f t="shared" si="0"/>
        <v>D445:E445</v>
      </c>
      <c r="L33" s="1619" t="str">
        <f t="shared" si="1"/>
        <v>F447</v>
      </c>
      <c r="M33" s="1669" t="str">
        <f>'Incentives Worksheet'!T447</f>
        <v>No</v>
      </c>
      <c r="N33" s="1670">
        <f>'Incentives Worksheet'!F447</f>
        <v>0</v>
      </c>
    </row>
    <row r="34" spans="1:14" x14ac:dyDescent="0.25">
      <c r="A34" s="1621" t="s">
        <v>1775</v>
      </c>
      <c r="B34" s="1621">
        <v>12</v>
      </c>
      <c r="C34" s="1621">
        <v>346</v>
      </c>
      <c r="D34" s="1621">
        <v>355</v>
      </c>
      <c r="E34" s="1667" t="str">
        <f t="shared" si="4"/>
        <v>No</v>
      </c>
      <c r="F34" s="1619" t="s">
        <v>1617</v>
      </c>
      <c r="G34" s="1619">
        <v>5602</v>
      </c>
      <c r="H34" s="1619">
        <v>449</v>
      </c>
      <c r="I34" s="1619">
        <v>462</v>
      </c>
      <c r="J34" s="1664" t="str">
        <f>'Incentives Worksheet'!T458</f>
        <v>No</v>
      </c>
      <c r="K34" s="1668" t="str">
        <f t="shared" si="0"/>
        <v>D459:E459</v>
      </c>
      <c r="L34" s="1619" t="str">
        <f t="shared" si="1"/>
        <v>F461</v>
      </c>
      <c r="M34" s="1669" t="str">
        <f>'Incentives Worksheet'!T461</f>
        <v>No</v>
      </c>
      <c r="N34" s="1670">
        <f>'Incentives Worksheet'!F461</f>
        <v>0</v>
      </c>
    </row>
    <row r="35" spans="1:14" x14ac:dyDescent="0.25">
      <c r="A35" s="1621" t="s">
        <v>1775</v>
      </c>
      <c r="B35" s="1621">
        <v>13</v>
      </c>
      <c r="C35" s="1621">
        <v>357</v>
      </c>
      <c r="D35" s="1621">
        <v>366</v>
      </c>
      <c r="E35" s="1667" t="str">
        <f t="shared" si="4"/>
        <v>No</v>
      </c>
      <c r="F35" s="1619" t="s">
        <v>1620</v>
      </c>
      <c r="G35" s="1619">
        <v>601</v>
      </c>
      <c r="H35" s="1619">
        <v>463</v>
      </c>
      <c r="I35" s="1619">
        <v>476</v>
      </c>
      <c r="J35" s="1664" t="str">
        <f>'Incentives Worksheet'!T472</f>
        <v>No</v>
      </c>
      <c r="K35" s="1668" t="str">
        <f t="shared" si="0"/>
        <v>D473:E473</v>
      </c>
      <c r="L35" s="1619" t="str">
        <f t="shared" si="1"/>
        <v>F475</v>
      </c>
      <c r="M35" s="1669" t="str">
        <f>'Incentives Worksheet'!T475</f>
        <v>No</v>
      </c>
      <c r="N35" s="1670">
        <f>'Incentives Worksheet'!F475</f>
        <v>0</v>
      </c>
    </row>
    <row r="36" spans="1:14" x14ac:dyDescent="0.25">
      <c r="A36" s="1621" t="s">
        <v>1775</v>
      </c>
      <c r="B36" s="1621">
        <v>14</v>
      </c>
      <c r="C36" s="1621">
        <v>368</v>
      </c>
      <c r="D36" s="1621">
        <v>377</v>
      </c>
      <c r="E36" s="1667" t="str">
        <f t="shared" si="4"/>
        <v>No</v>
      </c>
      <c r="F36" s="1619" t="s">
        <v>1620</v>
      </c>
      <c r="G36" s="1619">
        <v>602</v>
      </c>
      <c r="H36" s="1619">
        <v>477</v>
      </c>
      <c r="I36" s="1619">
        <v>490</v>
      </c>
      <c r="J36" s="1664" t="str">
        <f>'Incentives Worksheet'!T486</f>
        <v>No</v>
      </c>
      <c r="K36" s="1668" t="str">
        <f t="shared" si="0"/>
        <v>D487:E487</v>
      </c>
      <c r="L36" s="1619" t="str">
        <f t="shared" si="1"/>
        <v>F489</v>
      </c>
      <c r="M36" s="1669" t="str">
        <f>'Incentives Worksheet'!T489</f>
        <v>No</v>
      </c>
      <c r="N36" s="1670">
        <f>'Incentives Worksheet'!F489</f>
        <v>0</v>
      </c>
    </row>
    <row r="37" spans="1:14" x14ac:dyDescent="0.25">
      <c r="A37" s="1621" t="s">
        <v>1775</v>
      </c>
      <c r="B37" s="1621">
        <v>15</v>
      </c>
      <c r="C37" s="1621">
        <v>379</v>
      </c>
      <c r="D37" s="1621">
        <v>388</v>
      </c>
      <c r="E37" s="1667" t="str">
        <f t="shared" si="4"/>
        <v>No</v>
      </c>
      <c r="F37" s="1619" t="s">
        <v>1629</v>
      </c>
      <c r="G37" s="1619">
        <v>1001</v>
      </c>
      <c r="H37" s="1619">
        <v>491</v>
      </c>
      <c r="I37" s="1619">
        <v>502</v>
      </c>
      <c r="J37" s="1664" t="str">
        <f>'Incentives Worksheet'!T497</f>
        <v>No</v>
      </c>
      <c r="K37" s="1668" t="str">
        <f t="shared" si="0"/>
        <v>D501:E501</v>
      </c>
      <c r="L37" s="1619" t="str">
        <f t="shared" si="1"/>
        <v>F501</v>
      </c>
      <c r="M37" s="1669" t="str">
        <f>'Incentives Worksheet'!T501</f>
        <v>No</v>
      </c>
      <c r="N37" s="1670">
        <f>'Incentives Worksheet'!F501</f>
        <v>0</v>
      </c>
    </row>
    <row r="38" spans="1:14" x14ac:dyDescent="0.25">
      <c r="A38" s="1621" t="s">
        <v>1775</v>
      </c>
      <c r="B38" s="1621">
        <v>16</v>
      </c>
      <c r="C38" s="1621">
        <v>390</v>
      </c>
      <c r="D38" s="1621">
        <v>399</v>
      </c>
      <c r="E38" s="1667" t="str">
        <f t="shared" si="4"/>
        <v>No</v>
      </c>
      <c r="F38" s="1619" t="s">
        <v>1775</v>
      </c>
      <c r="G38" s="1619">
        <v>5301</v>
      </c>
      <c r="H38" s="1619">
        <v>503</v>
      </c>
      <c r="I38" s="1619">
        <v>516</v>
      </c>
      <c r="J38" s="1664" t="str">
        <f>'Incentives Worksheet'!T512</f>
        <v>No</v>
      </c>
      <c r="K38" s="1668" t="str">
        <f t="shared" si="0"/>
        <v>D513:E513</v>
      </c>
      <c r="L38" s="1619" t="str">
        <f t="shared" si="1"/>
        <v>F515</v>
      </c>
      <c r="M38" s="1669" t="str">
        <f>'Incentives Worksheet'!T515</f>
        <v>No</v>
      </c>
      <c r="N38" s="1670">
        <f>'Incentives Worksheet'!F515</f>
        <v>0</v>
      </c>
    </row>
    <row r="39" spans="1:14" x14ac:dyDescent="0.25">
      <c r="A39" s="1621" t="s">
        <v>1775</v>
      </c>
      <c r="B39" s="1621">
        <v>17</v>
      </c>
      <c r="C39" s="1621">
        <v>401</v>
      </c>
      <c r="D39" s="1621">
        <v>410</v>
      </c>
      <c r="E39" s="1667" t="str">
        <f t="shared" si="4"/>
        <v>No</v>
      </c>
      <c r="F39" s="1619" t="s">
        <v>1775</v>
      </c>
      <c r="G39" s="1619">
        <v>5302</v>
      </c>
      <c r="H39" s="1619">
        <v>517</v>
      </c>
      <c r="I39" s="1619">
        <v>530</v>
      </c>
      <c r="J39" s="1664" t="str">
        <f>'Incentives Worksheet'!T526</f>
        <v>No</v>
      </c>
      <c r="K39" s="1668" t="str">
        <f t="shared" si="0"/>
        <v>D527:E527</v>
      </c>
      <c r="L39" s="1619" t="str">
        <f t="shared" si="1"/>
        <v>F529</v>
      </c>
      <c r="M39" s="1669" t="str">
        <f>'Incentives Worksheet'!T529</f>
        <v>No</v>
      </c>
      <c r="N39" s="1670">
        <f>'Incentives Worksheet'!F529</f>
        <v>0</v>
      </c>
    </row>
    <row r="40" spans="1:14" x14ac:dyDescent="0.25">
      <c r="A40" s="1621" t="s">
        <v>1775</v>
      </c>
      <c r="B40" s="1621">
        <v>18</v>
      </c>
      <c r="C40" s="1621">
        <v>412</v>
      </c>
      <c r="D40" s="1621">
        <v>421</v>
      </c>
      <c r="E40" s="1667" t="str">
        <f t="shared" si="4"/>
        <v>No</v>
      </c>
      <c r="F40" s="1619" t="s">
        <v>1775</v>
      </c>
      <c r="G40" s="1619">
        <v>5303</v>
      </c>
      <c r="H40" s="1619">
        <v>531</v>
      </c>
      <c r="I40" s="1619">
        <v>544</v>
      </c>
      <c r="J40" s="1664" t="str">
        <f>'Incentives Worksheet'!T540</f>
        <v>No</v>
      </c>
      <c r="K40" s="1668" t="str">
        <f t="shared" si="0"/>
        <v>D541:E541</v>
      </c>
      <c r="L40" s="1619" t="str">
        <f t="shared" si="1"/>
        <v>F543</v>
      </c>
      <c r="M40" s="1669" t="str">
        <f>'Incentives Worksheet'!T543</f>
        <v>No</v>
      </c>
      <c r="N40" s="1670">
        <f>'Incentives Worksheet'!F543</f>
        <v>0</v>
      </c>
    </row>
    <row r="41" spans="1:14" x14ac:dyDescent="0.25">
      <c r="A41" s="1621" t="s">
        <v>1775</v>
      </c>
      <c r="B41" s="1621">
        <v>19</v>
      </c>
      <c r="C41" s="1621">
        <v>423</v>
      </c>
      <c r="D41" s="1621">
        <v>432</v>
      </c>
      <c r="E41" s="1667" t="str">
        <f t="shared" ref="E41" si="5">J56</f>
        <v>No</v>
      </c>
      <c r="F41" s="1619" t="s">
        <v>1775</v>
      </c>
      <c r="G41" s="1619">
        <v>5304</v>
      </c>
      <c r="H41" s="1619">
        <v>545</v>
      </c>
      <c r="I41" s="1619">
        <v>558</v>
      </c>
      <c r="J41" s="1664" t="str">
        <f>'Incentives Worksheet'!T554</f>
        <v>No</v>
      </c>
      <c r="K41" s="1668" t="str">
        <f t="shared" si="0"/>
        <v>D555:E555</v>
      </c>
      <c r="L41" s="1619" t="str">
        <f t="shared" si="1"/>
        <v>F557</v>
      </c>
      <c r="M41" s="1669" t="str">
        <f>'Incentives Worksheet'!T557</f>
        <v>No</v>
      </c>
      <c r="N41" s="1670">
        <f>'Incentives Worksheet'!F557</f>
        <v>0</v>
      </c>
    </row>
    <row r="42" spans="1:14" x14ac:dyDescent="0.25">
      <c r="A42" s="1621" t="s">
        <v>2141</v>
      </c>
      <c r="B42" s="1621">
        <v>1</v>
      </c>
      <c r="C42" s="1621">
        <v>434</v>
      </c>
      <c r="D42" s="1621">
        <v>440</v>
      </c>
      <c r="E42" s="1667" t="str">
        <f t="shared" ref="E42:E46" si="6">J57</f>
        <v>Yes</v>
      </c>
      <c r="F42" s="1619" t="s">
        <v>1775</v>
      </c>
      <c r="G42" s="1619">
        <v>5305</v>
      </c>
      <c r="H42" s="1619">
        <v>559</v>
      </c>
      <c r="I42" s="1619">
        <v>572</v>
      </c>
      <c r="J42" s="1664" t="str">
        <f>'Incentives Worksheet'!T568</f>
        <v>No</v>
      </c>
      <c r="K42" s="1668" t="str">
        <f t="shared" si="0"/>
        <v>D569:E569</v>
      </c>
      <c r="L42" s="1619" t="str">
        <f t="shared" si="1"/>
        <v>F571</v>
      </c>
      <c r="M42" s="1669" t="str">
        <f>'Incentives Worksheet'!T571</f>
        <v>No</v>
      </c>
      <c r="N42" s="1670">
        <f>'Incentives Worksheet'!F571</f>
        <v>0</v>
      </c>
    </row>
    <row r="43" spans="1:14" x14ac:dyDescent="0.25">
      <c r="A43" s="1621" t="s">
        <v>2141</v>
      </c>
      <c r="B43" s="1621">
        <v>2</v>
      </c>
      <c r="C43" s="1621">
        <v>442</v>
      </c>
      <c r="D43" s="1621">
        <v>448</v>
      </c>
      <c r="E43" s="1667" t="str">
        <f t="shared" si="6"/>
        <v>Yes</v>
      </c>
      <c r="F43" s="1619" t="s">
        <v>1775</v>
      </c>
      <c r="G43" s="1619">
        <v>5306</v>
      </c>
      <c r="H43" s="1619">
        <v>573</v>
      </c>
      <c r="I43" s="1619">
        <v>586</v>
      </c>
      <c r="J43" s="1664" t="str">
        <f>'Incentives Worksheet'!T582</f>
        <v>No</v>
      </c>
      <c r="K43" s="1668" t="str">
        <f t="shared" si="0"/>
        <v>D583:E583</v>
      </c>
      <c r="L43" s="1619" t="str">
        <f t="shared" si="1"/>
        <v>F585</v>
      </c>
      <c r="M43" s="1669" t="str">
        <f>'Incentives Worksheet'!T585</f>
        <v>No</v>
      </c>
      <c r="N43" s="1670">
        <f>'Incentives Worksheet'!F585</f>
        <v>0</v>
      </c>
    </row>
    <row r="44" spans="1:14" x14ac:dyDescent="0.25">
      <c r="A44" s="1621" t="s">
        <v>2141</v>
      </c>
      <c r="B44" s="1621">
        <v>3</v>
      </c>
      <c r="C44" s="1621">
        <v>450</v>
      </c>
      <c r="D44" s="1621">
        <v>456</v>
      </c>
      <c r="E44" s="1667" t="str">
        <f t="shared" si="6"/>
        <v>Yes</v>
      </c>
      <c r="F44" s="1619" t="s">
        <v>1775</v>
      </c>
      <c r="G44" s="1619">
        <v>5307</v>
      </c>
      <c r="H44" s="1619">
        <v>587</v>
      </c>
      <c r="I44" s="1619">
        <v>600</v>
      </c>
      <c r="J44" s="1664" t="str">
        <f>'Incentives Worksheet'!T596</f>
        <v>No</v>
      </c>
      <c r="K44" s="1668" t="str">
        <f t="shared" si="0"/>
        <v>D597:E597</v>
      </c>
      <c r="L44" s="1619" t="str">
        <f t="shared" si="1"/>
        <v>F599</v>
      </c>
      <c r="M44" s="1669" t="str">
        <f>'Incentives Worksheet'!T599</f>
        <v>No</v>
      </c>
      <c r="N44" s="1670">
        <f>'Incentives Worksheet'!F599</f>
        <v>0</v>
      </c>
    </row>
    <row r="45" spans="1:14" x14ac:dyDescent="0.25">
      <c r="A45" s="1621" t="s">
        <v>2141</v>
      </c>
      <c r="B45" s="1621">
        <v>4</v>
      </c>
      <c r="C45" s="1621">
        <v>458</v>
      </c>
      <c r="D45" s="1621">
        <v>464</v>
      </c>
      <c r="E45" s="1667" t="str">
        <f t="shared" si="6"/>
        <v>Yes</v>
      </c>
      <c r="F45" s="1619" t="s">
        <v>1775</v>
      </c>
      <c r="G45" s="1619">
        <v>5308</v>
      </c>
      <c r="H45" s="1619">
        <v>601</v>
      </c>
      <c r="I45" s="1619">
        <v>614</v>
      </c>
      <c r="J45" s="1664" t="str">
        <f>'Incentives Worksheet'!T610</f>
        <v>No</v>
      </c>
      <c r="K45" s="1668" t="str">
        <f t="shared" si="0"/>
        <v>D611:E611</v>
      </c>
      <c r="L45" s="1619" t="str">
        <f t="shared" si="1"/>
        <v>F613</v>
      </c>
      <c r="M45" s="1669" t="str">
        <f>'Incentives Worksheet'!T613</f>
        <v>No</v>
      </c>
      <c r="N45" s="1670">
        <f>'Incentives Worksheet'!F613</f>
        <v>0</v>
      </c>
    </row>
    <row r="46" spans="1:14" x14ac:dyDescent="0.25">
      <c r="A46" s="1621" t="s">
        <v>2141</v>
      </c>
      <c r="B46" s="1621">
        <v>5</v>
      </c>
      <c r="C46" s="1621">
        <v>466</v>
      </c>
      <c r="D46" s="1621">
        <v>472</v>
      </c>
      <c r="E46" s="1667" t="str">
        <f t="shared" si="6"/>
        <v>Yes</v>
      </c>
      <c r="F46" s="1619" t="s">
        <v>1775</v>
      </c>
      <c r="G46" s="1619">
        <v>5309</v>
      </c>
      <c r="H46" s="1619">
        <v>615</v>
      </c>
      <c r="I46" s="1619">
        <v>628</v>
      </c>
      <c r="J46" s="1664" t="str">
        <f>'Incentives Worksheet'!T624</f>
        <v>No</v>
      </c>
      <c r="K46" s="1668" t="str">
        <f t="shared" si="0"/>
        <v>D625:E625</v>
      </c>
      <c r="L46" s="1619" t="str">
        <f t="shared" si="1"/>
        <v>F627</v>
      </c>
      <c r="M46" s="1669" t="str">
        <f>'Incentives Worksheet'!T627</f>
        <v>No</v>
      </c>
      <c r="N46" s="1670">
        <f>'Incentives Worksheet'!F627</f>
        <v>0</v>
      </c>
    </row>
    <row r="47" spans="1:14" x14ac:dyDescent="0.25">
      <c r="F47" s="1619" t="s">
        <v>1775</v>
      </c>
      <c r="G47" s="1619">
        <v>5310</v>
      </c>
      <c r="H47" s="1663">
        <v>629</v>
      </c>
      <c r="I47" s="1663">
        <v>642</v>
      </c>
      <c r="J47" s="1664" t="str">
        <f>'Incentives Worksheet'!T638</f>
        <v>No</v>
      </c>
      <c r="K47" s="1668" t="str">
        <f t="shared" si="0"/>
        <v>D639:E639</v>
      </c>
      <c r="L47" s="1619" t="str">
        <f t="shared" si="1"/>
        <v>F641</v>
      </c>
      <c r="M47" s="1701" t="str">
        <f>'Incentives Worksheet'!T641</f>
        <v>No</v>
      </c>
      <c r="N47" s="1702">
        <f>'Incentives Worksheet'!F641</f>
        <v>0</v>
      </c>
    </row>
    <row r="48" spans="1:14" x14ac:dyDescent="0.25">
      <c r="F48" s="1619" t="s">
        <v>1775</v>
      </c>
      <c r="G48" s="1619">
        <v>5311</v>
      </c>
      <c r="H48" s="1619">
        <v>643</v>
      </c>
      <c r="I48" s="1619">
        <v>656</v>
      </c>
      <c r="J48" s="1664" t="str">
        <f>'Incentives Worksheet'!T652</f>
        <v>No</v>
      </c>
      <c r="K48" s="1668" t="str">
        <f t="shared" ref="K48:K56" si="7">_xlfn.CONCAT(_xlfn.CONCAT("D",H48+10), _xlfn.CONCAT(":E",H48+10))</f>
        <v>D653:E653</v>
      </c>
      <c r="L48" s="1619" t="str">
        <f t="shared" ref="L48:L56" si="8">_xlfn.CONCAT("F",I48-1)</f>
        <v>F655</v>
      </c>
      <c r="M48" s="1701" t="str">
        <f>'Incentives Worksheet'!T655</f>
        <v>No</v>
      </c>
      <c r="N48" s="1702">
        <f>'Incentives Worksheet'!F655</f>
        <v>0</v>
      </c>
    </row>
    <row r="49" spans="1:15" s="1692" customFormat="1" x14ac:dyDescent="0.25">
      <c r="A49" s="720"/>
      <c r="B49" s="720"/>
      <c r="C49" s="720"/>
      <c r="D49" s="720"/>
      <c r="E49" s="1622"/>
      <c r="F49" s="1619" t="s">
        <v>1775</v>
      </c>
      <c r="G49" s="1619">
        <v>5312</v>
      </c>
      <c r="H49" s="1663">
        <v>657</v>
      </c>
      <c r="I49" s="1663">
        <v>670</v>
      </c>
      <c r="J49" s="1664" t="str">
        <f>'Incentives Worksheet'!T666</f>
        <v>No</v>
      </c>
      <c r="K49" s="1668" t="str">
        <f t="shared" si="7"/>
        <v>D667:E667</v>
      </c>
      <c r="L49" s="1619" t="str">
        <f t="shared" si="8"/>
        <v>F669</v>
      </c>
      <c r="M49" s="1701" t="str">
        <f>'Incentives Worksheet'!T669</f>
        <v>No</v>
      </c>
      <c r="N49" s="1702">
        <f>'Incentives Worksheet'!F669</f>
        <v>0</v>
      </c>
      <c r="O49" s="720"/>
    </row>
    <row r="50" spans="1:15" s="1692" customFormat="1" x14ac:dyDescent="0.25">
      <c r="A50" s="720"/>
      <c r="B50" s="720"/>
      <c r="C50" s="720"/>
      <c r="D50" s="720"/>
      <c r="E50" s="1622"/>
      <c r="F50" s="1619" t="s">
        <v>1775</v>
      </c>
      <c r="G50" s="1619">
        <v>5313</v>
      </c>
      <c r="H50" s="1663">
        <v>671</v>
      </c>
      <c r="I50" s="1663">
        <v>684</v>
      </c>
      <c r="J50" s="1664" t="str">
        <f>'Incentives Worksheet'!T680</f>
        <v>No</v>
      </c>
      <c r="K50" s="1668" t="str">
        <f t="shared" si="7"/>
        <v>D681:E681</v>
      </c>
      <c r="L50" s="1619" t="str">
        <f t="shared" si="8"/>
        <v>F683</v>
      </c>
      <c r="M50" s="1701" t="str">
        <f>'Incentives Worksheet'!T683</f>
        <v>No</v>
      </c>
      <c r="N50" s="1702">
        <f>'Incentives Worksheet'!F683</f>
        <v>0</v>
      </c>
      <c r="O50" s="720"/>
    </row>
    <row r="51" spans="1:15" s="1692" customFormat="1" x14ac:dyDescent="0.25">
      <c r="A51" s="720"/>
      <c r="B51" s="720"/>
      <c r="C51" s="720"/>
      <c r="D51" s="720"/>
      <c r="E51" s="1622"/>
      <c r="F51" s="1619" t="s">
        <v>1775</v>
      </c>
      <c r="G51" s="1619">
        <v>5314</v>
      </c>
      <c r="H51" s="1663">
        <v>685</v>
      </c>
      <c r="I51" s="1663">
        <v>698</v>
      </c>
      <c r="J51" s="1664" t="str">
        <f>'Incentives Worksheet'!T694</f>
        <v>No</v>
      </c>
      <c r="K51" s="1668" t="str">
        <f t="shared" si="7"/>
        <v>D695:E695</v>
      </c>
      <c r="L51" s="1619" t="str">
        <f t="shared" si="8"/>
        <v>F697</v>
      </c>
      <c r="M51" s="1701" t="str">
        <f>'Incentives Worksheet'!T697</f>
        <v>No</v>
      </c>
      <c r="N51" s="1702">
        <f>'Incentives Worksheet'!F697</f>
        <v>0</v>
      </c>
      <c r="O51" s="720"/>
    </row>
    <row r="52" spans="1:15" x14ac:dyDescent="0.25">
      <c r="F52" s="1619" t="s">
        <v>1775</v>
      </c>
      <c r="G52" s="1619">
        <v>5315</v>
      </c>
      <c r="H52" s="1663">
        <v>699</v>
      </c>
      <c r="I52" s="1663">
        <v>712</v>
      </c>
      <c r="J52" s="1664" t="str">
        <f>'Incentives Worksheet'!T708</f>
        <v>No</v>
      </c>
      <c r="K52" s="1668" t="str">
        <f t="shared" si="7"/>
        <v>D709:E709</v>
      </c>
      <c r="L52" s="1663" t="str">
        <f t="shared" si="8"/>
        <v>F711</v>
      </c>
      <c r="M52" s="1701" t="str">
        <f>'Incentives Worksheet'!T711</f>
        <v>No</v>
      </c>
      <c r="N52" s="1702">
        <f>'Incentives Worksheet'!F711</f>
        <v>0</v>
      </c>
    </row>
    <row r="53" spans="1:15" x14ac:dyDescent="0.25">
      <c r="F53" s="1619" t="s">
        <v>1775</v>
      </c>
      <c r="G53" s="1619">
        <v>5316</v>
      </c>
      <c r="H53" s="1663">
        <v>713</v>
      </c>
      <c r="I53" s="1663">
        <v>726</v>
      </c>
      <c r="J53" s="1664" t="str">
        <f>'Incentives Worksheet'!T722</f>
        <v>No</v>
      </c>
      <c r="K53" s="1668" t="str">
        <f t="shared" si="7"/>
        <v>D723:E723</v>
      </c>
      <c r="L53" s="1663" t="str">
        <f t="shared" si="8"/>
        <v>F725</v>
      </c>
      <c r="M53" s="1701" t="str">
        <f>'Incentives Worksheet'!T725</f>
        <v>No</v>
      </c>
      <c r="N53" s="1702">
        <f>'Incentives Worksheet'!F725</f>
        <v>0</v>
      </c>
    </row>
    <row r="54" spans="1:15" x14ac:dyDescent="0.25">
      <c r="F54" s="1619" t="s">
        <v>1775</v>
      </c>
      <c r="G54" s="1619">
        <v>5317</v>
      </c>
      <c r="H54" s="1663">
        <v>727</v>
      </c>
      <c r="I54" s="1663">
        <v>740</v>
      </c>
      <c r="J54" s="1664" t="str">
        <f>'Incentives Worksheet'!T736</f>
        <v>No</v>
      </c>
      <c r="K54" s="1668" t="str">
        <f t="shared" si="7"/>
        <v>D737:E737</v>
      </c>
      <c r="L54" s="1663" t="str">
        <f t="shared" si="8"/>
        <v>F739</v>
      </c>
      <c r="M54" s="1701" t="str">
        <f>'Incentives Worksheet'!T739</f>
        <v>No</v>
      </c>
      <c r="N54" s="1702">
        <f>'Incentives Worksheet'!F739</f>
        <v>0</v>
      </c>
    </row>
    <row r="55" spans="1:15" x14ac:dyDescent="0.25">
      <c r="F55" s="1619" t="s">
        <v>1775</v>
      </c>
      <c r="G55" s="1619">
        <v>5318</v>
      </c>
      <c r="H55" s="1663">
        <v>741</v>
      </c>
      <c r="I55" s="1663">
        <v>754</v>
      </c>
      <c r="J55" s="1664" t="str">
        <f>'Incentives Worksheet'!T750</f>
        <v>No</v>
      </c>
      <c r="K55" s="1668" t="str">
        <f t="shared" si="7"/>
        <v>D751:E751</v>
      </c>
      <c r="L55" s="1663" t="str">
        <f t="shared" si="8"/>
        <v>F753</v>
      </c>
      <c r="M55" s="1701" t="str">
        <f>'Incentives Worksheet'!T753</f>
        <v>No</v>
      </c>
      <c r="N55" s="1702">
        <f>'Incentives Worksheet'!F753</f>
        <v>0</v>
      </c>
    </row>
    <row r="56" spans="1:15" x14ac:dyDescent="0.25">
      <c r="F56" s="1619" t="s">
        <v>1775</v>
      </c>
      <c r="G56" s="1619">
        <v>5319</v>
      </c>
      <c r="H56" s="1663">
        <v>755</v>
      </c>
      <c r="I56" s="1663">
        <v>768</v>
      </c>
      <c r="J56" s="1664" t="str">
        <f>'Incentives Worksheet'!T764</f>
        <v>No</v>
      </c>
      <c r="K56" s="1668" t="str">
        <f t="shared" si="7"/>
        <v>D765:E765</v>
      </c>
      <c r="L56" s="1663" t="str">
        <f t="shared" si="8"/>
        <v>F767</v>
      </c>
      <c r="M56" s="1701" t="str">
        <f>'Incentives Worksheet'!T767</f>
        <v>No</v>
      </c>
      <c r="N56" s="1702">
        <f>'Incentives Worksheet'!F767</f>
        <v>0</v>
      </c>
    </row>
    <row r="57" spans="1:15" x14ac:dyDescent="0.25">
      <c r="F57" s="1663" t="s">
        <v>2141</v>
      </c>
      <c r="G57" s="1663">
        <v>5201</v>
      </c>
      <c r="H57" s="1663">
        <v>769</v>
      </c>
      <c r="I57" s="1663">
        <v>782</v>
      </c>
      <c r="J57" s="1664" t="str">
        <f>'Incentives Worksheet'!T778</f>
        <v>Yes</v>
      </c>
      <c r="K57" s="1668" t="str">
        <f t="shared" ref="K57:K61" si="9">_xlfn.CONCAT(_xlfn.CONCAT("D",H57+10), _xlfn.CONCAT(":E",H57+10))</f>
        <v>D779:E779</v>
      </c>
      <c r="L57" s="1619" t="str">
        <f t="shared" ref="L57:L61" si="10">_xlfn.CONCAT("F",I57-1)</f>
        <v>F781</v>
      </c>
      <c r="M57" s="1701" t="str">
        <f>'Incentives Worksheet'!T781</f>
        <v>No</v>
      </c>
      <c r="N57" s="1670">
        <f>'Incentives Worksheet'!F781</f>
        <v>0</v>
      </c>
    </row>
    <row r="58" spans="1:15" x14ac:dyDescent="0.25">
      <c r="F58" s="1619" t="s">
        <v>2141</v>
      </c>
      <c r="G58" s="1619">
        <v>5202</v>
      </c>
      <c r="H58" s="1619">
        <v>783</v>
      </c>
      <c r="I58" s="1619">
        <v>796</v>
      </c>
      <c r="J58" s="1665" t="str">
        <f>'Incentives Worksheet'!T792</f>
        <v>Yes</v>
      </c>
      <c r="K58" s="1668" t="str">
        <f t="shared" si="9"/>
        <v>D793:E793</v>
      </c>
      <c r="L58" s="1619" t="str">
        <f t="shared" si="10"/>
        <v>F795</v>
      </c>
      <c r="M58" s="1668" t="str">
        <f>'Incentives Worksheet'!T795</f>
        <v>No</v>
      </c>
      <c r="N58" s="1702">
        <f>'Incentives Worksheet'!F795</f>
        <v>0</v>
      </c>
    </row>
    <row r="59" spans="1:15" x14ac:dyDescent="0.25">
      <c r="F59" s="1663" t="s">
        <v>2141</v>
      </c>
      <c r="G59" s="1663">
        <v>5203</v>
      </c>
      <c r="H59" s="1663">
        <v>797</v>
      </c>
      <c r="I59" s="1663">
        <v>810</v>
      </c>
      <c r="J59" s="1664" t="str">
        <f>'Incentives Worksheet'!T806</f>
        <v>Yes</v>
      </c>
      <c r="K59" s="1668" t="str">
        <f t="shared" si="9"/>
        <v>D807:E807</v>
      </c>
      <c r="L59" s="1619" t="str">
        <f t="shared" si="10"/>
        <v>F809</v>
      </c>
      <c r="M59" s="1701" t="str">
        <f>'Incentives Worksheet'!T809</f>
        <v>No</v>
      </c>
      <c r="N59" s="1702">
        <f>'Incentives Worksheet'!F809</f>
        <v>0</v>
      </c>
    </row>
    <row r="60" spans="1:15" x14ac:dyDescent="0.25">
      <c r="F60" s="1663" t="s">
        <v>2141</v>
      </c>
      <c r="G60" s="1663">
        <v>5204</v>
      </c>
      <c r="H60" s="1663">
        <v>811</v>
      </c>
      <c r="I60" s="1663">
        <v>824</v>
      </c>
      <c r="J60" s="1664" t="str">
        <f>'Incentives Worksheet'!T820</f>
        <v>Yes</v>
      </c>
      <c r="K60" s="1668" t="str">
        <f t="shared" si="9"/>
        <v>D821:E821</v>
      </c>
      <c r="L60" s="1619" t="str">
        <f t="shared" si="10"/>
        <v>F823</v>
      </c>
      <c r="M60" s="1701" t="str">
        <f>'Incentives Worksheet'!T823</f>
        <v>No</v>
      </c>
      <c r="N60" s="1702">
        <f>'Incentives Worksheet'!F823</f>
        <v>0</v>
      </c>
    </row>
    <row r="61" spans="1:15" x14ac:dyDescent="0.25">
      <c r="F61" s="1663" t="s">
        <v>2141</v>
      </c>
      <c r="G61" s="1663">
        <v>5205</v>
      </c>
      <c r="H61" s="1663">
        <v>825</v>
      </c>
      <c r="I61" s="1663">
        <v>838</v>
      </c>
      <c r="J61" s="1664" t="str">
        <f>'Incentives Worksheet'!T834</f>
        <v>Yes</v>
      </c>
      <c r="K61" s="1668" t="str">
        <f t="shared" si="9"/>
        <v>D835:E835</v>
      </c>
      <c r="L61" s="1619" t="str">
        <f t="shared" si="10"/>
        <v>F837</v>
      </c>
      <c r="M61" s="1701" t="str">
        <f>'Incentives Worksheet'!T837</f>
        <v>No</v>
      </c>
      <c r="N61" s="1702">
        <f>'Incentives Worksheet'!F837</f>
        <v>0</v>
      </c>
    </row>
  </sheetData>
  <sheetProtection algorithmName="SHA-512" hashValue="JoNn18iNk6XUN5Ihp1RIlaawK4YXD5SoTw9s31Yf66G4FbDRozR+obbZyC1k9aA/abkjVlz1kIdD5ExQe19F+g==" saltValue="nC2YVRtl3t8Nkh5INIYB4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2022-10-18T14:33:47Z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493e1c2c-a91c-4646-9fd3-6ae19a490c25</vt:lpwstr>
  </property>
  <property fmtid="{D5CDD505-2E9C-101B-9397-08002B2CF9AE}" pid="4" name="Classification">
    <vt:lpwstr>LV_R3STR1CT3D</vt:lpwstr>
  </property>
  <property fmtid="{D5CDD505-2E9C-101B-9397-08002B2CF9AE}" pid="5" name="ContainsPII">
    <vt:lpwstr>No</vt:lpwstr>
  </property>
</Properties>
</file>