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35817802-C71D-4361-A206-B1AB39CFF0F0}" xr6:coauthVersionLast="47" xr6:coauthVersionMax="47" xr10:uidLastSave="{00000000-0000-0000-0000-000000000000}"/>
  <workbookProtection workbookAlgorithmName="SHA-512" workbookHashValue="i6FC7RCMynzong2/oIxDGurixWi/Jh2YgNnWiEDY6w7nX7FNqnnD8FJ+txt1BgJpvl5fWnxYcmlx2OmyZe89kQ==" workbookSaltValue="DfBSUadg7LYhIya3zMIBV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Audit!$A$1:$BG$1354</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Sheet'!$A$2:$Z$2306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Incentives!$B$2:$Q$337</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37" i="97" l="1"/>
  <c r="D635" i="97"/>
  <c r="T2295" i="100"/>
  <c r="T2296" i="100"/>
  <c r="T2297" i="100"/>
  <c r="T2298" i="100"/>
  <c r="T2299" i="100"/>
  <c r="T2300" i="100"/>
  <c r="T2301" i="100"/>
  <c r="G2301" i="100" s="1"/>
  <c r="T2302" i="100"/>
  <c r="T2303" i="100"/>
  <c r="G2303" i="100" s="1"/>
  <c r="T2304" i="100"/>
  <c r="G2304" i="100" s="1"/>
  <c r="T2305" i="100"/>
  <c r="T2306" i="100"/>
  <c r="G2299" i="100"/>
  <c r="G2302" i="100"/>
  <c r="T2294" i="100"/>
  <c r="G2294" i="100" s="1"/>
  <c r="O2296" i="100"/>
  <c r="O2294" i="100"/>
  <c r="G2306" i="100"/>
  <c r="K2306" i="100"/>
  <c r="I2306" i="100"/>
  <c r="G2305" i="100"/>
  <c r="J2305" i="100"/>
  <c r="K2305" i="100" s="1"/>
  <c r="K2304" i="100"/>
  <c r="I2304" i="100"/>
  <c r="K2303" i="100"/>
  <c r="I2303" i="100"/>
  <c r="J2302" i="100"/>
  <c r="I2302" i="100" s="1"/>
  <c r="J2301" i="100"/>
  <c r="K2301" i="100" s="1"/>
  <c r="G2300" i="100"/>
  <c r="J2300" i="100"/>
  <c r="K2300" i="100" s="1"/>
  <c r="J2299" i="100"/>
  <c r="K2299" i="100" s="1"/>
  <c r="G2298" i="100"/>
  <c r="J2298" i="100"/>
  <c r="K2298" i="100" s="1"/>
  <c r="G2297" i="100"/>
  <c r="J2297" i="100"/>
  <c r="K2297" i="100" s="1"/>
  <c r="G2296" i="100"/>
  <c r="K2296" i="100"/>
  <c r="I2296" i="100"/>
  <c r="J2295" i="100"/>
  <c r="I2295" i="100" s="1"/>
  <c r="K2294" i="100"/>
  <c r="I2294" i="100"/>
  <c r="C2294" i="100"/>
  <c r="C2305" i="100"/>
  <c r="B2305" i="100"/>
  <c r="C2304" i="100"/>
  <c r="B2304" i="100"/>
  <c r="C2303" i="100"/>
  <c r="B2303" i="100"/>
  <c r="C2296" i="100"/>
  <c r="B2296" i="100"/>
  <c r="C2306" i="100"/>
  <c r="B2306" i="100"/>
  <c r="C2302" i="100"/>
  <c r="B2302" i="100"/>
  <c r="C2301" i="100"/>
  <c r="B2301" i="100"/>
  <c r="C2300" i="100"/>
  <c r="B2300" i="100"/>
  <c r="C2299" i="100"/>
  <c r="B2299" i="100"/>
  <c r="C2298" i="100"/>
  <c r="B2298" i="100"/>
  <c r="C2297" i="100"/>
  <c r="B2297" i="100"/>
  <c r="C2295" i="100"/>
  <c r="B2295" i="100"/>
  <c r="B2294" i="100"/>
  <c r="K2302" i="100" l="1"/>
  <c r="I2300" i="100"/>
  <c r="I2299" i="100"/>
  <c r="I2297" i="100"/>
  <c r="K2295" i="100"/>
  <c r="I2301" i="100"/>
  <c r="I2305" i="100"/>
  <c r="I2298" i="100"/>
  <c r="AB38" i="72"/>
  <c r="Z38" i="72" s="1"/>
  <c r="N47" i="98"/>
  <c r="J47" i="98"/>
  <c r="Z38" i="97"/>
  <c r="AB38" i="97" s="1"/>
  <c r="T641" i="97"/>
  <c r="M47" i="98" s="1"/>
  <c r="L47" i="98"/>
  <c r="K47" i="98"/>
  <c r="E329" i="94"/>
  <c r="E32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P2305" i="100" a="1"/>
  <c r="C328" i="94" a="1"/>
  <c r="E32" i="98" l="1"/>
  <c r="P2295" i="100"/>
  <c r="P2305" i="100"/>
  <c r="Q2305" i="100"/>
  <c r="AA38" i="97"/>
  <c r="C328" i="94"/>
  <c r="T2277" i="100"/>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70" i="100"/>
  <c r="C2217" i="100"/>
  <c r="C2284" i="100"/>
  <c r="C2222" i="100"/>
  <c r="B2262" i="100"/>
  <c r="B2219" i="100"/>
  <c r="B2248" i="100"/>
  <c r="B2220" i="100"/>
  <c r="C2252" i="100"/>
  <c r="C2242" i="100"/>
  <c r="B2242" i="100"/>
  <c r="C2239" i="100"/>
  <c r="C2276" i="100"/>
  <c r="B2239" i="100"/>
  <c r="C2240" i="100"/>
  <c r="B2276" i="100"/>
  <c r="B2226" i="100"/>
  <c r="C2263" i="100"/>
  <c r="C2275" i="100"/>
  <c r="C2259" i="100"/>
  <c r="C2250" i="100"/>
  <c r="C2236" i="100"/>
  <c r="C2257" i="100"/>
  <c r="B2246" i="100"/>
  <c r="C2277" i="100"/>
  <c r="C2271" i="100"/>
  <c r="C2221" i="100"/>
  <c r="C2246" i="100"/>
  <c r="B2256" i="100"/>
  <c r="C2232" i="100"/>
  <c r="B2221" i="100"/>
  <c r="C2256" i="100"/>
  <c r="C2262" i="100"/>
  <c r="C2273" i="100"/>
  <c r="C2247" i="100"/>
  <c r="B2217" i="100"/>
  <c r="B2250" i="100"/>
  <c r="B2277" i="100"/>
  <c r="C2229" i="100"/>
  <c r="B2271" i="100"/>
  <c r="C2218" i="100"/>
  <c r="C2228" i="100"/>
  <c r="B2214" i="100"/>
  <c r="C2249" i="100"/>
  <c r="B2235" i="100"/>
  <c r="C2245" i="100"/>
  <c r="B2261" i="100"/>
  <c r="C2266" i="100"/>
  <c r="B2240" i="100"/>
  <c r="C2241" i="100"/>
  <c r="B2225" i="100"/>
  <c r="B2227" i="100"/>
  <c r="B2268" i="100"/>
  <c r="C2235" i="100"/>
  <c r="C2264" i="100"/>
  <c r="C2269" i="100"/>
  <c r="B2234" i="100"/>
  <c r="C2260" i="100"/>
  <c r="B2254" i="100"/>
  <c r="C2224" i="100"/>
  <c r="B2281" i="100"/>
  <c r="B2215" i="100"/>
  <c r="B2275" i="100"/>
  <c r="C2255" i="100"/>
  <c r="B2224" i="100"/>
  <c r="C2231" i="100"/>
  <c r="B2283" i="100"/>
  <c r="C2254" i="100"/>
  <c r="B2284" i="100"/>
  <c r="C2261" i="100"/>
  <c r="B2280" i="100"/>
  <c r="B2216" i="100"/>
  <c r="C2274" i="100"/>
  <c r="B2255" i="100"/>
  <c r="C2226" i="100"/>
  <c r="B2245" i="100"/>
  <c r="C2243" i="100"/>
  <c r="B2236" i="100"/>
  <c r="B2260" i="100"/>
  <c r="B2264" i="100"/>
  <c r="B2278" i="100"/>
  <c r="B2247" i="100"/>
  <c r="B2269" i="100"/>
  <c r="C2227" i="100"/>
  <c r="C2238" i="100"/>
  <c r="C2253" i="100"/>
  <c r="C2278" i="100"/>
  <c r="B2257" i="100"/>
  <c r="B2233" i="100"/>
  <c r="C2219" i="100"/>
  <c r="C2215" i="100"/>
  <c r="C2283" i="100"/>
  <c r="B2266" i="100"/>
  <c r="B2241" i="100"/>
  <c r="B2228" i="100"/>
  <c r="B2274" i="100"/>
  <c r="C2234" i="100"/>
  <c r="C2280" i="100"/>
  <c r="C2267" i="100"/>
  <c r="B2238" i="100"/>
  <c r="C2282" i="100"/>
  <c r="B2232" i="100"/>
  <c r="C2214" i="100"/>
  <c r="B2213" i="100"/>
  <c r="B2282" i="100"/>
  <c r="B2267" i="100"/>
  <c r="B2263" i="100"/>
  <c r="B2229" i="100"/>
  <c r="B2243" i="100"/>
  <c r="C2233" i="100"/>
  <c r="C2248" i="100"/>
  <c r="B2259" i="100"/>
  <c r="C2213" i="100"/>
  <c r="B2218" i="100"/>
  <c r="C2268" i="100"/>
  <c r="C2281" i="100"/>
  <c r="C2220" i="100"/>
  <c r="B2252" i="100"/>
  <c r="C2225" i="100"/>
  <c r="C2216" i="100"/>
  <c r="B2270" i="100"/>
  <c r="B2249" i="100"/>
  <c r="B2253" i="100"/>
  <c r="B2273" i="100"/>
  <c r="B2231" i="100"/>
  <c r="B2222"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3" i="100"/>
  <c r="B1238" i="100"/>
  <c r="B1232" i="100"/>
  <c r="B1231" i="100"/>
  <c r="B1237" i="100"/>
  <c r="B1239" i="100"/>
  <c r="B1235" i="100"/>
  <c r="B1236" i="100"/>
  <c r="B1234"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199" i="99" a="1"/>
  <c r="X119" i="99" a="1"/>
  <c r="W40" i="99" a="1"/>
  <c r="D197" i="99" a="1"/>
  <c r="D69" i="99" a="1"/>
  <c r="V120" i="99" a="1"/>
  <c r="F196" i="99" a="1"/>
  <c r="W69" i="99" a="1"/>
  <c r="W194" i="99"/>
  <c r="X198" i="99" a="1"/>
  <c r="V65" i="99" a="1"/>
  <c r="D65" i="99" a="1"/>
  <c r="E66" i="99" a="1"/>
  <c r="V94" i="99" a="1"/>
  <c r="D40" i="99" a="1"/>
  <c r="V170" i="99" a="1"/>
  <c r="X69" i="99" a="1"/>
  <c r="E196" i="99" a="1"/>
  <c r="X197" i="99" a="1"/>
  <c r="W66" i="99" a="1"/>
  <c r="E64" i="99"/>
  <c r="X68" i="99" a="1"/>
  <c r="D120" i="99" a="1"/>
  <c r="V198" i="99" a="1"/>
  <c r="E69" i="99" a="1"/>
  <c r="E120" i="99" a="1"/>
  <c r="E119" i="99" a="1"/>
  <c r="V121" i="99" a="1"/>
  <c r="V67" i="99" a="1"/>
  <c r="W68" i="99" a="1"/>
  <c r="W196" i="99" a="1"/>
  <c r="X195" i="99" a="1"/>
  <c r="X121" i="99" a="1"/>
  <c r="V40" i="99" a="1"/>
  <c r="W170" i="99" a="1"/>
  <c r="F122" i="99" a="1"/>
  <c r="F121" i="99" a="1"/>
  <c r="D123" i="99" a="1"/>
  <c r="D68" i="99" a="1"/>
  <c r="V196" i="99" a="1"/>
  <c r="E67" i="99" a="1"/>
  <c r="X122" i="99" a="1"/>
  <c r="X40" i="99" a="1"/>
  <c r="F195" i="99" a="1"/>
  <c r="D199" i="99" a="1"/>
  <c r="F197" i="99" a="1"/>
  <c r="X65" i="99" a="1"/>
  <c r="F66" i="99" a="1"/>
  <c r="D198" i="99" a="1"/>
  <c r="D196" i="99" a="1"/>
  <c r="V66" i="99" a="1"/>
  <c r="D195" i="99" a="1"/>
  <c r="W198" i="99" a="1"/>
  <c r="W64" i="99"/>
  <c r="E123" i="99" a="1"/>
  <c r="E198" i="99" a="1"/>
  <c r="E40" i="99" a="1"/>
  <c r="E122" i="99" a="1"/>
  <c r="X170" i="99" a="1"/>
  <c r="F67" i="99" a="1"/>
  <c r="F123" i="99" a="1"/>
  <c r="X123" i="99" a="1"/>
  <c r="W123" i="99" a="1"/>
  <c r="V69" i="99" a="1"/>
  <c r="V119" i="99" a="1"/>
  <c r="F199" i="99" a="1"/>
  <c r="W121" i="99" a="1"/>
  <c r="E170" i="99" a="1"/>
  <c r="E94" i="99" a="1"/>
  <c r="E65" i="99" a="1"/>
  <c r="W197" i="99" a="1"/>
  <c r="W119" i="99" a="1"/>
  <c r="E121" i="99" a="1"/>
  <c r="D94" i="99" a="1"/>
  <c r="V197" i="99" a="1"/>
  <c r="W94" i="99" a="1"/>
  <c r="W195" i="99" a="1"/>
  <c r="D119" i="99" a="1"/>
  <c r="X66" i="99" a="1"/>
  <c r="W199" i="99" a="1"/>
  <c r="F68" i="99" a="1"/>
  <c r="V122" i="99" a="1"/>
  <c r="D66" i="99" a="1"/>
  <c r="V68" i="99" a="1"/>
  <c r="X199" i="99" a="1"/>
  <c r="F65" i="99" a="1"/>
  <c r="V195" i="99" a="1"/>
  <c r="E195" i="99" a="1"/>
  <c r="X196" i="99" a="1"/>
  <c r="X67" i="99" a="1"/>
  <c r="F94" i="99" a="1"/>
  <c r="E194" i="99"/>
  <c r="W120" i="99" a="1"/>
  <c r="F198" i="99" a="1"/>
  <c r="F69" i="99" a="1"/>
  <c r="X94" i="99" a="1"/>
  <c r="E197" i="99" a="1"/>
  <c r="D122" i="99" a="1"/>
  <c r="F170" i="99" a="1"/>
  <c r="X120" i="99" a="1"/>
  <c r="D170" i="99" a="1"/>
  <c r="E118" i="99"/>
  <c r="V123" i="99" a="1"/>
  <c r="W65" i="99" a="1"/>
  <c r="W67" i="99" a="1"/>
  <c r="F119" i="99" a="1"/>
  <c r="F120" i="99" a="1"/>
  <c r="W122" i="99" a="1"/>
  <c r="F40" i="99" a="1"/>
  <c r="E68" i="99" a="1"/>
  <c r="D67" i="99" a="1"/>
  <c r="D121" i="99" a="1"/>
  <c r="W118" i="99"/>
  <c r="E19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0" i="99" a="1"/>
  <c r="C154" i="100"/>
  <c r="C401" i="99" a="1"/>
  <c r="U400" i="99" a="1"/>
  <c r="U404" i="99" a="1"/>
  <c r="C404" i="99" a="1"/>
  <c r="B154" i="100"/>
  <c r="U401" i="99" a="1"/>
  <c r="U403" i="99" a="1"/>
  <c r="U402" i="99" a="1"/>
  <c r="C402" i="99" a="1"/>
  <c r="C403"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13" i="100"/>
  <c r="B2048" i="100"/>
  <c r="B2003" i="100"/>
  <c r="B2061" i="100"/>
  <c r="B2082" i="100"/>
  <c r="B2016" i="100"/>
  <c r="B2033" i="100"/>
  <c r="B2019" i="100"/>
  <c r="B2088" i="100"/>
  <c r="C2037" i="100"/>
  <c r="C1990" i="100"/>
  <c r="B2078" i="100"/>
  <c r="C2025" i="100"/>
  <c r="C2069" i="100"/>
  <c r="C2072" i="100"/>
  <c r="B2063" i="100"/>
  <c r="B2046" i="100"/>
  <c r="C2034" i="100"/>
  <c r="B2062" i="100"/>
  <c r="C2066" i="100"/>
  <c r="B2011" i="100"/>
  <c r="B2006" i="100"/>
  <c r="C2048" i="100"/>
  <c r="B1995" i="100"/>
  <c r="B2050" i="100"/>
  <c r="C2077" i="100"/>
  <c r="C2036" i="100"/>
  <c r="C2073" i="100"/>
  <c r="C2081" i="100"/>
  <c r="C2027" i="100"/>
  <c r="B1994" i="100"/>
  <c r="B2045" i="100"/>
  <c r="B2014" i="100"/>
  <c r="C2070" i="100"/>
  <c r="B1990" i="100"/>
  <c r="C2052" i="100"/>
  <c r="B2005" i="100"/>
  <c r="B2067" i="100"/>
  <c r="C2039" i="100"/>
  <c r="C2035" i="100"/>
  <c r="B2000" i="100"/>
  <c r="C2033" i="100"/>
  <c r="B2072" i="100"/>
  <c r="C2084" i="100"/>
  <c r="B1997" i="100"/>
  <c r="C2029" i="100"/>
  <c r="C2005" i="100"/>
  <c r="B1992" i="100"/>
  <c r="B2018" i="100"/>
  <c r="B2051" i="100"/>
  <c r="B2034" i="100"/>
  <c r="C2082" i="100"/>
  <c r="B2017" i="100"/>
  <c r="C2014" i="100"/>
  <c r="B2069" i="100"/>
  <c r="B2083" i="100"/>
  <c r="C2022" i="100"/>
  <c r="C2006" i="100"/>
  <c r="C2062" i="100"/>
  <c r="C1993" i="100"/>
  <c r="B2025" i="100"/>
  <c r="B2028" i="100"/>
  <c r="C2067" i="100"/>
  <c r="C2012" i="100"/>
  <c r="C1991" i="100"/>
  <c r="B2084" i="100"/>
  <c r="B2022" i="100"/>
  <c r="C2049" i="100"/>
  <c r="C2079" i="100"/>
  <c r="B2036" i="100"/>
  <c r="C2056" i="100"/>
  <c r="C2058" i="100"/>
  <c r="C2051" i="100"/>
  <c r="C2057" i="100"/>
  <c r="B2071" i="100"/>
  <c r="B2058" i="100"/>
  <c r="C2007" i="100"/>
  <c r="C2016" i="100"/>
  <c r="C2059" i="100"/>
  <c r="C1997" i="100"/>
  <c r="B2015" i="100"/>
  <c r="B2047" i="100"/>
  <c r="B2023" i="100"/>
  <c r="B2059" i="100"/>
  <c r="C1994" i="100"/>
  <c r="B1993" i="100"/>
  <c r="C2011" i="100"/>
  <c r="C2044" i="100"/>
  <c r="B2056" i="100"/>
  <c r="B2049" i="100"/>
  <c r="C2050" i="100"/>
  <c r="B2038" i="100"/>
  <c r="C2083" i="100"/>
  <c r="C2018" i="100"/>
  <c r="B2024" i="100"/>
  <c r="B1996" i="100"/>
  <c r="B2074" i="100"/>
  <c r="B2073" i="100"/>
  <c r="C2085" i="100"/>
  <c r="B2068" i="100"/>
  <c r="B2035" i="100"/>
  <c r="B2080" i="100"/>
  <c r="C2078" i="100"/>
  <c r="C2080" i="100"/>
  <c r="B2001" i="100"/>
  <c r="C2060" i="100"/>
  <c r="C2013" i="100"/>
  <c r="B2004" i="100"/>
  <c r="C2000" i="100"/>
  <c r="C2046" i="100"/>
  <c r="C2040" i="100"/>
  <c r="B2079" i="100"/>
  <c r="C2088" i="100"/>
  <c r="B2008" i="100"/>
  <c r="C2001" i="100"/>
  <c r="C2017" i="100"/>
  <c r="C2047" i="100"/>
  <c r="B2085" i="100"/>
  <c r="C2038" i="100"/>
  <c r="C2030" i="100"/>
  <c r="C2028" i="100"/>
  <c r="C2002" i="100"/>
  <c r="C2019" i="100"/>
  <c r="B2070" i="100"/>
  <c r="B2039" i="100"/>
  <c r="C2061" i="100"/>
  <c r="B2060" i="100"/>
  <c r="C2045" i="100"/>
  <c r="B2057" i="100"/>
  <c r="C2041" i="100"/>
  <c r="B2077" i="100"/>
  <c r="C2063" i="100"/>
  <c r="C1996" i="100"/>
  <c r="B2044" i="100"/>
  <c r="C1995" i="100"/>
  <c r="C2024" i="100"/>
  <c r="B2040" i="100"/>
  <c r="C2071" i="100"/>
  <c r="C2008" i="100"/>
  <c r="B2029" i="100"/>
  <c r="B2027" i="100"/>
  <c r="B2012" i="100"/>
  <c r="B2037" i="100"/>
  <c r="B2026" i="100"/>
  <c r="B2002" i="100"/>
  <c r="C2026" i="100"/>
  <c r="C2074" i="100"/>
  <c r="C2068" i="100"/>
  <c r="B2030" i="100"/>
  <c r="B2007" i="100"/>
  <c r="B2066" i="100"/>
  <c r="C2015" i="100"/>
  <c r="B2041" i="100"/>
  <c r="B2055" i="100"/>
  <c r="C2055" i="100"/>
  <c r="B1991" i="100"/>
  <c r="C1992" i="100"/>
  <c r="B2052" i="100"/>
  <c r="B2081" i="100"/>
  <c r="C2004" i="100"/>
  <c r="C2003" i="100"/>
  <c r="C2023" i="100"/>
  <c r="C226" i="94" l="1"/>
  <c r="R515" i="97" s="1"/>
  <c r="E163" i="94"/>
  <c r="E178" i="94"/>
  <c r="E162" i="94"/>
  <c r="C100" i="94" a="1"/>
  <c r="C197" i="94" a="1"/>
  <c r="C138" i="94" a="1"/>
  <c r="C86" i="94" a="1"/>
  <c r="C58" i="94" a="1"/>
  <c r="C154" i="94" a="1"/>
  <c r="C44" i="94" a="1"/>
  <c r="C72" i="94" a="1"/>
  <c r="C178" i="94" a="1"/>
  <c r="C114" i="94" a="1"/>
  <c r="C16" i="94" a="1"/>
  <c r="C30" i="94" a="1"/>
  <c r="C146" i="94" a="1"/>
  <c r="C209" i="94" a="1"/>
  <c r="C130" i="94" a="1"/>
  <c r="C122"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75" i="100"/>
  <c r="B2086" i="100"/>
  <c r="C2251" i="100"/>
  <c r="B2075" i="100"/>
  <c r="C2287" i="100"/>
  <c r="B2031" i="100"/>
  <c r="B2230" i="100"/>
  <c r="B2289" i="100"/>
  <c r="B2042" i="100"/>
  <c r="B2265" i="100"/>
  <c r="B2293" i="100"/>
  <c r="C2289" i="100"/>
  <c r="B2020" i="100"/>
  <c r="C2020" i="100"/>
  <c r="C2290" i="100"/>
  <c r="B2292" i="100"/>
  <c r="B2237" i="100"/>
  <c r="B2244" i="100"/>
  <c r="B2288" i="100"/>
  <c r="B2290" i="100"/>
  <c r="C2064" i="100"/>
  <c r="C2009" i="100"/>
  <c r="C2286" i="100"/>
  <c r="C2291" i="100"/>
  <c r="B2279" i="100"/>
  <c r="B2032" i="100"/>
  <c r="B2010" i="100"/>
  <c r="B2053" i="100"/>
  <c r="B2065" i="100"/>
  <c r="B2043" i="100"/>
  <c r="B2272" i="100"/>
  <c r="C2032" i="100"/>
  <c r="C2279" i="100"/>
  <c r="C2042" i="100"/>
  <c r="B2064" i="100"/>
  <c r="C2043" i="100"/>
  <c r="C2076" i="100"/>
  <c r="B2251" i="100"/>
  <c r="C2086" i="100"/>
  <c r="C2230" i="100"/>
  <c r="C2292" i="100"/>
  <c r="B2076" i="100"/>
  <c r="C2258" i="100"/>
  <c r="B2021" i="100"/>
  <c r="B2054" i="100"/>
  <c r="C2244" i="100"/>
  <c r="C2053" i="100"/>
  <c r="C2237" i="100"/>
  <c r="C2054" i="100"/>
  <c r="C2031" i="100"/>
  <c r="B2286" i="100"/>
  <c r="C2288" i="100"/>
  <c r="C2265" i="100"/>
  <c r="C2087" i="100"/>
  <c r="B2087" i="100"/>
  <c r="B2258" i="100"/>
  <c r="B2009" i="100"/>
  <c r="C2010" i="100"/>
  <c r="B2291" i="100"/>
  <c r="C2293" i="100"/>
  <c r="C2021" i="100"/>
  <c r="C2065" i="100"/>
  <c r="C2272" i="100"/>
  <c r="B2287"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8" i="100"/>
  <c r="B2223" i="100"/>
  <c r="C1989" i="100"/>
  <c r="C2223" i="100"/>
  <c r="B1999" i="100"/>
  <c r="C1999" i="100"/>
  <c r="C2285" i="100"/>
  <c r="B1989" i="100"/>
  <c r="B1998" i="100"/>
  <c r="B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0" i="100"/>
  <c r="B2197" i="100"/>
  <c r="B2196" i="100"/>
  <c r="C2184" i="100"/>
  <c r="B2199" i="100"/>
  <c r="C2187" i="100"/>
  <c r="B2188" i="100"/>
  <c r="B2204" i="100"/>
  <c r="C2205" i="100"/>
  <c r="C2202" i="100"/>
  <c r="C2181" i="100"/>
  <c r="B2202" i="100"/>
  <c r="C2211" i="100"/>
  <c r="B2189" i="100"/>
  <c r="B2207" i="100"/>
  <c r="C2183" i="100"/>
  <c r="B2208" i="100"/>
  <c r="C2200" i="100"/>
  <c r="B2190" i="100"/>
  <c r="B2198" i="100"/>
  <c r="B2201" i="100"/>
  <c r="C2198" i="100"/>
  <c r="C2204" i="100"/>
  <c r="B2183" i="100"/>
  <c r="B2206" i="100"/>
  <c r="C2212" i="100"/>
  <c r="C2196" i="100"/>
  <c r="C2190" i="100"/>
  <c r="C2192" i="100"/>
  <c r="C2201" i="100"/>
  <c r="B2184" i="100"/>
  <c r="B2200" i="100"/>
  <c r="C2207" i="100"/>
  <c r="C2203" i="100"/>
  <c r="B2211" i="100"/>
  <c r="C2199" i="100"/>
  <c r="B2203" i="100"/>
  <c r="C2197" i="100"/>
  <c r="B2181" i="100"/>
  <c r="C2182" i="100"/>
  <c r="C2191" i="100"/>
  <c r="B2195" i="100"/>
  <c r="C2180" i="100"/>
  <c r="B2192" i="100"/>
  <c r="C2188" i="100"/>
  <c r="C2189" i="100"/>
  <c r="B2187" i="100"/>
  <c r="B2191" i="100"/>
  <c r="B2209" i="100"/>
  <c r="C2210" i="100"/>
  <c r="B2182" i="100"/>
  <c r="C2209" i="100"/>
  <c r="B2212" i="100"/>
  <c r="C2195" i="100"/>
  <c r="C2206" i="100"/>
  <c r="C2208" i="100"/>
  <c r="B2205" i="100"/>
  <c r="B2210"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X194" i="99"/>
  <c r="D194" i="99"/>
  <c r="V194" i="99"/>
  <c r="X64" i="99"/>
  <c r="V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D497" i="97" l="1"/>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X118" i="99"/>
  <c r="F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B2193" i="100"/>
  <c r="C2193" i="100"/>
  <c r="C2194" i="100"/>
  <c r="B2194" i="100"/>
  <c r="AE61" i="97" l="1"/>
  <c r="M7" i="98"/>
  <c r="AE5" i="97"/>
  <c r="M3" i="98"/>
  <c r="AE33" i="97"/>
  <c r="M5" i="98"/>
  <c r="K215" i="94"/>
  <c r="G187" i="94"/>
  <c r="B37" i="65" l="1"/>
  <c r="O187" i="94"/>
  <c r="O334"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34" i="94"/>
  <c r="S327" i="94" s="1"/>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7" i="94"/>
  <c r="M335" i="94" s="1"/>
  <c r="O336"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N23" i="12" s="1"/>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074" i="100"/>
  <c r="C1140" i="100"/>
  <c r="C414" i="100"/>
  <c r="C329" i="100"/>
  <c r="C1068" i="100"/>
  <c r="C1769" i="100"/>
  <c r="B1841" i="100"/>
  <c r="C375" i="100"/>
  <c r="C814" i="100"/>
  <c r="C1853" i="100"/>
  <c r="C57" i="100"/>
  <c r="B918" i="100"/>
  <c r="C759" i="100"/>
  <c r="C294" i="100"/>
  <c r="C593" i="100"/>
  <c r="B1963" i="100"/>
  <c r="B648" i="100"/>
  <c r="C115" i="100"/>
  <c r="C332" i="100"/>
  <c r="B713" i="100"/>
  <c r="B676" i="100"/>
  <c r="C1057" i="100"/>
  <c r="B413" i="100"/>
  <c r="B79" i="100"/>
  <c r="C939" i="100"/>
  <c r="B1869" i="100"/>
  <c r="C1960" i="100"/>
  <c r="B1608" i="100"/>
  <c r="C304" i="100"/>
  <c r="E116" i="99"/>
  <c r="B1734" i="100"/>
  <c r="B1852" i="100"/>
  <c r="V91" i="99" a="1"/>
  <c r="B1744" i="100"/>
  <c r="B1894" i="100"/>
  <c r="B1837" i="100"/>
  <c r="B665" i="100"/>
  <c r="C1013" i="100"/>
  <c r="C1715" i="100"/>
  <c r="C769" i="100"/>
  <c r="X398" i="99" a="1"/>
  <c r="C956" i="100"/>
  <c r="B1614" i="100"/>
  <c r="N89" i="99" a="1"/>
  <c r="C829" i="100"/>
  <c r="B1732" i="100"/>
  <c r="B361" i="100"/>
  <c r="B1945" i="100"/>
  <c r="Y37" i="99" a="1"/>
  <c r="F337" i="99" a="1"/>
  <c r="I288" i="99" a="1"/>
  <c r="B1247" i="100"/>
  <c r="B280" i="100"/>
  <c r="C513" i="100"/>
  <c r="C1747" i="100"/>
  <c r="C1724" i="100"/>
  <c r="C1643" i="100"/>
  <c r="B128" i="100"/>
  <c r="C556" i="100"/>
  <c r="C1211" i="100"/>
  <c r="C1809" i="100"/>
  <c r="C90" i="100"/>
  <c r="B855" i="100"/>
  <c r="B227" i="100"/>
  <c r="C1947" i="100"/>
  <c r="B1840" i="100"/>
  <c r="B422" i="100"/>
  <c r="AB60" i="99" a="1"/>
  <c r="B949" i="100"/>
  <c r="C69" i="100"/>
  <c r="C1561" i="100"/>
  <c r="B1075" i="100"/>
  <c r="B1036" i="100"/>
  <c r="B326" i="100"/>
  <c r="C1177" i="100"/>
  <c r="B1907" i="100"/>
  <c r="C435" i="100"/>
  <c r="B524" i="100"/>
  <c r="C796" i="100"/>
  <c r="BY221" i="99" a="1"/>
  <c r="B21" i="100"/>
  <c r="C1135" i="100"/>
  <c r="C1779" i="100"/>
  <c r="C802" i="100"/>
  <c r="B1070" i="100"/>
  <c r="AO223" i="99" a="1"/>
  <c r="B967" i="100"/>
  <c r="B1961" i="100"/>
  <c r="C413" i="100"/>
  <c r="C1813" i="100"/>
  <c r="B424" i="100"/>
  <c r="C1595" i="100"/>
  <c r="C1810" i="100"/>
  <c r="B641" i="100"/>
  <c r="W379" i="99" a="1"/>
  <c r="B1157" i="100"/>
  <c r="C316" i="100"/>
  <c r="C1081" i="100"/>
  <c r="C359" i="100"/>
  <c r="C521" i="100"/>
  <c r="B1259" i="100"/>
  <c r="C1836" i="100"/>
  <c r="B612" i="100"/>
  <c r="V167" i="99" a="1"/>
  <c r="C109" i="100"/>
  <c r="C679" i="100"/>
  <c r="G91" i="99" a="1"/>
  <c r="G35" i="99" a="1"/>
  <c r="P7" i="99" a="1"/>
  <c r="C600" i="100"/>
  <c r="B349" i="100"/>
  <c r="B973" i="100"/>
  <c r="B690" i="100"/>
  <c r="X221" i="99" a="1"/>
  <c r="B425" i="100"/>
  <c r="B716" i="100"/>
  <c r="B940" i="100"/>
  <c r="B255" i="100"/>
  <c r="B85" i="100"/>
  <c r="C337" i="100"/>
  <c r="B20" i="100"/>
  <c r="B1096" i="100"/>
  <c r="C630" i="100"/>
  <c r="C66" i="100"/>
  <c r="C1800" i="100"/>
  <c r="B313" i="100"/>
  <c r="C860" i="100"/>
  <c r="AI165" i="99" a="1"/>
  <c r="B14" i="100"/>
  <c r="C1239" i="100"/>
  <c r="C527" i="100"/>
  <c r="C225" i="100"/>
  <c r="C1683" i="100"/>
  <c r="B294" i="100"/>
  <c r="B1131" i="100"/>
  <c r="J13" i="99" a="1"/>
  <c r="H244" i="99" a="1"/>
  <c r="C340" i="100"/>
  <c r="C677" i="100"/>
  <c r="N288" i="99" a="1"/>
  <c r="C1827" i="100"/>
  <c r="B609" i="100"/>
  <c r="B1742" i="100"/>
  <c r="B187" i="100"/>
  <c r="C871" i="100"/>
  <c r="B1729" i="100"/>
  <c r="P35" i="99" a="1"/>
  <c r="B603" i="100"/>
  <c r="Y219" i="99" a="1"/>
  <c r="B845" i="100"/>
  <c r="B113" i="100"/>
  <c r="L114" i="99" a="1"/>
  <c r="B1218" i="100"/>
  <c r="C689" i="100"/>
  <c r="B1077" i="100"/>
  <c r="B832" i="100"/>
  <c r="W362" i="99" a="1"/>
  <c r="C104" i="100"/>
  <c r="B925" i="100"/>
  <c r="B1950" i="100"/>
  <c r="C898" i="100"/>
  <c r="C1603" i="100"/>
  <c r="B650" i="100"/>
  <c r="C1203" i="100"/>
  <c r="B998" i="100"/>
  <c r="B46" i="100"/>
  <c r="C1749" i="100"/>
  <c r="B72" i="100"/>
  <c r="B1718" i="100"/>
  <c r="B344" i="100"/>
  <c r="D362" i="99" a="1"/>
  <c r="B934" i="100"/>
  <c r="B1809" i="100"/>
  <c r="C178" i="100"/>
  <c r="C1873" i="100"/>
  <c r="C640" i="100"/>
  <c r="B1203" i="100"/>
  <c r="B1666" i="100"/>
  <c r="C631" i="100"/>
  <c r="Z13" i="99" a="1"/>
  <c r="B420" i="100"/>
  <c r="C1863" i="100"/>
  <c r="C1594" i="100"/>
  <c r="C1562" i="100"/>
  <c r="G219" i="99" a="1"/>
  <c r="C1886" i="100"/>
  <c r="BN219" i="99" a="1"/>
  <c r="C482" i="100"/>
  <c r="B1015" i="100"/>
  <c r="C76" i="100"/>
  <c r="O165" i="99" a="1"/>
  <c r="B667" i="100"/>
  <c r="B781" i="100"/>
  <c r="BF223" i="99" a="1"/>
  <c r="C149" i="100"/>
  <c r="B1731" i="100"/>
  <c r="BK219" i="99" a="1"/>
  <c r="X167" i="99" a="1"/>
  <c r="B729" i="100"/>
  <c r="C1230" i="100"/>
  <c r="B1642" i="100"/>
  <c r="C33" i="100"/>
  <c r="B430" i="100"/>
  <c r="C1017" i="100"/>
  <c r="C1723" i="100"/>
  <c r="B1185" i="100"/>
  <c r="B1178" i="100"/>
  <c r="C577" i="100"/>
  <c r="B745" i="100"/>
  <c r="D62" i="99" a="1"/>
  <c r="C1103" i="100"/>
  <c r="AN221" i="99" a="1"/>
  <c r="C1780" i="100"/>
  <c r="B942" i="100"/>
  <c r="B1175" i="100"/>
  <c r="B594" i="100"/>
  <c r="C461" i="100"/>
  <c r="B192" i="100"/>
  <c r="K322" i="99" a="1"/>
  <c r="C396" i="100"/>
  <c r="C629" i="100"/>
  <c r="C612" i="100"/>
  <c r="B1973" i="100"/>
  <c r="O244" i="99" a="1"/>
  <c r="Y114" i="99" a="1"/>
  <c r="B1138" i="100"/>
  <c r="C1732" i="100"/>
  <c r="B88" i="100"/>
  <c r="C778" i="100"/>
  <c r="C821" i="100"/>
  <c r="B1276" i="100"/>
  <c r="C176" i="100"/>
  <c r="C1805" i="100"/>
  <c r="C1158" i="100"/>
  <c r="C173" i="100"/>
  <c r="B816" i="100"/>
  <c r="C928" i="100"/>
  <c r="D381" i="99" a="1"/>
  <c r="P60" i="99" a="1"/>
  <c r="B1929" i="100"/>
  <c r="B1942" i="100"/>
  <c r="B1149" i="100"/>
  <c r="B172" i="100"/>
  <c r="B1265" i="100"/>
  <c r="B587" i="100"/>
  <c r="N13" i="99" a="1"/>
  <c r="B504" i="100"/>
  <c r="C1717" i="100"/>
  <c r="B83" i="100"/>
  <c r="C88" i="100"/>
  <c r="BX224" i="99" a="1"/>
  <c r="C616" i="100"/>
  <c r="B715" i="100"/>
  <c r="B19" i="100"/>
  <c r="C1961" i="100"/>
  <c r="C74" i="100"/>
  <c r="C1969" i="100"/>
  <c r="C552" i="100"/>
  <c r="B634" i="100"/>
  <c r="B505" i="100"/>
  <c r="C106" i="100"/>
  <c r="C666" i="100"/>
  <c r="C1596" i="100"/>
  <c r="AD165" i="99" a="1"/>
  <c r="B954" i="100"/>
  <c r="H35" i="99" a="1"/>
  <c r="BW224" i="99" a="1"/>
  <c r="C569" i="100"/>
  <c r="G360" i="99" a="1"/>
  <c r="B1938" i="100"/>
  <c r="C1791" i="100"/>
  <c r="B1719" i="100"/>
  <c r="B802" i="100"/>
  <c r="B1019" i="100"/>
  <c r="B1775" i="100"/>
  <c r="B1169" i="100"/>
  <c r="B1784" i="100"/>
  <c r="B309" i="100"/>
  <c r="C1196" i="100"/>
  <c r="B22" i="100"/>
  <c r="J35" i="99" a="1"/>
  <c r="B1078" i="100"/>
  <c r="C1198" i="100"/>
  <c r="C29" i="100"/>
  <c r="B167" i="100"/>
  <c r="AB219" i="99" a="1"/>
  <c r="B513" i="100"/>
  <c r="C1880" i="100"/>
  <c r="C667" i="100"/>
  <c r="B1761" i="100"/>
  <c r="B1143" i="100"/>
  <c r="B1696" i="100"/>
  <c r="B319" i="100"/>
  <c r="C815" i="100"/>
  <c r="J360" i="99" a="1"/>
  <c r="C350" i="100"/>
  <c r="C1207" i="100"/>
  <c r="C1916" i="100"/>
  <c r="C430" i="100"/>
  <c r="AN223" i="99" a="1"/>
  <c r="C671" i="100"/>
  <c r="B1818" i="100"/>
  <c r="B1263" i="100"/>
  <c r="B68" i="100"/>
  <c r="B10" i="100"/>
  <c r="C1043" i="100"/>
  <c r="B275" i="100"/>
  <c r="B1777" i="100"/>
  <c r="G398" i="99" a="1"/>
  <c r="C455" i="100"/>
  <c r="C1772" i="100"/>
  <c r="C360" i="100"/>
  <c r="B1981" i="100"/>
  <c r="B442" i="100"/>
  <c r="B278" i="100"/>
  <c r="V169" i="99" a="1"/>
  <c r="B1162" i="100"/>
  <c r="B1273" i="100"/>
  <c r="C1139" i="100"/>
  <c r="C102" i="100"/>
  <c r="AB398" i="99" a="1"/>
  <c r="C892" i="100"/>
  <c r="C210" i="100"/>
  <c r="B1081" i="100"/>
  <c r="C9" i="100"/>
  <c r="B1085" i="100"/>
  <c r="C921" i="100"/>
  <c r="C247" i="100"/>
  <c r="B1163" i="100"/>
  <c r="B43" i="100"/>
  <c r="B959" i="100"/>
  <c r="B61" i="100"/>
  <c r="B903" i="100"/>
  <c r="X377" i="99" a="1"/>
  <c r="C660" i="100"/>
  <c r="N244" i="99" a="1"/>
  <c r="C1679" i="100"/>
  <c r="C1157" i="100"/>
  <c r="C280" i="100"/>
  <c r="B817" i="100"/>
  <c r="B856" i="100"/>
  <c r="B1980" i="100"/>
  <c r="B556" i="100"/>
  <c r="B419" i="100"/>
  <c r="B500" i="100"/>
  <c r="B1746" i="100"/>
  <c r="B575" i="100"/>
  <c r="B44" i="100"/>
  <c r="C56" i="100"/>
  <c r="C209" i="100"/>
  <c r="C1055" i="100"/>
  <c r="C1218" i="100"/>
  <c r="C238" i="100"/>
  <c r="C267" i="100"/>
  <c r="B34" i="100"/>
  <c r="B1728" i="100"/>
  <c r="B901" i="100"/>
  <c r="B824" i="100"/>
  <c r="C1883" i="100"/>
  <c r="C356" i="99" a="1"/>
  <c r="C522" i="100"/>
  <c r="B233" i="100"/>
  <c r="C89" i="100"/>
  <c r="C1035" i="100"/>
  <c r="K165" i="99" a="1"/>
  <c r="J89" i="99" a="1"/>
  <c r="B539" i="100"/>
  <c r="E337" i="99" a="1"/>
  <c r="Y143" i="99" a="1"/>
  <c r="B1114" i="100"/>
  <c r="B276" i="100"/>
  <c r="C933" i="100"/>
  <c r="E382" i="99" a="1"/>
  <c r="C417" i="100"/>
  <c r="C215" i="100"/>
  <c r="B1254" i="100"/>
  <c r="C992" i="100"/>
  <c r="B1681" i="100"/>
  <c r="B1952" i="100"/>
  <c r="C1559" i="100"/>
  <c r="C739" i="100"/>
  <c r="AN224" i="99" a="1"/>
  <c r="B568" i="100"/>
  <c r="AA165" i="99" a="1"/>
  <c r="C1829" i="100"/>
  <c r="C1982" i="100"/>
  <c r="C621" i="100"/>
  <c r="B1891" i="100"/>
  <c r="B5" i="100"/>
  <c r="AC190" i="99" a="1"/>
  <c r="B1867" i="100"/>
  <c r="B1915" i="100"/>
  <c r="B615" i="100"/>
  <c r="V381" i="99" a="1"/>
  <c r="C146" i="100"/>
  <c r="B912" i="100"/>
  <c r="L271" i="99" a="1"/>
  <c r="B1979" i="100"/>
  <c r="C242" i="100"/>
  <c r="C271" i="100"/>
  <c r="C1768" i="100"/>
  <c r="B1055" i="100"/>
  <c r="B1088" i="100"/>
  <c r="AD271" i="99" a="1"/>
  <c r="C1775" i="100"/>
  <c r="C1849" i="100"/>
  <c r="C186" i="100"/>
  <c r="I398" i="99" a="1"/>
  <c r="C851" i="100"/>
  <c r="C1902" i="100"/>
  <c r="C1091" i="100"/>
  <c r="B1125" i="100"/>
  <c r="C917" i="100"/>
  <c r="C1032" i="100"/>
  <c r="B1769" i="100"/>
  <c r="B285" i="100"/>
  <c r="B1042" i="100"/>
  <c r="C831" i="100"/>
  <c r="B697" i="100"/>
  <c r="C10" i="100"/>
  <c r="B890" i="100"/>
  <c r="C150" i="100"/>
  <c r="C1773" i="100"/>
  <c r="G89" i="99" a="1"/>
  <c r="B1717" i="100"/>
  <c r="B353" i="100"/>
  <c r="B722" i="100"/>
  <c r="C409" i="100"/>
  <c r="C118" i="100"/>
  <c r="B1108" i="100"/>
  <c r="BV223" i="99" a="1"/>
  <c r="B1594" i="100"/>
  <c r="C1077" i="100"/>
  <c r="B250" i="100"/>
  <c r="C1877" i="100"/>
  <c r="C1761" i="100"/>
  <c r="B1600" i="100"/>
  <c r="F377" i="99" a="1"/>
  <c r="B864" i="100"/>
  <c r="B963" i="100"/>
  <c r="B99" i="100"/>
  <c r="B1135" i="100"/>
  <c r="C691" i="100"/>
  <c r="C1984" i="100"/>
  <c r="B231" i="100"/>
  <c r="AG165" i="99" a="1"/>
  <c r="B441" i="100"/>
  <c r="C662" i="100"/>
  <c r="C550" i="100"/>
  <c r="B806" i="100"/>
  <c r="C1039" i="100"/>
  <c r="AW219" i="99" a="1"/>
  <c r="B448" i="100"/>
  <c r="C818" i="100"/>
  <c r="C531" i="100"/>
  <c r="C791" i="100"/>
  <c r="B547" i="100"/>
  <c r="B1858" i="100"/>
  <c r="C51" i="100"/>
  <c r="B1982" i="100"/>
  <c r="C168" i="100"/>
  <c r="C1247" i="100"/>
  <c r="C429" i="100"/>
  <c r="B964" i="100"/>
  <c r="B1924" i="100"/>
  <c r="C885" i="100"/>
  <c r="G246" i="99" a="1"/>
  <c r="B1727" i="100"/>
  <c r="C1693" i="100"/>
  <c r="C664" i="100"/>
  <c r="B1241" i="100"/>
  <c r="BH221" i="99" a="1"/>
  <c r="F221" i="99" a="1"/>
  <c r="F192" i="99"/>
  <c r="B639" i="100"/>
  <c r="C1858" i="100"/>
  <c r="C354" i="100"/>
  <c r="B1013" i="100"/>
  <c r="B755" i="100"/>
  <c r="C1182" i="100"/>
  <c r="C1909" i="100"/>
  <c r="C382" i="99" a="1"/>
  <c r="C1911" i="100"/>
  <c r="B209" i="100"/>
  <c r="C1803" i="100"/>
  <c r="C1048" i="100"/>
  <c r="B495" i="100"/>
  <c r="C1259" i="100"/>
  <c r="C1906" i="100"/>
  <c r="B1747" i="100"/>
  <c r="B1199" i="100"/>
  <c r="B1730" i="100"/>
  <c r="C12" i="100"/>
  <c r="B498" i="100"/>
  <c r="B518" i="100"/>
  <c r="C1217" i="100"/>
  <c r="C551" i="100"/>
  <c r="C217" i="100"/>
  <c r="C542" i="100"/>
  <c r="B1585" i="100"/>
  <c r="B1819" i="100"/>
  <c r="D91" i="99" a="1"/>
  <c r="C658" i="100"/>
  <c r="AU221" i="99" a="1"/>
  <c r="AC89" i="99" a="1"/>
  <c r="B545" i="100"/>
  <c r="B630" i="100"/>
  <c r="B530" i="100"/>
  <c r="C1798" i="100"/>
  <c r="B443" i="100"/>
  <c r="B1110" i="100"/>
  <c r="C767" i="100"/>
  <c r="C1806" i="100"/>
  <c r="C772" i="100"/>
  <c r="B1168" i="100"/>
  <c r="C1249" i="100"/>
  <c r="C1258" i="100"/>
  <c r="B1249" i="100"/>
  <c r="C276" i="100"/>
  <c r="B478" i="100"/>
  <c r="V402" i="99" a="1"/>
  <c r="C1202" i="100"/>
  <c r="B1113" i="100"/>
  <c r="B48" i="100"/>
  <c r="B636" i="100"/>
  <c r="B1689" i="100"/>
  <c r="C353" i="100"/>
  <c r="B712" i="100"/>
  <c r="C1014" i="100"/>
  <c r="B320" i="100"/>
  <c r="C1848" i="100"/>
  <c r="E249" i="99" a="1"/>
  <c r="J114" i="99" a="1"/>
  <c r="C1194" i="100"/>
  <c r="C584" i="100"/>
  <c r="C1706" i="100"/>
  <c r="B1953" i="100"/>
  <c r="BP219" i="99" a="1"/>
  <c r="C1678" i="100"/>
  <c r="C1019" i="100"/>
  <c r="B9" i="100"/>
  <c r="C474" i="100"/>
  <c r="Y398" i="99" a="1"/>
  <c r="C765" i="100"/>
  <c r="C553" i="100"/>
  <c r="B999" i="100"/>
  <c r="B449" i="100"/>
  <c r="B753" i="100"/>
  <c r="H377" i="99" a="1"/>
  <c r="I305" i="99" a="1"/>
  <c r="C1899" i="100"/>
  <c r="C24" i="100"/>
  <c r="B234" i="100"/>
  <c r="C935" i="100"/>
  <c r="K244" i="99" a="1"/>
  <c r="C490" i="100"/>
  <c r="Y91" i="99" a="1"/>
  <c r="B141" i="100"/>
  <c r="B1187" i="100"/>
  <c r="B409" i="100"/>
  <c r="B453" i="100"/>
  <c r="C1110" i="100"/>
  <c r="C1244" i="100"/>
  <c r="C1262" i="100"/>
  <c r="AB271" i="99" a="1"/>
  <c r="C73" i="100"/>
  <c r="B708" i="100"/>
  <c r="C727" i="100"/>
  <c r="K288" i="99" a="1"/>
  <c r="C968" i="100"/>
  <c r="U273" i="99" a="1"/>
  <c r="C525" i="100"/>
  <c r="B1151" i="100"/>
  <c r="B483" i="100"/>
  <c r="B756" i="100"/>
  <c r="C1107" i="100"/>
  <c r="C1860" i="100"/>
  <c r="O143" i="99" a="1"/>
  <c r="C432" i="100"/>
  <c r="C746" i="100"/>
  <c r="C205" i="100"/>
  <c r="C1132" i="100"/>
  <c r="B1242" i="100"/>
  <c r="C823" i="100"/>
  <c r="BM219" i="99" a="1"/>
  <c r="C1567" i="100"/>
  <c r="B526" i="100"/>
  <c r="C1966" i="100"/>
  <c r="C37" i="100"/>
  <c r="B1069" i="100"/>
  <c r="B1122" i="100"/>
  <c r="C668" i="100"/>
  <c r="C243" i="100"/>
  <c r="C893" i="100"/>
  <c r="B796" i="100"/>
  <c r="AY219" i="99" a="1"/>
  <c r="B271" i="100"/>
  <c r="B1794" i="100"/>
  <c r="C1586" i="100"/>
  <c r="C16" i="100"/>
  <c r="B1909" i="100"/>
  <c r="C1080" i="100"/>
  <c r="B649" i="100"/>
  <c r="Z221" i="99" a="1"/>
  <c r="C1243" i="100"/>
  <c r="B270" i="100"/>
  <c r="C690" i="100"/>
  <c r="C203" i="100"/>
  <c r="P89" i="99" a="1"/>
  <c r="C541" i="100"/>
  <c r="B800" i="100"/>
  <c r="B1906" i="100"/>
  <c r="K114" i="99" a="1"/>
  <c r="B144" i="100"/>
  <c r="C1178" i="100"/>
  <c r="C147" i="100"/>
  <c r="J244" i="99" a="1"/>
  <c r="B763" i="100"/>
  <c r="B1126" i="100"/>
  <c r="C327" i="100"/>
  <c r="G322" i="99" a="1"/>
  <c r="B435" i="100"/>
  <c r="C1697" i="100"/>
  <c r="C320" i="100"/>
  <c r="C1061" i="100"/>
  <c r="C1040" i="100"/>
  <c r="B220" i="100"/>
  <c r="X169" i="99" a="1"/>
  <c r="I89" i="99" a="1"/>
  <c r="B640" i="100"/>
  <c r="B700" i="100"/>
  <c r="AE35" i="99" a="1"/>
  <c r="C1721" i="100"/>
  <c r="C613" i="100"/>
  <c r="B50" i="100"/>
  <c r="B1060" i="100"/>
  <c r="C1141" i="100"/>
  <c r="B1156" i="100"/>
  <c r="B1020" i="100"/>
  <c r="B315" i="100"/>
  <c r="B1245" i="100"/>
  <c r="B1145" i="100"/>
  <c r="C544" i="100"/>
  <c r="AA60" i="99" a="1"/>
  <c r="C620" i="100"/>
  <c r="X37" i="99" a="1"/>
  <c r="C469" i="100"/>
  <c r="C1227" i="100"/>
  <c r="B179" i="100"/>
  <c r="C330" i="100"/>
  <c r="B1776" i="100"/>
  <c r="V404" i="99" a="1"/>
  <c r="C1073" i="100"/>
  <c r="B928" i="100"/>
  <c r="C1190" i="100"/>
  <c r="C1936" i="100"/>
  <c r="B496" i="100"/>
  <c r="C275" i="100"/>
  <c r="B1214" i="100"/>
  <c r="AF377" i="99" a="1"/>
  <c r="AE13" i="99" a="1"/>
  <c r="B1971" i="100"/>
  <c r="B1921" i="100"/>
  <c r="C1566" i="100"/>
  <c r="B131" i="100"/>
  <c r="C1861" i="100"/>
  <c r="C948" i="100"/>
  <c r="F37" i="99" a="1"/>
  <c r="V273" i="99" a="1"/>
  <c r="B1962" i="100"/>
  <c r="B1803" i="100"/>
  <c r="B891" i="100"/>
  <c r="N341" i="99" a="1"/>
  <c r="C415" i="100"/>
  <c r="B813" i="100"/>
  <c r="C229" i="100"/>
  <c r="C343" i="100"/>
  <c r="B984" i="100"/>
  <c r="B64" i="100"/>
  <c r="C1003" i="100"/>
  <c r="C627" i="100"/>
  <c r="C652" i="100"/>
  <c r="C251" i="100"/>
  <c r="C1927" i="100"/>
  <c r="B947" i="100"/>
  <c r="B1801" i="100"/>
  <c r="C1224" i="100"/>
  <c r="H89" i="99" a="1"/>
  <c r="J377" i="99" a="1"/>
  <c r="B125" i="100"/>
  <c r="C1054" i="100"/>
  <c r="C181" i="100"/>
  <c r="C586" i="100"/>
  <c r="E224" i="99" a="1"/>
  <c r="C979" i="100"/>
  <c r="C342" i="100"/>
  <c r="B1884" i="100"/>
  <c r="B272" i="100"/>
  <c r="B696" i="100"/>
  <c r="C324" i="100"/>
  <c r="C208" i="100"/>
  <c r="B564" i="100"/>
  <c r="D290" i="99" a="1"/>
  <c r="C1058" i="100"/>
  <c r="I165" i="99" a="1"/>
  <c r="M360" i="99" a="1"/>
  <c r="C153" i="100"/>
  <c r="C496" i="100"/>
  <c r="B119" i="100"/>
  <c r="B532" i="100"/>
  <c r="B1749" i="100"/>
  <c r="C649" i="100"/>
  <c r="C506" i="100"/>
  <c r="AB114" i="99" a="1"/>
  <c r="C177" i="100"/>
  <c r="B1699" i="100"/>
  <c r="N377" i="99" a="1"/>
  <c r="B1862" i="100"/>
  <c r="C1868" i="100"/>
  <c r="B1186" i="100"/>
  <c r="C1096" i="100"/>
  <c r="B63" i="100"/>
  <c r="B982" i="100"/>
  <c r="C987" i="100"/>
  <c r="AI60" i="99" a="1"/>
  <c r="C1669" i="100"/>
  <c r="C1153" i="100"/>
  <c r="C1865" i="100"/>
  <c r="C926" i="100"/>
  <c r="B1194" i="100"/>
  <c r="B358" i="100"/>
  <c r="B345" i="100"/>
  <c r="B1861" i="100"/>
  <c r="C439" i="100"/>
  <c r="B1968" i="100"/>
  <c r="H419" i="99" a="1"/>
  <c r="C931" i="100"/>
  <c r="B1607" i="100"/>
  <c r="C1842" i="100"/>
  <c r="C259" i="100"/>
  <c r="B1798" i="100"/>
  <c r="C1870" i="100"/>
  <c r="B1177" i="100"/>
  <c r="B328" i="100"/>
  <c r="B679" i="100"/>
  <c r="C1274" i="100"/>
  <c r="C384" i="100"/>
  <c r="W381" i="99" a="1"/>
  <c r="C1111" i="100"/>
  <c r="C510" i="100"/>
  <c r="C1233" i="100"/>
  <c r="C219" i="100"/>
  <c r="C1716" i="100"/>
  <c r="N165" i="99" a="1"/>
  <c r="C334" i="100"/>
  <c r="C901" i="100"/>
  <c r="C1042" i="100"/>
  <c r="C789" i="100"/>
  <c r="Q60" i="99" a="1"/>
  <c r="B71" i="100"/>
  <c r="B1900" i="100"/>
  <c r="W37" i="99" a="1"/>
  <c r="B1134" i="100"/>
  <c r="C800" i="100"/>
  <c r="B1213" i="100"/>
  <c r="AE143" i="99" a="1"/>
  <c r="C635" i="100"/>
  <c r="C1109" i="100"/>
  <c r="C575" i="100"/>
  <c r="B355" i="100"/>
  <c r="J60" i="99" a="1"/>
  <c r="B1171" i="100"/>
  <c r="C1160" i="100"/>
  <c r="B1672" i="100"/>
  <c r="C1818" i="100"/>
  <c r="C111" i="100"/>
  <c r="C1010" i="100"/>
  <c r="N322" i="99" a="1"/>
  <c r="B1104" i="100"/>
  <c r="C23" i="100"/>
  <c r="B1209" i="100"/>
  <c r="C882" i="100"/>
  <c r="B365" i="100"/>
  <c r="C1867" i="100"/>
  <c r="B372" i="100"/>
  <c r="C1737" i="100"/>
  <c r="H221" i="99" a="1"/>
  <c r="Z190" i="99" a="1"/>
  <c r="C75" i="100"/>
  <c r="B1064" i="100"/>
  <c r="B403" i="100"/>
  <c r="C467" i="100"/>
  <c r="E290" i="99" a="1"/>
  <c r="B33" i="100"/>
  <c r="B151" i="100"/>
  <c r="B1017" i="100"/>
  <c r="D380" i="99" a="1"/>
  <c r="C3" i="100"/>
  <c r="B1063" i="100"/>
  <c r="C1609" i="100"/>
  <c r="C1134" i="100"/>
  <c r="B1928" i="100"/>
  <c r="K305" i="99" a="1"/>
  <c r="C59" i="100"/>
  <c r="AG271" i="99" a="1"/>
  <c r="C1841" i="100"/>
  <c r="B1931" i="100"/>
  <c r="C654" i="100"/>
  <c r="H13" i="99" a="1"/>
  <c r="B1943" i="100"/>
  <c r="C594" i="100"/>
  <c r="C1201" i="100"/>
  <c r="B1603" i="100"/>
  <c r="C752" i="100"/>
  <c r="B1779" i="100"/>
  <c r="C1187" i="100"/>
  <c r="C1093" i="100"/>
  <c r="B1814" i="100"/>
  <c r="B1878" i="100"/>
  <c r="AF89" i="99" a="1"/>
  <c r="B1714" i="100"/>
  <c r="B983" i="100"/>
  <c r="B735" i="100"/>
  <c r="BO219" i="99" a="1"/>
  <c r="K221" i="99" a="1"/>
  <c r="C595" i="100"/>
  <c r="B157" i="100"/>
  <c r="B379" i="100"/>
  <c r="B584" i="100"/>
  <c r="B972" i="100"/>
  <c r="C139" i="100"/>
  <c r="C273" i="99" a="1"/>
  <c r="C1948" i="100"/>
  <c r="C755" i="100"/>
  <c r="C1933" i="100"/>
  <c r="U382" i="99" a="1"/>
  <c r="B1277" i="100"/>
  <c r="B415" i="100"/>
  <c r="C891" i="100"/>
  <c r="B497" i="100"/>
  <c r="C738" i="100"/>
  <c r="B939" i="100"/>
  <c r="B180" i="100"/>
  <c r="B1227" i="100"/>
  <c r="B782" i="100"/>
  <c r="N8" i="99" a="1"/>
  <c r="C485" i="100"/>
  <c r="C1915" i="100"/>
  <c r="Y62" i="99"/>
  <c r="C364" i="100"/>
  <c r="C328" i="100"/>
  <c r="O114" i="99" a="1"/>
  <c r="B528" i="100"/>
  <c r="V382" i="99" a="1"/>
  <c r="B704" i="100"/>
  <c r="B1560" i="100"/>
  <c r="C1152" i="100"/>
  <c r="C1727" i="100"/>
  <c r="B370" i="100"/>
  <c r="C737" i="100"/>
  <c r="C1771" i="100"/>
  <c r="B245" i="100"/>
  <c r="L288" i="99" a="1"/>
  <c r="C890" i="100"/>
  <c r="B1765" i="100"/>
  <c r="AE190" i="99" a="1"/>
  <c r="C422" i="100"/>
  <c r="B123" i="100"/>
  <c r="C1703" i="100"/>
  <c r="C1012" i="100"/>
  <c r="C518" i="100"/>
  <c r="C946" i="100"/>
  <c r="B926" i="100"/>
  <c r="B1677" i="100"/>
  <c r="C1807" i="100"/>
  <c r="B651" i="100"/>
  <c r="C1764" i="100"/>
  <c r="C463" i="100"/>
  <c r="B246" i="100"/>
  <c r="C1614" i="100"/>
  <c r="B1111" i="100"/>
  <c r="B436" i="100"/>
  <c r="C1115" i="100"/>
  <c r="B1946" i="100"/>
  <c r="C1234" i="100"/>
  <c r="B1022" i="100"/>
  <c r="F167" i="99" a="1"/>
  <c r="B176" i="100"/>
  <c r="L143" i="99" a="1"/>
  <c r="C1568" i="100"/>
  <c r="C1799" i="100"/>
  <c r="C1255" i="100"/>
  <c r="B842" i="100"/>
  <c r="C762" i="100"/>
  <c r="B412" i="100"/>
  <c r="B593" i="100"/>
  <c r="Q219" i="99" a="1"/>
  <c r="B1735" i="100"/>
  <c r="V224" i="99" a="1"/>
  <c r="B786" i="100"/>
  <c r="V383" i="99" a="1"/>
  <c r="C1242" i="100"/>
  <c r="B549" i="100"/>
  <c r="V37" i="99" a="1"/>
  <c r="B598" i="100"/>
  <c r="C303" i="100"/>
  <c r="C1778" i="100"/>
  <c r="B312" i="100"/>
  <c r="C702" i="100"/>
  <c r="B67" i="100"/>
  <c r="AD377" i="99" a="1"/>
  <c r="B1792" i="100"/>
  <c r="F356" i="99" a="1"/>
  <c r="C129" i="100"/>
  <c r="B1141" i="100"/>
  <c r="B885" i="100"/>
  <c r="C1714" i="100"/>
  <c r="C174" i="100"/>
  <c r="C97" i="100"/>
  <c r="C1797" i="100"/>
  <c r="C1075" i="100"/>
  <c r="B534" i="100"/>
  <c r="B1976" i="100"/>
  <c r="B718" i="100"/>
  <c r="C1979" i="100"/>
  <c r="C1253" i="100"/>
  <c r="G165" i="99" a="1"/>
  <c r="AI114" i="99" a="1"/>
  <c r="C980" i="100"/>
  <c r="C1819" i="100"/>
  <c r="C81" i="100"/>
  <c r="B955" i="100"/>
  <c r="C67" i="100"/>
  <c r="C622" i="100"/>
  <c r="B883" i="100"/>
  <c r="P244" i="99" a="1"/>
  <c r="B860" i="100"/>
  <c r="L322" i="99" a="1"/>
  <c r="B81" i="100"/>
  <c r="B952" i="100"/>
  <c r="C1108" i="100"/>
  <c r="B1280" i="100"/>
  <c r="B1987" i="100"/>
  <c r="B997" i="100"/>
  <c r="P143" i="99" a="1"/>
  <c r="C180" i="100"/>
  <c r="B1703" i="100"/>
  <c r="C1821" i="100"/>
  <c r="B96" i="100"/>
  <c r="B550" i="100"/>
  <c r="B461" i="100"/>
  <c r="B1676" i="100"/>
  <c r="C1738" i="100"/>
  <c r="C585" i="100"/>
  <c r="C427" i="100"/>
  <c r="B566" i="100"/>
  <c r="B228" i="100"/>
  <c r="B1934" i="100"/>
  <c r="C493" i="100"/>
  <c r="C433" i="100"/>
  <c r="B1034" i="100"/>
  <c r="B481" i="100"/>
  <c r="B446" i="100"/>
  <c r="C964" i="100"/>
  <c r="C832" i="100"/>
  <c r="B401" i="100"/>
  <c r="C614" i="100"/>
  <c r="C880" i="100"/>
  <c r="C1050" i="100"/>
  <c r="C1038" i="100"/>
  <c r="B380" i="100"/>
  <c r="C900" i="100"/>
  <c r="C227" i="100"/>
  <c r="BV224" i="99" a="1"/>
  <c r="B861" i="100"/>
  <c r="B1191" i="100"/>
  <c r="B551" i="100"/>
  <c r="F224" i="99" a="1"/>
  <c r="M165" i="99" a="1"/>
  <c r="C250" i="100"/>
  <c r="B739" i="100"/>
  <c r="B1206" i="100"/>
  <c r="B764" i="100"/>
  <c r="B1120" i="100"/>
  <c r="C494" i="100"/>
  <c r="C323" i="100"/>
  <c r="B226" i="100"/>
  <c r="G37" i="99" a="1"/>
  <c r="D307" i="99" a="1"/>
  <c r="B825" i="100"/>
  <c r="C385" i="100"/>
  <c r="C1240" i="100"/>
  <c r="C1874" i="100"/>
  <c r="B1568" i="100"/>
  <c r="C535" i="100"/>
  <c r="C175" i="100"/>
  <c r="B670" i="100"/>
  <c r="C296" i="100"/>
  <c r="C954" i="100"/>
  <c r="C1028" i="100"/>
  <c r="B383" i="100"/>
  <c r="D273" i="99" a="1"/>
  <c r="C592" i="100"/>
  <c r="B695" i="100"/>
  <c r="B105" i="100"/>
  <c r="B202" i="100"/>
  <c r="B183" i="100"/>
  <c r="B850" i="100"/>
  <c r="C423" i="100"/>
  <c r="B1919" i="100"/>
  <c r="B129" i="100"/>
  <c r="B201" i="100"/>
  <c r="B284" i="100"/>
  <c r="B485" i="100"/>
  <c r="AB35" i="99" a="1"/>
  <c r="B1675" i="100"/>
  <c r="B985" i="100"/>
  <c r="B1944" i="100"/>
  <c r="B213" i="100"/>
  <c r="C470" i="100"/>
  <c r="C589" i="100"/>
  <c r="C625" i="100"/>
  <c r="B1037" i="100"/>
  <c r="C488" i="100"/>
  <c r="C361" i="100"/>
  <c r="M13" i="99" a="1"/>
  <c r="B807" i="100"/>
  <c r="C770" i="100"/>
  <c r="B1879" i="100"/>
  <c r="D246" i="99" a="1"/>
  <c r="AF60" i="99" a="1"/>
  <c r="B987" i="100"/>
  <c r="C985" i="100"/>
  <c r="B1707" i="100"/>
  <c r="B1197" i="100"/>
  <c r="C1560" i="100"/>
  <c r="C1901" i="100"/>
  <c r="B146" i="100"/>
  <c r="B1688" i="100"/>
  <c r="C1739" i="100"/>
  <c r="B1882" i="100"/>
  <c r="B1590" i="100"/>
  <c r="B986" i="100"/>
  <c r="C268" i="100"/>
  <c r="B248" i="100"/>
  <c r="B243" i="100"/>
  <c r="B1810" i="100"/>
  <c r="C1890" i="100"/>
  <c r="BX221" i="99" a="1"/>
  <c r="B373" i="100"/>
  <c r="B142" i="100"/>
  <c r="B1828" i="100"/>
  <c r="AE165" i="99" a="1"/>
  <c r="B1902" i="100"/>
  <c r="C472" i="100"/>
  <c r="C962" i="100"/>
  <c r="B54" i="100"/>
  <c r="BL221" i="99" a="1"/>
  <c r="C393" i="100"/>
  <c r="C947" i="100"/>
  <c r="C869" i="100"/>
  <c r="C77" i="100"/>
  <c r="B540" i="100"/>
  <c r="C1605" i="100"/>
  <c r="B404" i="100"/>
  <c r="C1854" i="100"/>
  <c r="V93" i="99" a="1"/>
  <c r="B711" i="100"/>
  <c r="C682" i="100"/>
  <c r="C561" i="100"/>
  <c r="C811" i="100"/>
  <c r="G60" i="99" a="1"/>
  <c r="B748" i="100"/>
  <c r="B1196" i="100"/>
  <c r="C663" i="100"/>
  <c r="K89" i="99" a="1"/>
  <c r="AB165" i="99" a="1"/>
  <c r="C642" i="100"/>
  <c r="AC35" i="99" a="1"/>
  <c r="C932" i="100"/>
  <c r="C747" i="100"/>
  <c r="BZ219" i="99" a="1"/>
  <c r="B1107" i="100"/>
  <c r="B865" i="100"/>
  <c r="B1874" i="100"/>
  <c r="C1907" i="100"/>
  <c r="B1829" i="100"/>
  <c r="B811" i="100"/>
  <c r="C443" i="100"/>
  <c r="B387" i="100"/>
  <c r="B574" i="100"/>
  <c r="B1195" i="100"/>
  <c r="C445" i="100"/>
  <c r="B563" i="100"/>
  <c r="C884" i="100"/>
  <c r="AD114" i="99" a="1"/>
  <c r="B1058" i="100"/>
  <c r="C1022" i="100"/>
  <c r="B1665" i="100"/>
  <c r="B317" i="100"/>
  <c r="C272" i="100"/>
  <c r="B1755" i="100"/>
  <c r="C1731" i="100"/>
  <c r="B411" i="100"/>
  <c r="B966" i="100"/>
  <c r="B553" i="100"/>
  <c r="B1154" i="100"/>
  <c r="D39" i="99" a="1"/>
  <c r="O89" i="99" a="1"/>
  <c r="C596" i="100"/>
  <c r="E419" i="99" a="1"/>
  <c r="C1036" i="100"/>
  <c r="C483" i="100"/>
  <c r="C833" i="100"/>
  <c r="AF165" i="99" a="1"/>
  <c r="B457" i="100"/>
  <c r="C1881" i="100"/>
  <c r="B1726" i="100"/>
  <c r="K360" i="99" a="1"/>
  <c r="C421" i="100"/>
  <c r="C1677" i="100"/>
  <c r="B143" i="100"/>
  <c r="B1025" i="100"/>
  <c r="AS219" i="99" a="1"/>
  <c r="C698" i="100"/>
  <c r="B257" i="100"/>
  <c r="C994" i="100"/>
  <c r="C307" i="100"/>
  <c r="B592" i="100"/>
  <c r="C352" i="100"/>
  <c r="CE219" i="99" a="1"/>
  <c r="C317" i="100"/>
  <c r="AO224" i="99" a="1"/>
  <c r="C1719" i="100"/>
  <c r="C657" i="100"/>
  <c r="C264" i="100"/>
  <c r="J305" i="99" a="1"/>
  <c r="B742" i="100"/>
  <c r="B941" i="100"/>
  <c r="B604" i="100"/>
  <c r="C197" i="100"/>
  <c r="B1221" i="100"/>
  <c r="B1704" i="100"/>
  <c r="B793" i="100"/>
  <c r="B1767" i="100"/>
  <c r="AF13" i="99" a="1"/>
  <c r="B104" i="100"/>
  <c r="C1179" i="100"/>
  <c r="B897" i="100"/>
  <c r="C993" i="100"/>
  <c r="C1941" i="100"/>
  <c r="C404" i="100"/>
  <c r="C1169" i="100"/>
  <c r="C906" i="100"/>
  <c r="B261" i="100"/>
  <c r="C1845" i="100"/>
  <c r="C523" i="100"/>
  <c r="C986" i="100"/>
  <c r="B664" i="100"/>
  <c r="C938" i="100"/>
  <c r="C468" i="100"/>
  <c r="C848" i="100"/>
  <c r="C877" i="100"/>
  <c r="B342" i="100"/>
  <c r="B1853" i="100"/>
  <c r="C55" i="100"/>
  <c r="B1598" i="100"/>
  <c r="H165" i="99" a="1"/>
  <c r="B1986" i="100"/>
  <c r="B400" i="100"/>
  <c r="F398" i="99" a="1"/>
  <c r="C1924" i="100"/>
  <c r="C60" i="100"/>
  <c r="C128" i="100"/>
  <c r="C1612" i="100"/>
  <c r="C1219" i="100"/>
  <c r="M322" i="99" a="1"/>
  <c r="W93" i="99" a="1"/>
  <c r="C1903" i="100"/>
  <c r="C1760" i="100"/>
  <c r="C1866" i="100"/>
  <c r="B103" i="100"/>
  <c r="U381" i="99" a="1"/>
  <c r="B1813" i="100"/>
  <c r="C318" i="100"/>
  <c r="C911" i="100"/>
  <c r="C130" i="100"/>
  <c r="B1865" i="100"/>
  <c r="BG221" i="99" a="1"/>
  <c r="B1123" i="100"/>
  <c r="B588" i="100"/>
  <c r="C1104" i="100"/>
  <c r="C805" i="100"/>
  <c r="C1776" i="100"/>
  <c r="C916" i="100"/>
  <c r="D248" i="99" a="1"/>
  <c r="C211" i="100"/>
  <c r="B16" i="100"/>
  <c r="K4" i="99" a="1"/>
  <c r="C957" i="100"/>
  <c r="C135" i="100"/>
  <c r="C1094" i="100"/>
  <c r="AA398" i="99" a="1"/>
  <c r="C1189" i="100"/>
  <c r="BQ219" i="99" a="1"/>
  <c r="B1137" i="100"/>
  <c r="C1944" i="100"/>
  <c r="C444" i="100"/>
  <c r="B325" i="100"/>
  <c r="B601" i="100"/>
  <c r="B1685" i="100"/>
  <c r="D221" i="99" a="1"/>
  <c r="B350" i="100"/>
  <c r="C1144" i="100"/>
  <c r="C841" i="100"/>
  <c r="C398" i="100"/>
  <c r="B208" i="100"/>
  <c r="B767" i="100"/>
  <c r="M288" i="99" a="1"/>
  <c r="C395" i="100"/>
  <c r="P165" i="99" a="1"/>
  <c r="C46" i="100"/>
  <c r="Z89" i="99" a="1"/>
  <c r="Y89" i="99" a="1"/>
  <c r="B1827" i="100"/>
  <c r="B932" i="100"/>
  <c r="B1691" i="100"/>
  <c r="B230" i="100"/>
  <c r="B1947" i="100"/>
  <c r="C144" i="100"/>
  <c r="B338" i="100"/>
  <c r="AH60" i="99" a="1"/>
  <c r="B597" i="100"/>
  <c r="C133" i="100"/>
  <c r="B849" i="100"/>
  <c r="B867" i="100"/>
  <c r="C564" i="100"/>
  <c r="AF190" i="99" a="1"/>
  <c r="C172" i="100"/>
  <c r="B1684" i="100"/>
  <c r="C705" i="100"/>
  <c r="C1925" i="100"/>
  <c r="C505" i="100"/>
  <c r="B1716" i="100"/>
  <c r="D404" i="99" a="1"/>
  <c r="B354" i="100"/>
  <c r="B433" i="100"/>
  <c r="B814" i="100"/>
  <c r="C605" i="100"/>
  <c r="B1133" i="100"/>
  <c r="C1939" i="100"/>
  <c r="B66" i="100"/>
  <c r="B439" i="100"/>
  <c r="C974" i="100"/>
  <c r="C872" i="100"/>
  <c r="B256" i="100"/>
  <c r="C286" i="100"/>
  <c r="B894" i="100"/>
  <c r="C297" i="100"/>
  <c r="J271" i="99" a="1"/>
  <c r="C996" i="100"/>
  <c r="B1243" i="100"/>
  <c r="B529" i="100"/>
  <c r="CI219" i="99" a="1"/>
  <c r="B1825" i="100"/>
  <c r="B876" i="100"/>
  <c r="B1959" i="100"/>
  <c r="B122" i="100"/>
  <c r="D224" i="99" a="1"/>
  <c r="J288" i="99" a="1"/>
  <c r="B1124" i="100"/>
  <c r="C486" i="100"/>
  <c r="B607" i="100"/>
  <c r="K35" i="99" a="1"/>
  <c r="B215" i="100"/>
  <c r="E379" i="99" a="1"/>
  <c r="C1875" i="100"/>
  <c r="B565" i="100"/>
  <c r="B1905" i="100"/>
  <c r="B340" i="100"/>
  <c r="B393" i="100"/>
  <c r="B287" i="100"/>
  <c r="BA219" i="99" a="1"/>
  <c r="C1954" i="100"/>
  <c r="C723" i="100"/>
  <c r="AH165" i="99" a="1"/>
  <c r="E248" i="99" a="1"/>
  <c r="C1879" i="100"/>
  <c r="B102" i="100"/>
  <c r="B661" i="100"/>
  <c r="C322" i="100"/>
  <c r="C555" i="100"/>
  <c r="C905" i="100"/>
  <c r="V192" i="99" a="1"/>
  <c r="B1812" i="100"/>
  <c r="C953" i="100"/>
  <c r="B1253" i="100"/>
  <c r="B282" i="100"/>
  <c r="B771" i="100"/>
  <c r="Y360" i="99" a="1"/>
  <c r="C1746" i="100"/>
  <c r="AP224" i="99" a="1"/>
  <c r="E93" i="99" a="1"/>
  <c r="X93" i="99" a="1"/>
  <c r="C1026" i="100"/>
  <c r="C950" i="100"/>
  <c r="B1844" i="100"/>
  <c r="B390" i="100"/>
  <c r="B77" i="100"/>
  <c r="B938" i="100"/>
  <c r="B1030" i="100"/>
  <c r="B1832" i="100"/>
  <c r="H219" i="99" a="1"/>
  <c r="B1279" i="100"/>
  <c r="V221" i="99" a="1"/>
  <c r="X223" i="99" a="1"/>
  <c r="C780" i="100"/>
  <c r="C651" i="100"/>
  <c r="AB143" i="99" a="1"/>
  <c r="L35" i="99" a="1"/>
  <c r="B1219" i="100"/>
  <c r="B1053" i="100"/>
  <c r="C1955" i="100"/>
  <c r="C484" i="100"/>
  <c r="B169" i="100"/>
  <c r="B292" i="100"/>
  <c r="B1965" i="100"/>
  <c r="C390" i="100"/>
  <c r="Z143" i="99" a="1"/>
  <c r="B937" i="100"/>
  <c r="B859" i="100"/>
  <c r="C1725" i="100"/>
  <c r="B1031" i="100"/>
  <c r="B304" i="100"/>
  <c r="C903" i="100"/>
  <c r="E39" i="99" a="1"/>
  <c r="H398" i="99" a="1"/>
  <c r="B121" i="100"/>
  <c r="C1154" i="100"/>
  <c r="C771" i="100"/>
  <c r="B1700" i="100"/>
  <c r="C1250" i="100"/>
  <c r="B1176" i="100"/>
  <c r="C1975" i="100"/>
  <c r="D145" i="99" a="1"/>
  <c r="C760" i="100"/>
  <c r="C397" i="100"/>
  <c r="Y35" i="99" a="1"/>
  <c r="B1278" i="100"/>
  <c r="B1117" i="100"/>
  <c r="P219" i="99" a="1"/>
  <c r="C1226" i="100"/>
  <c r="B853" i="100"/>
  <c r="B59" i="100"/>
  <c r="C1956" i="100"/>
  <c r="B27" i="100"/>
  <c r="C1128" i="100"/>
  <c r="F419" i="99" a="1"/>
  <c r="C1812" i="100"/>
  <c r="C452" i="100"/>
  <c r="C1269" i="100"/>
  <c r="C904" i="100"/>
  <c r="B486" i="100"/>
  <c r="C1759" i="100"/>
  <c r="B577" i="100"/>
  <c r="C692" i="100"/>
  <c r="B147" i="100"/>
  <c r="O219" i="99" a="1"/>
  <c r="C537" i="100"/>
  <c r="B391" i="100"/>
  <c r="AD13" i="99" a="1"/>
  <c r="V62" i="99" a="1"/>
  <c r="B1004" i="100"/>
  <c r="C1265" i="100"/>
  <c r="C701" i="100"/>
  <c r="B521" i="100"/>
  <c r="C309" i="100"/>
  <c r="C1702" i="100"/>
  <c r="B1876" i="100"/>
  <c r="K398" i="99" a="1"/>
  <c r="B1783" i="100"/>
  <c r="B1899" i="100"/>
  <c r="B1109" i="100"/>
  <c r="B1693" i="100"/>
  <c r="B346" i="100"/>
  <c r="B138" i="100"/>
  <c r="L219" i="99" a="1"/>
  <c r="C927" i="100"/>
  <c r="C1734" i="100"/>
  <c r="C1846" i="100"/>
  <c r="B456" i="100"/>
  <c r="B1898" i="100"/>
  <c r="B493" i="100"/>
  <c r="B1559" i="100"/>
  <c r="C466" i="100"/>
  <c r="B423" i="100"/>
  <c r="B562" i="100"/>
  <c r="B219" i="100"/>
  <c r="C1862" i="100"/>
  <c r="B177" i="100"/>
  <c r="C670" i="100"/>
  <c r="B1200" i="100"/>
  <c r="B238" i="100"/>
  <c r="C1216" i="100"/>
  <c r="C1704" i="100"/>
  <c r="C615" i="100"/>
  <c r="C1695" i="100"/>
  <c r="B137" i="100"/>
  <c r="C695" i="100"/>
  <c r="C28" i="100"/>
  <c r="C1668" i="100"/>
  <c r="B362" i="100"/>
  <c r="B770" i="100"/>
  <c r="B537" i="100"/>
  <c r="B728" i="100"/>
  <c r="B333" i="100"/>
  <c r="B596" i="100"/>
  <c r="B1926" i="100"/>
  <c r="B492" i="100"/>
  <c r="C936" i="100"/>
  <c r="C768" i="100"/>
  <c r="B1690" i="100"/>
  <c r="C907" i="100"/>
  <c r="C1839" i="100"/>
  <c r="C1718" i="100"/>
  <c r="N35" i="99" a="1"/>
  <c r="B1260" i="100"/>
  <c r="B127" i="100"/>
  <c r="C573" i="100"/>
  <c r="B870" i="100"/>
  <c r="B428" i="100"/>
  <c r="B788" i="100"/>
  <c r="B378" i="100"/>
  <c r="B251" i="100"/>
  <c r="C447" i="100"/>
  <c r="C1083" i="100"/>
  <c r="C333" i="100"/>
  <c r="B801" i="100"/>
  <c r="C362" i="99" a="1"/>
  <c r="B1173" i="100"/>
  <c r="B805" i="100"/>
  <c r="C54" i="100"/>
  <c r="B958" i="100"/>
  <c r="C788" i="100"/>
  <c r="B511" i="100"/>
  <c r="B244" i="100"/>
  <c r="B359" i="100"/>
  <c r="C214" i="100"/>
  <c r="B622" i="100"/>
  <c r="C1970" i="100"/>
  <c r="B988" i="100"/>
  <c r="B427" i="100"/>
  <c r="C1934" i="100"/>
  <c r="C784" i="100"/>
  <c r="B1954" i="100"/>
  <c r="L341" i="99" a="1"/>
  <c r="C685" i="100"/>
  <c r="C1946" i="100"/>
  <c r="AQ221" i="99" a="1"/>
  <c r="C859" i="100"/>
  <c r="B73" i="100"/>
  <c r="B1129" i="100"/>
  <c r="C1834" i="100"/>
  <c r="B1806" i="100"/>
  <c r="C876" i="100"/>
  <c r="B1611" i="100"/>
  <c r="C1143" i="100"/>
  <c r="B610" i="100"/>
  <c r="B509" i="100"/>
  <c r="C820" i="100"/>
  <c r="C1085" i="100"/>
  <c r="B1059" i="100"/>
  <c r="C919" i="100"/>
  <c r="B810" i="100"/>
  <c r="C854" i="100"/>
  <c r="C1282" i="100"/>
  <c r="C1843" i="100"/>
  <c r="B1772" i="100"/>
  <c r="B178" i="100"/>
  <c r="C1850" i="100"/>
  <c r="C1611" i="100"/>
  <c r="D343" i="99" a="1"/>
  <c r="C1589" i="100"/>
  <c r="C1920" i="100"/>
  <c r="C1266" i="100"/>
  <c r="B523" i="100"/>
  <c r="W377" i="99" a="1"/>
  <c r="B182" i="100"/>
  <c r="C283" i="100"/>
  <c r="U383" i="99" a="1"/>
  <c r="C934" i="100"/>
  <c r="C879" i="100"/>
  <c r="B1556" i="100"/>
  <c r="C1555" i="100"/>
  <c r="B1787" i="100"/>
  <c r="B1172" i="100"/>
  <c r="C1882" i="100"/>
  <c r="E362" i="99" a="1"/>
  <c r="C1741" i="100"/>
  <c r="C991" i="100"/>
  <c r="AG13" i="99" a="1"/>
  <c r="V15" i="99" a="1"/>
  <c r="C1112" i="100"/>
  <c r="B112" i="100"/>
  <c r="Q114" i="99" a="1"/>
  <c r="C399" i="100"/>
  <c r="C122" i="100"/>
  <c r="B830" i="100"/>
  <c r="E356" i="99" a="1"/>
  <c r="B1167" i="100"/>
  <c r="B1192" i="100"/>
  <c r="B1028" i="100"/>
  <c r="C703" i="100"/>
  <c r="C36" i="100"/>
  <c r="C237" i="100"/>
  <c r="B93" i="100"/>
  <c r="B214" i="100"/>
  <c r="I271" i="99" a="1"/>
  <c r="AE271" i="99" a="1"/>
  <c r="B837" i="100"/>
  <c r="B148" i="100"/>
  <c r="C22" i="100"/>
  <c r="C499" i="100"/>
  <c r="B397" i="100"/>
  <c r="C1051" i="100"/>
  <c r="B508" i="100"/>
  <c r="B29" i="100"/>
  <c r="B1248" i="100"/>
  <c r="AA35" i="99" a="1"/>
  <c r="B1159" i="100"/>
  <c r="B910" i="100"/>
  <c r="C722" i="100"/>
  <c r="B1612" i="100"/>
  <c r="C623" i="100"/>
  <c r="G221" i="99" a="1"/>
  <c r="D192" i="99" a="1"/>
  <c r="B933" i="100"/>
  <c r="B1708" i="100"/>
  <c r="C1756" i="100"/>
  <c r="D379" i="99" a="1"/>
  <c r="C732" i="100"/>
  <c r="B826" i="100"/>
  <c r="C719" i="100"/>
  <c r="C1770" i="100"/>
  <c r="B560" i="100"/>
  <c r="B1224" i="100"/>
  <c r="B472" i="100"/>
  <c r="C1166" i="100"/>
  <c r="C669" i="100"/>
  <c r="B100" i="100"/>
  <c r="B970" i="100"/>
  <c r="B827" i="100"/>
  <c r="C813" i="100"/>
  <c r="C995" i="100"/>
  <c r="B659" i="100"/>
  <c r="C1889" i="100"/>
  <c r="AV219" i="99" a="1"/>
  <c r="B1793" i="100"/>
  <c r="B1244" i="100"/>
  <c r="G143" i="99" a="1"/>
  <c r="H60" i="99" a="1"/>
  <c r="B1217" i="100"/>
  <c r="B421" i="100"/>
  <c r="B211" i="100"/>
  <c r="C1007" i="100"/>
  <c r="C908" i="100"/>
  <c r="C803" i="100"/>
  <c r="B1140" i="100"/>
  <c r="C853" i="100"/>
  <c r="C196" i="100"/>
  <c r="C1065" i="100"/>
  <c r="B613" i="100"/>
  <c r="H356" i="99" a="1"/>
  <c r="N60" i="99" a="1"/>
  <c r="B866" i="100"/>
  <c r="C1172" i="100"/>
  <c r="Z360" i="99" a="1"/>
  <c r="C1025" i="100"/>
  <c r="B11" i="100"/>
  <c r="B554" i="100"/>
  <c r="C222" i="100"/>
  <c r="B840" i="100"/>
  <c r="C1788" i="100"/>
  <c r="C156" i="100"/>
  <c r="C943" i="100"/>
  <c r="C234" i="100"/>
  <c r="C381" i="99" a="1"/>
  <c r="B778" i="100"/>
  <c r="B375" i="100"/>
  <c r="C1949" i="100"/>
  <c r="C845" i="100"/>
  <c r="B336" i="100"/>
  <c r="L360" i="99" a="1"/>
  <c r="B145" i="100"/>
  <c r="C1838" i="100"/>
  <c r="B1056" i="100"/>
  <c r="C1008" i="100"/>
  <c r="J341" i="99" a="1"/>
  <c r="AA190" i="99" a="1"/>
  <c r="B888" i="100"/>
  <c r="C169" i="100"/>
  <c r="B195" i="100"/>
  <c r="B1205" i="100"/>
  <c r="B873" i="100"/>
  <c r="B769" i="100"/>
  <c r="C708" i="100"/>
  <c r="C1878" i="100"/>
  <c r="B1743" i="100"/>
  <c r="C852" i="100"/>
  <c r="C1591" i="100"/>
  <c r="B389" i="100"/>
  <c r="N9" i="99" a="1"/>
  <c r="C1952" i="100"/>
  <c r="C411" i="100"/>
  <c r="B330" i="100"/>
  <c r="C1272" i="100"/>
  <c r="C763" i="100"/>
  <c r="B1713" i="100"/>
  <c r="V223" i="99" a="1"/>
  <c r="B210" i="100"/>
  <c r="C655" i="100"/>
  <c r="C1735" i="100"/>
  <c r="C1962" i="100"/>
  <c r="I35" i="99" a="1"/>
  <c r="B299" i="100"/>
  <c r="B688" i="100"/>
  <c r="B1102" i="100"/>
  <c r="B1753" i="100"/>
  <c r="G341" i="99" a="1"/>
  <c r="B694" i="100"/>
  <c r="AP223" i="99" a="1"/>
  <c r="C514" i="100"/>
  <c r="B743" i="100"/>
  <c r="C1113" i="100"/>
  <c r="B1808" i="100"/>
  <c r="C78" i="100"/>
  <c r="C387" i="100"/>
  <c r="B474" i="100"/>
  <c r="AB13" i="99" a="1"/>
  <c r="C516" i="100"/>
  <c r="C1100" i="100"/>
  <c r="B645" i="100"/>
  <c r="C1175" i="100"/>
  <c r="C1904" i="100"/>
  <c r="Y192" i="99" a="1"/>
  <c r="B519" i="100"/>
  <c r="B702" i="100"/>
  <c r="B871" i="100"/>
  <c r="C1168" i="100"/>
  <c r="B229" i="100"/>
  <c r="B1857" i="100"/>
  <c r="O60" i="99" a="1"/>
  <c r="AB190" i="99" a="1"/>
  <c r="C1950" i="100"/>
  <c r="C218" i="100"/>
  <c r="C155" i="100"/>
  <c r="B1274" i="100"/>
  <c r="B543" i="100"/>
  <c r="B578" i="100"/>
  <c r="C70" i="100"/>
  <c r="B1210" i="100"/>
  <c r="C1736" i="100"/>
  <c r="B1588" i="100"/>
  <c r="C313" i="100"/>
  <c r="B1007" i="100"/>
  <c r="C1147" i="100"/>
  <c r="C1191" i="100"/>
  <c r="B1724" i="100"/>
  <c r="B1144" i="100"/>
  <c r="C143" i="100"/>
  <c r="C1707" i="100"/>
  <c r="C830" i="100"/>
  <c r="B173" i="100"/>
  <c r="C1027" i="100"/>
  <c r="B134" i="100"/>
  <c r="C754" i="100"/>
  <c r="B672" i="100"/>
  <c r="B1725" i="100"/>
  <c r="F246" i="99" a="1"/>
  <c r="B1739" i="100"/>
  <c r="C611" i="100"/>
  <c r="B94" i="100"/>
  <c r="C223" i="100"/>
  <c r="C1686" i="100"/>
  <c r="B775" i="100"/>
  <c r="C436" i="100"/>
  <c r="C546" i="100"/>
  <c r="B579" i="100"/>
  <c r="B1877" i="100"/>
  <c r="C367" i="100"/>
  <c r="C1221" i="100"/>
  <c r="B995" i="100"/>
  <c r="B1216" i="100"/>
  <c r="C1151" i="100"/>
  <c r="B252" i="100"/>
  <c r="C1079" i="100"/>
  <c r="C11" i="100"/>
  <c r="C781" i="100"/>
  <c r="C1685" i="100"/>
  <c r="V401" i="99" a="1"/>
  <c r="B671" i="100"/>
  <c r="C1690" i="100"/>
  <c r="B4" i="100"/>
  <c r="AG190" i="99" a="1"/>
  <c r="I377" i="99" a="1"/>
  <c r="C1871" i="100"/>
  <c r="C35" i="100"/>
  <c r="C1825" i="100"/>
  <c r="B1790" i="100"/>
  <c r="C1000" i="100"/>
  <c r="C1887" i="100"/>
  <c r="B525" i="100"/>
  <c r="B772" i="100"/>
  <c r="C1557" i="100"/>
  <c r="C1138" i="100"/>
  <c r="B1161" i="100"/>
  <c r="AX219" i="99" a="1"/>
  <c r="E381" i="99" a="1"/>
  <c r="F249" i="99" a="1"/>
  <c r="C1815" i="100"/>
  <c r="C1167" i="100"/>
  <c r="B1773" i="100"/>
  <c r="B438" i="100"/>
  <c r="C428" i="100"/>
  <c r="C125" i="100"/>
  <c r="B567" i="100"/>
  <c r="I219" i="99" a="1"/>
  <c r="C1826" i="100"/>
  <c r="B1871" i="100"/>
  <c r="B797" i="100"/>
  <c r="B339" i="100"/>
  <c r="C49" i="100"/>
  <c r="C744" i="100"/>
  <c r="BG223" i="99" a="1"/>
  <c r="C1033" i="100"/>
  <c r="C1164" i="100"/>
  <c r="C1700" i="100"/>
  <c r="C610" i="100"/>
  <c r="B431" i="100"/>
  <c r="B155" i="100"/>
  <c r="C170" i="100"/>
  <c r="Z165" i="99" a="1"/>
  <c r="AC13" i="99" a="1"/>
  <c r="C1222" i="100"/>
  <c r="B737" i="100"/>
  <c r="B206" i="100"/>
  <c r="C647" i="100"/>
  <c r="C557" i="100"/>
  <c r="B269" i="100"/>
  <c r="C492" i="100"/>
  <c r="CD219" i="99" a="1"/>
  <c r="L305" i="99" a="1"/>
  <c r="C80" i="100"/>
  <c r="B535" i="100"/>
  <c r="E380" i="99" a="1"/>
  <c r="B1733" i="100"/>
  <c r="C858" i="100"/>
  <c r="B843" i="100"/>
  <c r="B994" i="100"/>
  <c r="B1846" i="100"/>
  <c r="C1885" i="100"/>
  <c r="B1146" i="100"/>
  <c r="B542" i="100"/>
  <c r="C648" i="100"/>
  <c r="B1757" i="100"/>
  <c r="AH143" i="99" a="1"/>
  <c r="C326" i="100"/>
  <c r="C220" i="100"/>
  <c r="M219" i="99" a="1"/>
  <c r="B724" i="100"/>
  <c r="B1940" i="100"/>
  <c r="C790" i="100"/>
  <c r="B572" i="100"/>
  <c r="C195" i="100"/>
  <c r="AG114" i="99" a="1"/>
  <c r="C1183" i="100"/>
  <c r="B1150" i="100"/>
  <c r="B705" i="100"/>
  <c r="B685" i="100"/>
  <c r="B1896" i="100"/>
  <c r="C1063" i="100"/>
  <c r="B996" i="100"/>
  <c r="B794" i="100"/>
  <c r="C783" i="100"/>
  <c r="C14" i="100"/>
  <c r="C343" i="99" a="1"/>
  <c r="B1957" i="100"/>
  <c r="B1616" i="100"/>
  <c r="B298" i="100"/>
  <c r="C339" i="100"/>
  <c r="C337" i="99" a="1"/>
  <c r="Q165" i="99" a="1"/>
  <c r="B1709" i="100"/>
  <c r="C1932" i="100"/>
  <c r="B247" i="100"/>
  <c r="B217" i="100"/>
  <c r="B440" i="100"/>
  <c r="C1784" i="100"/>
  <c r="C1278" i="100"/>
  <c r="V116" i="99" a="1"/>
  <c r="B480" i="100"/>
  <c r="C736" i="100"/>
  <c r="C380" i="100"/>
  <c r="C1740" i="100"/>
  <c r="B92" i="100"/>
  <c r="C261" i="100"/>
  <c r="C1922" i="100"/>
  <c r="B1043" i="100"/>
  <c r="C126" i="100"/>
  <c r="C866" i="100"/>
  <c r="Z114" i="99" a="1"/>
  <c r="C1004" i="100"/>
  <c r="C1231" i="100"/>
  <c r="B1091" i="100"/>
  <c r="B1721" i="100"/>
  <c r="B185" i="100"/>
  <c r="C45" i="100"/>
  <c r="B980" i="100"/>
  <c r="E273" i="99" a="1"/>
  <c r="C487" i="100"/>
  <c r="BL219" i="99" a="1"/>
  <c r="B1939" i="100"/>
  <c r="B1788" i="100"/>
  <c r="C1755" i="100"/>
  <c r="AB360" i="99" a="1"/>
  <c r="B838" i="100"/>
  <c r="B28" i="100"/>
  <c r="C1856" i="100"/>
  <c r="C937" i="100"/>
  <c r="C401" i="100"/>
  <c r="C1122" i="100"/>
  <c r="B1606" i="100"/>
  <c r="B677" i="100"/>
  <c r="B828" i="100"/>
  <c r="C204" i="100"/>
  <c r="B76" i="100"/>
  <c r="C1276" i="100"/>
  <c r="C779" i="100"/>
  <c r="B1988" i="100"/>
  <c r="C491" i="100"/>
  <c r="B682" i="100"/>
  <c r="AD190" i="99" a="1"/>
  <c r="B1766" i="100"/>
  <c r="W398" i="99" a="1"/>
  <c r="C1896" i="100"/>
  <c r="C944" i="100"/>
  <c r="B1760" i="100"/>
  <c r="B956" i="100"/>
  <c r="C148" i="100"/>
  <c r="B1667" i="100"/>
  <c r="C458" i="100"/>
  <c r="AI35" i="99" a="1"/>
  <c r="C638" i="100"/>
  <c r="C847" i="100"/>
  <c r="U380" i="99" a="1"/>
  <c r="B531" i="100"/>
  <c r="Q190" i="99" a="1"/>
  <c r="B834" i="100"/>
  <c r="B117" i="100"/>
  <c r="C1935" i="100"/>
  <c r="D382" i="99" a="1"/>
  <c r="B1086" i="100"/>
  <c r="B1800" i="100"/>
  <c r="C1926" i="100"/>
  <c r="B1804" i="100"/>
  <c r="C963" i="100"/>
  <c r="C1137" i="100"/>
  <c r="C1794" i="100"/>
  <c r="B863" i="100"/>
  <c r="C1665" i="100"/>
  <c r="B783" i="100"/>
  <c r="B1207" i="100"/>
  <c r="C248" i="100"/>
  <c r="C252" i="100"/>
  <c r="C182" i="100"/>
  <c r="B156" i="100"/>
  <c r="C123" i="100"/>
  <c r="E324" i="99" a="1"/>
  <c r="C1029" i="100"/>
  <c r="B1916" i="100"/>
  <c r="C1900" i="100"/>
  <c r="AH114" i="99" a="1"/>
  <c r="C795" i="100"/>
  <c r="C284" i="100"/>
  <c r="B516" i="100"/>
  <c r="I360" i="99" a="1"/>
  <c r="C295" i="100"/>
  <c r="C116" i="100"/>
  <c r="C562" i="100"/>
  <c r="B18" i="100"/>
  <c r="AD35" i="99" a="1"/>
  <c r="G337" i="99" a="1"/>
  <c r="D403" i="99" a="1"/>
  <c r="B1702" i="100"/>
  <c r="B576" i="100"/>
  <c r="B1068" i="100"/>
  <c r="D223" i="99" a="1"/>
  <c r="C718" i="100"/>
  <c r="C998" i="100"/>
  <c r="C256" i="100"/>
  <c r="B1250" i="100"/>
  <c r="B1087" i="100"/>
  <c r="C686" i="100"/>
  <c r="B774" i="100"/>
  <c r="C955" i="100"/>
  <c r="C120" i="100"/>
  <c r="B614" i="100"/>
  <c r="C528" i="100"/>
  <c r="C1223" i="100"/>
  <c r="C883" i="100"/>
  <c r="C1893" i="100"/>
  <c r="K143" i="99" a="1"/>
  <c r="B1764" i="100"/>
  <c r="B199" i="100"/>
  <c r="C581" i="100"/>
  <c r="B1932" i="100"/>
  <c r="C984" i="100"/>
  <c r="C98" i="100"/>
  <c r="I13" i="99" a="1"/>
  <c r="B1094" i="100"/>
  <c r="B1032" i="100"/>
  <c r="B1930" i="100"/>
  <c r="B1116" i="100"/>
  <c r="B976" i="100"/>
  <c r="C745" i="100"/>
  <c r="B1201" i="100"/>
  <c r="C25" i="100"/>
  <c r="C716" i="100"/>
  <c r="B36" i="100"/>
  <c r="C973" i="100"/>
  <c r="C1124" i="100"/>
  <c r="H114" i="99" a="1"/>
  <c r="B1589" i="100"/>
  <c r="C729" i="100"/>
  <c r="J62" i="99" a="1"/>
  <c r="C580" i="100"/>
  <c r="C32" i="100"/>
  <c r="C1235" i="100"/>
  <c r="B1230" i="100"/>
  <c r="C1802" i="100"/>
  <c r="C697" i="100"/>
  <c r="B451" i="100"/>
  <c r="C1045" i="100"/>
  <c r="B503" i="100"/>
  <c r="C1209" i="100"/>
  <c r="C451" i="100"/>
  <c r="C1832" i="100"/>
  <c r="B709" i="100"/>
  <c r="B642" i="100"/>
  <c r="P190" i="99" a="1"/>
  <c r="B1026" i="100"/>
  <c r="C408" i="100"/>
  <c r="B1936" i="100"/>
  <c r="C1711" i="100"/>
  <c r="C1236" i="100"/>
  <c r="C1097" i="100"/>
  <c r="B1854" i="100"/>
  <c r="C1965" i="100"/>
  <c r="C1270" i="100"/>
  <c r="B675" i="100"/>
  <c r="B384" i="100"/>
  <c r="B307" i="100"/>
  <c r="B1835" i="100"/>
  <c r="C101" i="100"/>
  <c r="C1275" i="100"/>
  <c r="C357" i="100"/>
  <c r="B1266" i="100"/>
  <c r="C1801" i="100"/>
  <c r="B1012" i="100"/>
  <c r="AD89" i="99" a="1"/>
  <c r="B720" i="100"/>
  <c r="H322" i="99" a="1"/>
  <c r="C450" i="100"/>
  <c r="C1267" i="100"/>
  <c r="C85" i="100"/>
  <c r="C966" i="100"/>
  <c r="C1743" i="100"/>
  <c r="B744" i="100"/>
  <c r="B293" i="100"/>
  <c r="B1184" i="100"/>
  <c r="B943" i="100"/>
  <c r="B1563" i="100"/>
  <c r="C1918" i="100"/>
  <c r="C1978" i="100"/>
  <c r="C782" i="100"/>
  <c r="B1897" i="100"/>
  <c r="B953" i="100"/>
  <c r="B948" i="100"/>
  <c r="C1930" i="100"/>
  <c r="C981" i="100"/>
  <c r="C1698" i="100"/>
  <c r="C1897" i="100"/>
  <c r="B109" i="100"/>
  <c r="B595" i="100"/>
  <c r="C1280" i="100"/>
  <c r="B394" i="100"/>
  <c r="B1198" i="100"/>
  <c r="B268" i="100"/>
  <c r="C804" i="100"/>
  <c r="B846" i="100"/>
  <c r="B150" i="100"/>
  <c r="B1006" i="100"/>
  <c r="B1564" i="100"/>
  <c r="C394" i="100"/>
  <c r="B631" i="100"/>
  <c r="C52" i="100"/>
  <c r="C863" i="100"/>
  <c r="C1264" i="100"/>
  <c r="B663" i="100"/>
  <c r="B1089" i="100"/>
  <c r="C794" i="100"/>
  <c r="BR219" i="99" a="1"/>
  <c r="C1699" i="100"/>
  <c r="B538" i="100"/>
  <c r="B990" i="100"/>
  <c r="C1600" i="100"/>
  <c r="B868" i="100"/>
  <c r="C969" i="100"/>
  <c r="C202" i="100"/>
  <c r="AC398" i="99" a="1"/>
  <c r="C362" i="100"/>
  <c r="BF221" i="99" a="1"/>
  <c r="B809" i="100"/>
  <c r="B558" i="100"/>
  <c r="C558" i="100"/>
  <c r="C607" i="100"/>
  <c r="W382" i="99" a="1"/>
  <c r="B471" i="100"/>
  <c r="B989" i="100"/>
  <c r="B489" i="100"/>
  <c r="B784" i="100"/>
  <c r="C533" i="100"/>
  <c r="C1248" i="100"/>
  <c r="B874" i="100"/>
  <c r="C1067" i="100"/>
  <c r="F39" i="99" a="1"/>
  <c r="C1957" i="100"/>
  <c r="B795" i="100"/>
  <c r="B766" i="100"/>
  <c r="B1692" i="100"/>
  <c r="C549" i="100"/>
  <c r="C356" i="100"/>
  <c r="B632" i="100"/>
  <c r="D169" i="99" a="1"/>
  <c r="C696" i="100"/>
  <c r="B1711" i="100"/>
  <c r="C918" i="100"/>
  <c r="M190" i="99" a="1"/>
  <c r="B1164" i="100"/>
  <c r="B1597" i="100"/>
  <c r="C1261" i="100"/>
  <c r="C1273" i="100"/>
  <c r="B484" i="100"/>
  <c r="C1751" i="100"/>
  <c r="C388" i="100"/>
  <c r="B911" i="100"/>
  <c r="C1830" i="100"/>
  <c r="C1613" i="100"/>
  <c r="B408" i="100"/>
  <c r="C1001" i="100"/>
  <c r="B1883" i="100"/>
  <c r="C940" i="100"/>
  <c r="C255" i="100"/>
  <c r="C1009" i="100"/>
  <c r="B91" i="100"/>
  <c r="C1647" i="100"/>
  <c r="C1212" i="100"/>
  <c r="B968" i="100"/>
  <c r="B833" i="100"/>
  <c r="W273" i="99" a="1"/>
  <c r="B643" i="100"/>
  <c r="B1736" i="100"/>
  <c r="AG35" i="99" a="1"/>
  <c r="B1048" i="100"/>
  <c r="B1054" i="100"/>
  <c r="C96" i="100"/>
  <c r="C424" i="100"/>
  <c r="B1128" i="100"/>
  <c r="B1165" i="100"/>
  <c r="X62" i="99" a="1"/>
  <c r="C1928" i="100"/>
  <c r="B1016" i="100"/>
  <c r="B1912" i="100"/>
  <c r="AZ219" i="99" a="1"/>
  <c r="B758" i="100"/>
  <c r="B130" i="100"/>
  <c r="B798" i="100"/>
  <c r="B887" i="100"/>
  <c r="C1964" i="100"/>
  <c r="AA13" i="99" a="1"/>
  <c r="AC143" i="99" a="1"/>
  <c r="C402" i="100"/>
  <c r="C643" i="100"/>
  <c r="C1985" i="100"/>
  <c r="B1925" i="100"/>
  <c r="C1608" i="100"/>
  <c r="C641" i="100"/>
  <c r="C735" i="100"/>
  <c r="C1214" i="100"/>
  <c r="W223" i="99" a="1"/>
  <c r="BX223" i="99" a="1"/>
  <c r="C1728" i="100"/>
  <c r="C171" i="100"/>
  <c r="B239" i="100"/>
  <c r="B291" i="100"/>
  <c r="C377" i="100"/>
  <c r="AC60" i="99" a="1"/>
  <c r="B469" i="100"/>
  <c r="C1021" i="100"/>
  <c r="B1975" i="100"/>
  <c r="C1101" i="100"/>
  <c r="C269" i="100"/>
  <c r="B343" i="100"/>
  <c r="B1610" i="100"/>
  <c r="B957" i="100"/>
  <c r="Y221" i="99" a="1"/>
  <c r="G114" i="99" a="1"/>
  <c r="B548" i="100"/>
  <c r="C731" i="100"/>
  <c r="AC271" i="99" a="1"/>
  <c r="D15" i="99" a="1"/>
  <c r="C400" i="100"/>
  <c r="C382" i="100"/>
  <c r="B804" i="100"/>
  <c r="B56" i="100"/>
  <c r="B1781" i="100"/>
  <c r="C1601" i="100"/>
  <c r="B930" i="100"/>
  <c r="C730" i="100"/>
  <c r="B98" i="100"/>
  <c r="C1087" i="100"/>
  <c r="C1680" i="100"/>
  <c r="D249" i="99" a="1"/>
  <c r="B623" i="100"/>
  <c r="M377" i="99" a="1"/>
  <c r="C1161" i="100"/>
  <c r="B1697" i="100"/>
  <c r="B635" i="100"/>
  <c r="N219" i="99" a="1"/>
  <c r="BE224" i="99" a="1"/>
  <c r="B381" i="100"/>
  <c r="B1153" i="100"/>
  <c r="B1823" i="100"/>
  <c r="C1015" i="100"/>
  <c r="C368" i="100"/>
  <c r="H341" i="99" a="1"/>
  <c r="C370" i="100"/>
  <c r="C684" i="100"/>
  <c r="C7" i="100"/>
  <c r="V379" i="99" a="1"/>
  <c r="C578" i="100"/>
  <c r="B188" i="100"/>
  <c r="C509" i="100"/>
  <c r="C379" i="100"/>
  <c r="C540" i="100"/>
  <c r="B844" i="100"/>
  <c r="C1710" i="100"/>
  <c r="AD143" i="99" a="1"/>
  <c r="C1753" i="100"/>
  <c r="B1799" i="100"/>
  <c r="BE223" i="99" a="1"/>
  <c r="C1689" i="100"/>
  <c r="C310" i="100"/>
  <c r="B599" i="100"/>
  <c r="C71" i="100"/>
  <c r="B388" i="100"/>
  <c r="C1742" i="100"/>
  <c r="G190" i="99" a="1"/>
  <c r="B692" i="100"/>
  <c r="B693" i="100"/>
  <c r="C1931" i="100"/>
  <c r="B1027" i="100"/>
  <c r="B1262" i="100"/>
  <c r="C975" i="100"/>
  <c r="C683" i="100"/>
  <c r="B544" i="100"/>
  <c r="C1722" i="100"/>
  <c r="B1565" i="100"/>
  <c r="C976" i="100"/>
  <c r="C1943" i="100"/>
  <c r="B791" i="100"/>
  <c r="C152" i="100"/>
  <c r="B235" i="100"/>
  <c r="C1857" i="100"/>
  <c r="C1757" i="100"/>
  <c r="C508" i="100"/>
  <c r="C1720" i="100"/>
  <c r="C1031" i="100"/>
  <c r="B1881" i="100"/>
  <c r="B1050" i="100"/>
  <c r="B893" i="100"/>
  <c r="B139" i="100"/>
  <c r="C192" i="100"/>
  <c r="B606" i="100"/>
  <c r="B1756" i="100"/>
  <c r="C545" i="100"/>
  <c r="B701" i="100"/>
  <c r="J219" i="99" a="1"/>
  <c r="B368" i="100"/>
  <c r="W192" i="99" a="1"/>
  <c r="C1793" i="100"/>
  <c r="B58" i="100"/>
  <c r="C454" i="100"/>
  <c r="C48" i="100"/>
  <c r="B132" i="100"/>
  <c r="B1701" i="100"/>
  <c r="B1023" i="100"/>
  <c r="C1696" i="100"/>
  <c r="C1670" i="100"/>
  <c r="B921" i="100"/>
  <c r="H337" i="99" a="1"/>
  <c r="B274" i="100"/>
  <c r="B717" i="100"/>
  <c r="C712" i="100"/>
  <c r="B1555" i="100"/>
  <c r="B376" i="100"/>
  <c r="C121" i="100"/>
  <c r="C1786" i="100"/>
  <c r="AA377" i="99" a="1"/>
  <c r="C1213" i="100"/>
  <c r="C672" i="100"/>
  <c r="B15" i="100"/>
  <c r="B168" i="100"/>
  <c r="B1225" i="100"/>
  <c r="C241" i="100"/>
  <c r="P13" i="99" a="1"/>
  <c r="E343" i="99" a="1"/>
  <c r="G116" i="99" a="1"/>
  <c r="B923" i="100"/>
  <c r="B1795" i="100"/>
  <c r="C547" i="100"/>
  <c r="C764" i="100"/>
  <c r="B417" i="100"/>
  <c r="B818" i="100"/>
  <c r="C606" i="100"/>
  <c r="B369" i="100"/>
  <c r="C604" i="100"/>
  <c r="B1147" i="100"/>
  <c r="D167" i="99" a="1"/>
  <c r="C982" i="100"/>
  <c r="C376" i="100"/>
  <c r="Z219" i="99" a="1"/>
  <c r="B52" i="100"/>
  <c r="C886" i="100"/>
  <c r="U379" i="99" a="1"/>
  <c r="C1919" i="100"/>
  <c r="C6" i="100"/>
  <c r="B149" i="100"/>
  <c r="C840" i="100"/>
  <c r="C902" i="100"/>
  <c r="C942" i="100"/>
  <c r="B181" i="100"/>
  <c r="L377" i="99" a="1"/>
  <c r="B858" i="100"/>
  <c r="Q35" i="99" a="1"/>
  <c r="C636" i="100"/>
  <c r="B962" i="100"/>
  <c r="C825" i="100"/>
  <c r="B1067" i="100"/>
  <c r="C478" i="100"/>
  <c r="I419" i="99" a="1"/>
  <c r="B1105" i="100"/>
  <c r="B1065" i="100"/>
  <c r="B153" i="100"/>
  <c r="C224" i="100"/>
  <c r="K271" i="99" a="1"/>
  <c r="B1061" i="100"/>
  <c r="B101" i="100"/>
  <c r="B1643" i="100"/>
  <c r="C1973" i="100"/>
  <c r="B945" i="100"/>
  <c r="B585" i="100"/>
  <c r="M305" i="99" a="1"/>
  <c r="B904" i="100"/>
  <c r="B1686" i="100"/>
  <c r="B1045" i="100"/>
  <c r="B1780" i="100"/>
  <c r="B1132" i="100"/>
  <c r="C20" i="100"/>
  <c r="C806" i="100"/>
  <c r="C1114" i="100"/>
  <c r="C1060" i="100"/>
  <c r="B1160" i="100"/>
  <c r="B1106" i="100"/>
  <c r="C138" i="100"/>
  <c r="B1211" i="100"/>
  <c r="B977" i="100"/>
  <c r="C1752" i="100"/>
  <c r="B357" i="100"/>
  <c r="C1245" i="100"/>
  <c r="B1251" i="100"/>
  <c r="C1090" i="100"/>
  <c r="B915" i="100"/>
  <c r="C61" i="100"/>
  <c r="B1583" i="100"/>
  <c r="C441" i="100"/>
  <c r="C1047" i="100"/>
  <c r="C785" i="100"/>
  <c r="B78" i="100"/>
  <c r="B351" i="100"/>
  <c r="C1972" i="100"/>
  <c r="C1808" i="100"/>
  <c r="AC114" i="99" a="1"/>
  <c r="B738" i="100"/>
  <c r="C538" i="100"/>
  <c r="B714" i="100"/>
  <c r="B363" i="100"/>
  <c r="C1016" i="100"/>
  <c r="B57" i="100"/>
  <c r="C372" i="100"/>
  <c r="B1983" i="100"/>
  <c r="B1215" i="100"/>
  <c r="C775" i="100"/>
  <c r="B780" i="100"/>
  <c r="B405" i="100"/>
  <c r="I322" i="99" a="1"/>
  <c r="B1139" i="100"/>
  <c r="C1983" i="100"/>
  <c r="B341" i="100"/>
  <c r="C1186" i="100"/>
  <c r="C990" i="100"/>
  <c r="C567" i="100"/>
  <c r="C5" i="100"/>
  <c r="B1826" i="100"/>
  <c r="B432" i="100"/>
  <c r="C347" i="100"/>
  <c r="B1275" i="100"/>
  <c r="C1938" i="100"/>
  <c r="H271" i="99" a="1"/>
  <c r="C63" i="100"/>
  <c r="C453" i="100"/>
  <c r="AE60" i="99" a="1"/>
  <c r="J398" i="99" a="1"/>
  <c r="B37" i="100"/>
  <c r="C1082" i="100"/>
  <c r="C899" i="100"/>
  <c r="B569" i="100"/>
  <c r="C568" i="100"/>
  <c r="B896" i="100"/>
  <c r="C839" i="100"/>
  <c r="L165" i="99" a="1"/>
  <c r="C914" i="100"/>
  <c r="B961" i="100"/>
  <c r="B878" i="100"/>
  <c r="C952" i="100"/>
  <c r="B951" i="100"/>
  <c r="AE114" i="99" a="1"/>
  <c r="X39" i="99" a="1"/>
  <c r="C1023" i="100"/>
  <c r="AC221" i="99" a="1"/>
  <c r="C8" i="100"/>
  <c r="C1002" i="100"/>
  <c r="C245" i="100"/>
  <c r="B302" i="100"/>
  <c r="B477" i="100"/>
  <c r="B1057" i="100"/>
  <c r="AH35" i="99" a="1"/>
  <c r="C707" i="100"/>
  <c r="K377" i="99" a="1"/>
  <c r="C733" i="100"/>
  <c r="C346" i="100"/>
  <c r="B1018" i="100"/>
  <c r="C64" i="100"/>
  <c r="C183" i="100"/>
  <c r="C1246" i="100"/>
  <c r="B974" i="100"/>
  <c r="C599" i="100"/>
  <c r="B450" i="100"/>
  <c r="C27" i="100"/>
  <c r="E221" i="99" a="1"/>
  <c r="C530" i="100"/>
  <c r="B1970" i="100"/>
  <c r="B905" i="100"/>
  <c r="B136" i="100"/>
  <c r="C437" i="100"/>
  <c r="B305" i="100"/>
  <c r="CC221" i="99" a="1"/>
  <c r="B242" i="100"/>
  <c r="C1206" i="100"/>
  <c r="V39" i="99" a="1"/>
  <c r="B1893" i="100"/>
  <c r="C751" i="100"/>
  <c r="U91" i="99" a="1"/>
  <c r="B1847" i="100"/>
  <c r="B258" i="100"/>
  <c r="C515" i="100"/>
  <c r="Y271" i="99" a="1"/>
  <c r="C503" i="100"/>
  <c r="C656" i="100"/>
  <c r="B193" i="100"/>
  <c r="B1586" i="100"/>
  <c r="C1163" i="100"/>
  <c r="C1277" i="100"/>
  <c r="B6" i="100"/>
  <c r="B1820" i="100"/>
  <c r="B929" i="100"/>
  <c r="C240" i="100"/>
  <c r="B927" i="100"/>
  <c r="B223" i="100"/>
  <c r="Y167" i="99" a="1"/>
  <c r="B1569" i="100"/>
  <c r="C373" i="100"/>
  <c r="B779" i="100"/>
  <c r="B1093" i="100"/>
  <c r="O13" i="99" a="1"/>
  <c r="BH219" i="99" a="1"/>
  <c r="AD60" i="99" a="1"/>
  <c r="C50" i="100"/>
  <c r="B1010" i="100"/>
  <c r="B602" i="100"/>
  <c r="C837" i="100"/>
  <c r="Z398" i="99" a="1"/>
  <c r="C997" i="100"/>
  <c r="B919" i="100"/>
  <c r="C1953" i="100"/>
  <c r="C1176" i="100"/>
  <c r="AI219" i="99" a="1"/>
  <c r="B454" i="100"/>
  <c r="C1185" i="100"/>
  <c r="C958" i="100"/>
  <c r="C1228" i="100"/>
  <c r="C896" i="100"/>
  <c r="B1268" i="100"/>
  <c r="C114" i="100"/>
  <c r="B1562" i="100"/>
  <c r="C1162" i="100"/>
  <c r="B1601" i="100"/>
  <c r="B950" i="100"/>
  <c r="C1260" i="100"/>
  <c r="B1673" i="100"/>
  <c r="C972" i="100"/>
  <c r="C1908" i="100"/>
  <c r="AO221" i="99" a="1"/>
  <c r="B1098" i="100"/>
  <c r="C1116" i="100"/>
  <c r="C351" i="100"/>
  <c r="B314" i="100"/>
  <c r="B1679" i="100"/>
  <c r="C633" i="100"/>
  <c r="C725" i="100"/>
  <c r="B352" i="100"/>
  <c r="C1263" i="100"/>
  <c r="B1875" i="100"/>
  <c r="AC165" i="99" a="1"/>
  <c r="B1567" i="100"/>
  <c r="C923" i="100"/>
  <c r="C519" i="100"/>
  <c r="D93" i="99" a="1"/>
  <c r="C457" i="100"/>
  <c r="C1225" i="100"/>
  <c r="B1887" i="100"/>
  <c r="B1047" i="100"/>
  <c r="B1566" i="100"/>
  <c r="B1021" i="100"/>
  <c r="C1785" i="100"/>
  <c r="C1981" i="100"/>
  <c r="B1941" i="100"/>
  <c r="B1750" i="100"/>
  <c r="B216" i="100"/>
  <c r="B1000" i="100"/>
  <c r="C819" i="100"/>
  <c r="B1910" i="100"/>
  <c r="B115" i="100"/>
  <c r="B1029" i="100"/>
  <c r="H143" i="99" a="1"/>
  <c r="B395" i="100"/>
  <c r="C84" i="100"/>
  <c r="B455" i="100"/>
  <c r="C617" i="100"/>
  <c r="N114" i="99" a="1"/>
  <c r="C694" i="100"/>
  <c r="BI221" i="99" a="1"/>
  <c r="B266" i="100"/>
  <c r="B114" i="100"/>
  <c r="E169" i="99" a="1"/>
  <c r="C110" i="100"/>
  <c r="B476" i="100"/>
  <c r="C724" i="100"/>
  <c r="C1767" i="100"/>
  <c r="B494" i="100"/>
  <c r="C105" i="100"/>
  <c r="C380" i="99" a="1"/>
  <c r="E192" i="99" a="1"/>
  <c r="B1774" i="100"/>
  <c r="C1046" i="100"/>
  <c r="B265" i="100"/>
  <c r="B65" i="100"/>
  <c r="B751" i="100"/>
  <c r="C1076" i="100"/>
  <c r="B1593" i="100"/>
  <c r="C1898" i="100"/>
  <c r="C609" i="100"/>
  <c r="B799" i="100"/>
  <c r="C945" i="100"/>
  <c r="B487" i="100"/>
  <c r="B773" i="100"/>
  <c r="B684" i="100"/>
  <c r="C216" i="100"/>
  <c r="C646" i="100"/>
  <c r="C1053" i="100"/>
  <c r="C335" i="100"/>
  <c r="B1974" i="100"/>
  <c r="C131" i="100"/>
  <c r="B760" i="100"/>
  <c r="B120" i="100"/>
  <c r="B1115" i="100"/>
  <c r="B808" i="100"/>
  <c r="C598" i="100"/>
  <c r="B624" i="100"/>
  <c r="AT219" i="99" a="1"/>
  <c r="AI190" i="99" a="1"/>
  <c r="B836" i="100"/>
  <c r="B51" i="100"/>
  <c r="W39" i="99" a="1"/>
  <c r="C244" i="100"/>
  <c r="AA143" i="99" a="1"/>
  <c r="C661" i="100"/>
  <c r="C881" i="100"/>
  <c r="B327" i="100"/>
  <c r="B561" i="100"/>
  <c r="C704" i="100"/>
  <c r="B356" i="100"/>
  <c r="B991" i="100"/>
  <c r="B1949" i="100"/>
  <c r="C495" i="100"/>
  <c r="C574" i="100"/>
  <c r="C100" i="100"/>
  <c r="C132" i="100"/>
  <c r="C1951" i="100"/>
  <c r="B467" i="100"/>
  <c r="B687" i="100"/>
  <c r="C431" i="100"/>
  <c r="B407" i="100"/>
  <c r="B1839" i="100"/>
  <c r="C1066" i="100"/>
  <c r="B1182" i="100"/>
  <c r="C1117" i="100"/>
  <c r="B653" i="100"/>
  <c r="B647" i="100"/>
  <c r="B1969" i="100"/>
  <c r="C239" i="100"/>
  <c r="B586" i="100"/>
  <c r="B590" i="100"/>
  <c r="B507" i="100"/>
  <c r="B1843" i="100"/>
  <c r="C949" i="100"/>
  <c r="B1785" i="100"/>
  <c r="B686" i="100"/>
  <c r="H305" i="99" a="1"/>
  <c r="C809" i="100"/>
  <c r="C489" i="100"/>
  <c r="C1666" i="100"/>
  <c r="C4" i="100"/>
  <c r="C1782" i="100"/>
  <c r="C688" i="100"/>
  <c r="B533" i="100"/>
  <c r="C1774" i="100"/>
  <c r="B1557" i="100"/>
  <c r="Q89" i="99" a="1"/>
  <c r="B1967" i="100"/>
  <c r="C1835" i="100"/>
  <c r="B552" i="100"/>
  <c r="C1895" i="100"/>
  <c r="B1901" i="100"/>
  <c r="B946" i="100"/>
  <c r="C749" i="100"/>
  <c r="B644" i="100"/>
  <c r="J143" i="99" a="1"/>
  <c r="B754" i="100"/>
  <c r="C1828" i="100"/>
  <c r="B1687" i="100"/>
  <c r="C465" i="100"/>
  <c r="C446" i="100"/>
  <c r="C260" i="100"/>
  <c r="B908" i="100"/>
  <c r="C849" i="100"/>
  <c r="B1821" i="100"/>
  <c r="BW223" i="99" a="1"/>
  <c r="C1105" i="100"/>
  <c r="B1888" i="100"/>
  <c r="B1229" i="100"/>
  <c r="B1752" i="100"/>
  <c r="W91" i="99" a="1"/>
  <c r="B396" i="100"/>
  <c r="B318" i="100"/>
  <c r="W62" i="99" a="1"/>
  <c r="C1254" i="100"/>
  <c r="B297" i="100"/>
  <c r="C1675" i="100"/>
  <c r="C1171" i="100"/>
  <c r="C1006" i="100"/>
  <c r="B1615" i="100"/>
  <c r="C529" i="100"/>
  <c r="C1181" i="100"/>
  <c r="C117" i="100"/>
  <c r="B655" i="100"/>
  <c r="B1179" i="100"/>
  <c r="B360" i="100"/>
  <c r="B324" i="100"/>
  <c r="C786" i="100"/>
  <c r="C18" i="100"/>
  <c r="C306" i="100"/>
  <c r="B917" i="100"/>
  <c r="B1927" i="100"/>
  <c r="B1917" i="100"/>
  <c r="B820" i="100"/>
  <c r="B437" i="100"/>
  <c r="C1156" i="100"/>
  <c r="B1964" i="100"/>
  <c r="O271" i="99" a="1"/>
  <c r="C290" i="99" a="1"/>
  <c r="C870" i="100"/>
  <c r="C961" i="100"/>
  <c r="B249" i="100"/>
  <c r="B752" i="100"/>
  <c r="C846" i="100"/>
  <c r="C145" i="100"/>
  <c r="B619" i="100"/>
  <c r="B1955" i="100"/>
  <c r="C1238" i="100"/>
  <c r="B501" i="100"/>
  <c r="C1184" i="100"/>
  <c r="W224" i="99" a="1"/>
  <c r="AG143" i="99" a="1"/>
  <c r="B1044" i="100"/>
  <c r="C1078" i="100"/>
  <c r="C476" i="100"/>
  <c r="L60" i="99" a="1"/>
  <c r="C151" i="100"/>
  <c r="C512" i="100"/>
  <c r="E62" i="99" a="1"/>
  <c r="B32" i="100"/>
  <c r="C1855" i="100"/>
  <c r="C471" i="100"/>
  <c r="C58" i="100"/>
  <c r="C959" i="100"/>
  <c r="C1672" i="100"/>
  <c r="B589" i="100"/>
  <c r="B880" i="100"/>
  <c r="AA360" i="99" a="1"/>
  <c r="AB377" i="99" a="1"/>
  <c r="C403" i="100"/>
  <c r="C201" i="100"/>
  <c r="B1269" i="100"/>
  <c r="C1199" i="100"/>
  <c r="C895" i="100"/>
  <c r="C792" i="100"/>
  <c r="C1852" i="100"/>
  <c r="W221" i="99" a="1"/>
  <c r="B1892" i="100"/>
  <c r="C1607" i="100"/>
  <c r="B74" i="100"/>
  <c r="F62" i="99" a="1"/>
  <c r="C207" i="100"/>
  <c r="B97" i="100"/>
  <c r="B194" i="100"/>
  <c r="F93" i="99" a="1"/>
  <c r="B196" i="100"/>
  <c r="C888" i="100"/>
  <c r="B750" i="100"/>
  <c r="K60" i="99" a="1"/>
  <c r="G356" i="99" a="1"/>
  <c r="B1911" i="100"/>
  <c r="C92" i="100"/>
  <c r="C371" i="100"/>
  <c r="C289" i="100"/>
  <c r="C1232" i="100"/>
  <c r="B571" i="100"/>
  <c r="AA219" i="99" a="1"/>
  <c r="B225" i="100"/>
  <c r="BV221" i="99" a="1"/>
  <c r="C929" i="100"/>
  <c r="B1805" i="100"/>
  <c r="B1740" i="100"/>
  <c r="C808" i="100"/>
  <c r="B1587" i="100"/>
  <c r="B536" i="100"/>
  <c r="B1816" i="100"/>
  <c r="B1904" i="100"/>
  <c r="B47" i="100"/>
  <c r="B658" i="100"/>
  <c r="E398" i="99" a="1"/>
  <c r="G288" i="99" a="1"/>
  <c r="B1712" i="100"/>
  <c r="C1121" i="100"/>
  <c r="B1561" i="100"/>
  <c r="C793" i="100"/>
  <c r="B944" i="100"/>
  <c r="B557" i="100"/>
  <c r="B80" i="100"/>
  <c r="B732" i="100"/>
  <c r="C1590" i="100"/>
  <c r="C1195" i="100"/>
  <c r="Y60" i="99" a="1"/>
  <c r="C1131" i="100"/>
  <c r="AG89" i="99" a="1"/>
  <c r="C836" i="100"/>
  <c r="B1771" i="100"/>
  <c r="C571" i="100"/>
  <c r="B1596" i="100"/>
  <c r="B311" i="100"/>
  <c r="B559" i="100"/>
  <c r="C253" i="100"/>
  <c r="B1789" i="100"/>
  <c r="C369" i="100"/>
  <c r="B1035" i="100"/>
  <c r="C270" i="100"/>
  <c r="C1205" i="100"/>
  <c r="C1783" i="100"/>
  <c r="AF114" i="99" a="1"/>
  <c r="B627" i="100"/>
  <c r="C345" i="100"/>
  <c r="B1011" i="100"/>
  <c r="B698" i="100"/>
  <c r="B69" i="100"/>
  <c r="M89" i="99" a="1"/>
  <c r="B703" i="100"/>
  <c r="C1256" i="100"/>
  <c r="C1133" i="100"/>
  <c r="C910" i="100"/>
  <c r="E167" i="99" a="1"/>
  <c r="C1811" i="100"/>
  <c r="B348" i="100"/>
  <c r="Y13" i="99" a="1"/>
  <c r="B332" i="100"/>
  <c r="C1816" i="100"/>
  <c r="M244" i="99" a="1"/>
  <c r="C897" i="100"/>
  <c r="C119" i="100"/>
  <c r="C1145" i="100"/>
  <c r="B1118" i="100"/>
  <c r="C799" i="100"/>
  <c r="C137" i="100"/>
  <c r="C588" i="100"/>
  <c r="C199" i="100"/>
  <c r="C1777" i="100"/>
  <c r="B1100" i="100"/>
  <c r="C673" i="100"/>
  <c r="B1770" i="100"/>
  <c r="B1204" i="100"/>
  <c r="B1824" i="100"/>
  <c r="C1745" i="100"/>
  <c r="B458" i="100"/>
  <c r="B482" i="100"/>
  <c r="I143" i="99" a="1"/>
  <c r="K341" i="99" a="1"/>
  <c r="C835" i="100"/>
  <c r="E383" i="99" a="1"/>
  <c r="B1222" i="100"/>
  <c r="C103" i="100"/>
  <c r="C1127" i="100"/>
  <c r="B1948" i="100"/>
  <c r="B633" i="100"/>
  <c r="C680" i="100"/>
  <c r="W383" i="99" a="1"/>
  <c r="B306" i="100"/>
  <c r="C1762" i="100"/>
  <c r="B288" i="100"/>
  <c r="B347" i="100"/>
  <c r="B522" i="100"/>
  <c r="C1792" i="100"/>
  <c r="C822" i="100"/>
  <c r="C951" i="100"/>
  <c r="C1049" i="100"/>
  <c r="O288" i="99" a="1"/>
  <c r="C374" i="100"/>
  <c r="B1960" i="100"/>
  <c r="B259" i="100"/>
  <c r="C810" i="100"/>
  <c r="C1059" i="100"/>
  <c r="B289" i="100"/>
  <c r="B1822" i="100"/>
  <c r="B1264" i="100"/>
  <c r="B812" i="100"/>
  <c r="B785" i="100"/>
  <c r="C983" i="100"/>
  <c r="C442" i="100"/>
  <c r="C91" i="99" a="1"/>
  <c r="AU219" i="99" a="1"/>
  <c r="B459" i="100"/>
  <c r="B646" i="100"/>
  <c r="C1279" i="100"/>
  <c r="B1759" i="100"/>
  <c r="B464" i="100"/>
  <c r="C1671" i="100"/>
  <c r="L398" i="99" a="1"/>
  <c r="C349" i="100"/>
  <c r="B971" i="100"/>
  <c r="C1200" i="100"/>
  <c r="C281" i="100"/>
  <c r="C659" i="100"/>
  <c r="C1102" i="100"/>
  <c r="C579" i="100"/>
  <c r="Y377" i="99" a="1"/>
  <c r="C766" i="100"/>
  <c r="B222" i="100"/>
  <c r="X192" i="99"/>
  <c r="C920" i="100"/>
  <c r="C363" i="100"/>
  <c r="C838" i="100"/>
  <c r="C434" i="100"/>
  <c r="C1851" i="100"/>
  <c r="C438" i="100"/>
  <c r="C801" i="100"/>
  <c r="B264" i="100"/>
  <c r="C189" i="100"/>
  <c r="C127" i="100"/>
  <c r="C999" i="100"/>
  <c r="B1802" i="100"/>
  <c r="C1146" i="100"/>
  <c r="C157" i="100"/>
  <c r="B1282" i="100"/>
  <c r="B1848" i="100"/>
  <c r="C230" i="100"/>
  <c r="B499" i="100"/>
  <c r="D324" i="99" a="1"/>
  <c r="C1597" i="100"/>
  <c r="C314" i="100"/>
  <c r="B803" i="100"/>
  <c r="B1212" i="100"/>
  <c r="C167" i="100"/>
  <c r="B174" i="100"/>
  <c r="D356" i="99" a="1"/>
  <c r="B26" i="100"/>
  <c r="B106" i="100"/>
  <c r="C1709" i="100"/>
  <c r="C1251" i="100"/>
  <c r="C1859" i="100"/>
  <c r="C65" i="100"/>
  <c r="Y116" i="99" a="1"/>
  <c r="B1605" i="100"/>
  <c r="C321" i="100"/>
  <c r="C827" i="100"/>
  <c r="C274" i="100"/>
  <c r="C1691" i="100"/>
  <c r="C720" i="100"/>
  <c r="C254" i="100"/>
  <c r="AD360" i="99" a="1"/>
  <c r="C572" i="100"/>
  <c r="B1090" i="100"/>
  <c r="B316" i="100"/>
  <c r="C626" i="100"/>
  <c r="C1787" i="100"/>
  <c r="M341" i="99" a="1"/>
  <c r="B1049" i="100"/>
  <c r="B1223" i="100"/>
  <c r="C1923" i="100"/>
  <c r="B573" i="100"/>
  <c r="C532" i="100"/>
  <c r="B1737" i="100"/>
  <c r="C1758" i="100"/>
  <c r="C1817" i="100"/>
  <c r="C1864" i="100"/>
  <c r="B462" i="100"/>
  <c r="C1837" i="100"/>
  <c r="C221" i="100"/>
  <c r="C989" i="100"/>
  <c r="B429" i="100"/>
  <c r="AE398" i="99" a="1"/>
  <c r="B1040" i="100"/>
  <c r="C285" i="100"/>
  <c r="AH219" i="99" a="1"/>
  <c r="B1095" i="100"/>
  <c r="B1855" i="100"/>
  <c r="B777" i="100"/>
  <c r="C1558" i="100"/>
  <c r="AG219" i="99" a="1"/>
  <c r="B1668" i="100"/>
  <c r="C72" i="100"/>
  <c r="B1076" i="100"/>
  <c r="C714" i="100"/>
  <c r="I341" i="99" a="1"/>
  <c r="B1768" i="100"/>
  <c r="P6" i="99" a="1"/>
  <c r="B892" i="100"/>
  <c r="B605" i="100"/>
  <c r="C1913" i="100"/>
  <c r="C1583" i="100"/>
  <c r="C291" i="100"/>
  <c r="B625" i="100"/>
  <c r="B884" i="100"/>
  <c r="B515" i="100"/>
  <c r="B608" i="100"/>
  <c r="B981" i="100"/>
  <c r="B170" i="100"/>
  <c r="C1062" i="100"/>
  <c r="C826" i="100"/>
  <c r="C501" i="100"/>
  <c r="C287" i="100"/>
  <c r="C634" i="100"/>
  <c r="B1158" i="100"/>
  <c r="B1072" i="100"/>
  <c r="D401" i="99" a="1"/>
  <c r="C1945" i="100"/>
  <c r="C619" i="100"/>
  <c r="B510" i="100"/>
  <c r="C587" i="100"/>
  <c r="C1701" i="100"/>
  <c r="C756" i="100"/>
  <c r="B1003" i="100"/>
  <c r="C874" i="100"/>
  <c r="C887" i="100"/>
  <c r="C554" i="100"/>
  <c r="B221" i="100"/>
  <c r="B189" i="100"/>
  <c r="C864" i="100"/>
  <c r="B334" i="100"/>
  <c r="C1642" i="100"/>
  <c r="C273" i="100"/>
  <c r="C1037" i="100"/>
  <c r="B1706" i="100"/>
  <c r="C743" i="100"/>
  <c r="C524" i="100"/>
  <c r="B1723" i="100"/>
  <c r="C1750" i="100"/>
  <c r="B765" i="100"/>
  <c r="B25" i="100"/>
  <c r="C358" i="100"/>
  <c r="C1744" i="100"/>
  <c r="B1099" i="100"/>
  <c r="C534" i="100"/>
  <c r="B1868" i="100"/>
  <c r="B175" i="100"/>
  <c r="C43" i="100"/>
  <c r="B889" i="100"/>
  <c r="BZ221" i="99" a="1"/>
  <c r="B133" i="100"/>
  <c r="B1863" i="100"/>
  <c r="B541" i="100"/>
  <c r="C674" i="100"/>
  <c r="Q244" i="99" a="1"/>
  <c r="AC377" i="99" a="1"/>
  <c r="C95" i="100"/>
  <c r="B1602" i="100"/>
  <c r="B924" i="100"/>
  <c r="C44" i="100"/>
  <c r="B902" i="100"/>
  <c r="C1884" i="100"/>
  <c r="E91" i="99" a="1"/>
  <c r="P5" i="99" a="1"/>
  <c r="C967" i="100"/>
  <c r="C383" i="100"/>
  <c r="C844" i="100"/>
  <c r="B205" i="100"/>
  <c r="B1710" i="100"/>
  <c r="D402" i="99" a="1"/>
  <c r="C383" i="99" a="1"/>
  <c r="B1958" i="100"/>
  <c r="F248" i="99" a="1"/>
  <c r="AQ219" i="99" a="1"/>
  <c r="C644" i="100"/>
  <c r="C1831" i="100"/>
  <c r="H190" i="99" a="1"/>
  <c r="B473" i="100"/>
  <c r="B691" i="100"/>
  <c r="B236" i="100"/>
  <c r="C757" i="100"/>
  <c r="C1795" i="100"/>
  <c r="C420" i="100"/>
  <c r="AB37" i="99" a="1"/>
  <c r="C366" i="100"/>
  <c r="B1913" i="100"/>
  <c r="C30" i="100"/>
  <c r="C693" i="100"/>
  <c r="B1741" i="100"/>
  <c r="W116" i="99"/>
  <c r="C873" i="100"/>
  <c r="C868" i="100"/>
  <c r="B815" i="100"/>
  <c r="C1281" i="100"/>
  <c r="B1669" i="100"/>
  <c r="B879" i="100"/>
  <c r="B488" i="100"/>
  <c r="C1170" i="100"/>
  <c r="B337" i="100"/>
  <c r="C473" i="100"/>
  <c r="K13" i="99" a="1"/>
  <c r="AA114" i="99" a="1"/>
  <c r="B463" i="100"/>
  <c r="B444" i="100"/>
  <c r="C1959" i="100"/>
  <c r="B916" i="100"/>
  <c r="B224" i="100"/>
  <c r="C1729" i="100"/>
  <c r="C233" i="100"/>
  <c r="B1935" i="100"/>
  <c r="AF35" i="99" a="1"/>
  <c r="B662" i="100"/>
  <c r="C497" i="100"/>
  <c r="B1849" i="100"/>
  <c r="B1041" i="100"/>
  <c r="E223" i="99" a="1"/>
  <c r="AC360" i="99" a="1"/>
  <c r="B909" i="100"/>
  <c r="C1056" i="100"/>
  <c r="C560" i="100"/>
  <c r="B1978" i="100"/>
  <c r="C850" i="100"/>
  <c r="B1170" i="100"/>
  <c r="C1615" i="100"/>
  <c r="B862" i="100"/>
  <c r="C1072" i="100"/>
  <c r="B520" i="100"/>
  <c r="C1118" i="100"/>
  <c r="B1951" i="100"/>
  <c r="C1726" i="100"/>
  <c r="C459" i="100"/>
  <c r="BG224" i="99" a="1"/>
  <c r="AD398" i="99" a="1"/>
  <c r="C978" i="100"/>
  <c r="C426" i="100"/>
  <c r="B241" i="100"/>
  <c r="C970" i="100"/>
  <c r="C867" i="100"/>
  <c r="B857" i="100"/>
  <c r="B475" i="100"/>
  <c r="C653" i="100"/>
  <c r="B321" i="100"/>
  <c r="B95" i="100"/>
  <c r="B260" i="100"/>
  <c r="C249" i="100"/>
  <c r="B253" i="100"/>
  <c r="B1097" i="100"/>
  <c r="B323" i="100"/>
  <c r="C1713" i="100"/>
  <c r="V145" i="99" a="1"/>
  <c r="B1860" i="100"/>
  <c r="C843" i="100"/>
  <c r="B295" i="100"/>
  <c r="C1587" i="100"/>
  <c r="Z271" i="99" a="1"/>
  <c r="C1796" i="100"/>
  <c r="B1024" i="100"/>
  <c r="B1188" i="100"/>
  <c r="B12" i="100"/>
  <c r="C710" i="100"/>
  <c r="B300" i="100"/>
  <c r="B24" i="100"/>
  <c r="C1142" i="100"/>
  <c r="C1126" i="100"/>
  <c r="B618" i="100"/>
  <c r="B197" i="100"/>
  <c r="B1148" i="100"/>
  <c r="C1192" i="100"/>
  <c r="B296" i="100"/>
  <c r="C711" i="100"/>
  <c r="C773" i="100"/>
  <c r="B364" i="100"/>
  <c r="C865" i="100"/>
  <c r="C922" i="100"/>
  <c r="B747" i="100"/>
  <c r="B1261" i="100"/>
  <c r="B1873" i="100"/>
  <c r="B854" i="100"/>
  <c r="B191" i="100"/>
  <c r="B1052" i="100"/>
  <c r="B452" i="100"/>
  <c r="B263" i="100"/>
  <c r="C278" i="100"/>
  <c r="B768" i="100"/>
  <c r="B1073" i="100"/>
  <c r="C419" i="100"/>
  <c r="Z377" i="99" a="1"/>
  <c r="C570" i="100"/>
  <c r="B819" i="100"/>
  <c r="M398" i="99" a="1"/>
  <c r="B823" i="100"/>
  <c r="N305" i="99" a="1"/>
  <c r="C1766" i="100"/>
  <c r="B637" i="100"/>
  <c r="AA89" i="99" a="1"/>
  <c r="C479" i="100"/>
  <c r="B1845" i="100"/>
  <c r="B1984" i="100"/>
  <c r="C1730" i="100"/>
  <c r="C608" i="100"/>
  <c r="B1112" i="100"/>
  <c r="B1682" i="100"/>
  <c r="B1908" i="100"/>
  <c r="C548" i="100"/>
  <c r="C412" i="100"/>
  <c r="C1123" i="100"/>
  <c r="B886" i="100"/>
  <c r="B736" i="100"/>
  <c r="C734" i="100"/>
  <c r="B35" i="100"/>
  <c r="B881" i="100"/>
  <c r="B1066" i="100"/>
  <c r="B1918" i="100"/>
  <c r="C190" i="100"/>
  <c r="AA271" i="99" a="1"/>
  <c r="C418" i="100"/>
  <c r="B1922" i="100"/>
  <c r="B1956" i="100"/>
  <c r="C1968" i="100"/>
  <c r="C308" i="100"/>
  <c r="C1833" i="100"/>
  <c r="B402" i="100"/>
  <c r="B203" i="100"/>
  <c r="C1155" i="100"/>
  <c r="B652" i="100"/>
  <c r="C477" i="100"/>
  <c r="B678" i="100"/>
  <c r="C410" i="100"/>
  <c r="C828" i="100"/>
  <c r="B749" i="100"/>
  <c r="B960" i="100"/>
  <c r="B1831" i="100"/>
  <c r="AG60" i="99" a="1"/>
  <c r="B673" i="100"/>
  <c r="B416" i="100"/>
  <c r="C511" i="100"/>
  <c r="B286" i="100"/>
  <c r="B1258" i="100"/>
  <c r="C179" i="100"/>
  <c r="C136" i="100"/>
  <c r="C91" i="100"/>
  <c r="B882" i="100"/>
  <c r="C53" i="100"/>
  <c r="B75" i="100"/>
  <c r="C909" i="100"/>
  <c r="B135" i="100"/>
  <c r="C1030" i="100"/>
  <c r="H360" i="99" a="1"/>
  <c r="C1708" i="100"/>
  <c r="C960" i="100"/>
  <c r="P114" i="99" a="1"/>
  <c r="B1181" i="100"/>
  <c r="B935" i="100"/>
  <c r="B385" i="100"/>
  <c r="B835" i="100"/>
  <c r="B1121" i="100"/>
  <c r="B1786" i="100"/>
  <c r="C1748" i="100"/>
  <c r="C1159" i="100"/>
  <c r="B1807" i="100"/>
  <c r="B45" i="100"/>
  <c r="B931" i="100"/>
  <c r="B1705" i="100"/>
  <c r="C185" i="100"/>
  <c r="C15" i="100"/>
  <c r="B1864" i="100"/>
  <c r="B1778" i="100"/>
  <c r="C1086" i="100"/>
  <c r="C1585" i="100"/>
  <c r="B1889" i="100"/>
  <c r="J37" i="99" a="1"/>
  <c r="B914" i="100"/>
  <c r="B1271" i="100"/>
  <c r="C628" i="100"/>
  <c r="B1613" i="100"/>
  <c r="C1765" i="100"/>
  <c r="B386" i="100"/>
  <c r="B792" i="100"/>
  <c r="B847" i="100"/>
  <c r="C1844" i="100"/>
  <c r="C1888" i="100"/>
  <c r="B1866" i="100"/>
  <c r="C1052" i="100"/>
  <c r="B198" i="100"/>
  <c r="C319" i="100"/>
  <c r="C1188" i="100"/>
  <c r="C449" i="100"/>
  <c r="C288" i="100"/>
  <c r="B656" i="100"/>
  <c r="B721" i="100"/>
  <c r="C1125" i="100"/>
  <c r="B1671" i="100"/>
  <c r="C83" i="100"/>
  <c r="C618" i="100"/>
  <c r="C1120" i="100"/>
  <c r="B1966" i="100"/>
  <c r="B1851" i="100"/>
  <c r="C124" i="100"/>
  <c r="C1616" i="100"/>
  <c r="C1044" i="100"/>
  <c r="B831" i="100"/>
  <c r="B1903" i="100"/>
  <c r="C1197" i="100"/>
  <c r="L13" i="99" a="1"/>
  <c r="AF271" i="99" a="1"/>
  <c r="C381" i="100"/>
  <c r="B1252" i="100"/>
  <c r="J322" i="99" a="1"/>
  <c r="B852" i="100"/>
  <c r="C777" i="100"/>
  <c r="B906" i="100"/>
  <c r="B1155" i="100"/>
  <c r="C1712" i="100"/>
  <c r="C407" i="100"/>
  <c r="C198" i="100"/>
  <c r="C1781" i="100"/>
  <c r="B617" i="100"/>
  <c r="B1008" i="100"/>
  <c r="C1980" i="100"/>
  <c r="C1268" i="100"/>
  <c r="B895" i="100"/>
  <c r="C543" i="100"/>
  <c r="B1062" i="100"/>
  <c r="G419" i="99" a="1"/>
  <c r="C19" i="100"/>
  <c r="B86" i="100"/>
  <c r="B190" i="100"/>
  <c r="B975" i="100"/>
  <c r="M60" i="99" a="1"/>
  <c r="C293" i="100"/>
  <c r="C681" i="100"/>
  <c r="U362" i="99" a="1"/>
  <c r="B979" i="100"/>
  <c r="W169" i="99" a="1"/>
  <c r="AC219" i="99" a="1"/>
  <c r="C324" i="99" a="1"/>
  <c r="C502" i="100"/>
  <c r="AE89" i="99" a="1"/>
  <c r="C878" i="100"/>
  <c r="B969" i="100"/>
  <c r="B281" i="100"/>
  <c r="B466" i="100"/>
  <c r="B1722" i="100"/>
  <c r="C1106" i="100"/>
  <c r="AH190" i="99" a="1"/>
  <c r="C1814" i="100"/>
  <c r="C1070" i="100"/>
  <c r="B204" i="100"/>
  <c r="M35" i="99" a="1"/>
  <c r="B706" i="100"/>
  <c r="C632" i="100"/>
  <c r="C231" i="100"/>
  <c r="B621" i="100"/>
  <c r="B273" i="100"/>
  <c r="C1876" i="100"/>
  <c r="C566" i="100"/>
  <c r="B55" i="100"/>
  <c r="C559" i="100"/>
  <c r="C142" i="100"/>
  <c r="B1558" i="100"/>
  <c r="C140" i="100"/>
  <c r="C263" i="100"/>
  <c r="B1604" i="100"/>
  <c r="D383" i="99" a="1"/>
  <c r="C1563" i="100"/>
  <c r="C536" i="100"/>
  <c r="C26" i="100"/>
  <c r="C480" i="100"/>
  <c r="C212" i="100"/>
  <c r="B1257" i="100"/>
  <c r="C68" i="100"/>
  <c r="C344" i="100"/>
  <c r="C706" i="100"/>
  <c r="C1598" i="100"/>
  <c r="CB219" i="99" a="1"/>
  <c r="C34" i="100"/>
  <c r="B1255" i="100"/>
  <c r="C1593" i="100"/>
  <c r="M271" i="99" a="1"/>
  <c r="CC219" i="99" a="1"/>
  <c r="E377" i="99" a="1"/>
  <c r="B502" i="100"/>
  <c r="C191" i="100"/>
  <c r="B110" i="100"/>
  <c r="D116" i="99" a="1"/>
  <c r="B725" i="100"/>
  <c r="C1921" i="100"/>
  <c r="C425" i="100"/>
  <c r="C1604" i="100"/>
  <c r="BE221" i="99" a="1"/>
  <c r="B654" i="100"/>
  <c r="B267" i="100"/>
  <c r="B1738" i="100"/>
  <c r="C1119" i="100"/>
  <c r="AB89" i="99" a="1"/>
  <c r="B591" i="100"/>
  <c r="O35" i="99" a="1"/>
  <c r="B426" i="100"/>
  <c r="B875" i="100"/>
  <c r="C206" i="100"/>
  <c r="C1092" i="100"/>
  <c r="C603" i="100"/>
  <c r="C774" i="100"/>
  <c r="C86" i="100"/>
  <c r="C188" i="100"/>
  <c r="B279" i="100"/>
  <c r="C298" i="100"/>
  <c r="B877" i="100"/>
  <c r="C1917" i="100"/>
  <c r="C1967" i="100"/>
  <c r="K219" i="99" a="1"/>
  <c r="B1715" i="100"/>
  <c r="W380" i="99" a="1"/>
  <c r="C1610" i="100"/>
  <c r="C1905" i="100"/>
  <c r="B207" i="100"/>
  <c r="B434" i="100"/>
  <c r="B1103" i="100"/>
  <c r="B1856" i="100"/>
  <c r="B907" i="100"/>
  <c r="C79" i="100"/>
  <c r="B1842" i="100"/>
  <c r="C1215" i="100"/>
  <c r="C500" i="100"/>
  <c r="B1005" i="100"/>
  <c r="C193" i="100"/>
  <c r="B460" i="100"/>
  <c r="B254" i="100"/>
  <c r="C1020" i="100"/>
  <c r="AF143" i="99" a="1"/>
  <c r="B1698" i="100"/>
  <c r="N6" i="99" a="1"/>
  <c r="B374" i="100"/>
  <c r="C824" i="100"/>
  <c r="AR221" i="99" a="1"/>
  <c r="C1606" i="100"/>
  <c r="B787" i="100"/>
  <c r="B789" i="100"/>
  <c r="B757" i="100"/>
  <c r="BJ219" i="99" a="1"/>
  <c r="C1940" i="100"/>
  <c r="C1937" i="100"/>
  <c r="B308" i="100"/>
  <c r="C112" i="100"/>
  <c r="C1554" i="100"/>
  <c r="C113" i="100"/>
  <c r="B839" i="100"/>
  <c r="B1001" i="100"/>
  <c r="C787" i="100"/>
  <c r="B1859" i="100"/>
  <c r="C311" i="100"/>
  <c r="AH89" i="99" a="1"/>
  <c r="C740" i="100"/>
  <c r="J190" i="99" a="1"/>
  <c r="C1822" i="100"/>
  <c r="B1190" i="100"/>
  <c r="C1271" i="100"/>
  <c r="B8" i="100"/>
  <c r="C597" i="100"/>
  <c r="C481" i="100"/>
  <c r="C1011" i="100"/>
  <c r="C1193" i="100"/>
  <c r="B90" i="100"/>
  <c r="B23" i="100"/>
  <c r="C988" i="100"/>
  <c r="C750" i="100"/>
  <c r="C475" i="100"/>
  <c r="C776" i="100"/>
  <c r="B49" i="100"/>
  <c r="L89" i="99" a="1"/>
  <c r="C924" i="100"/>
  <c r="B152" i="100"/>
  <c r="C753" i="100"/>
  <c r="B669" i="100"/>
  <c r="C246" i="100"/>
  <c r="B993" i="100"/>
  <c r="C312" i="100"/>
  <c r="C1840" i="100"/>
  <c r="C1682" i="100"/>
  <c r="M143" i="99" a="1"/>
  <c r="C378" i="100"/>
  <c r="C1018" i="100"/>
  <c r="B1228" i="100"/>
  <c r="B1092" i="100"/>
  <c r="B611" i="100"/>
  <c r="B730" i="100"/>
  <c r="B491" i="100"/>
  <c r="C1684" i="100"/>
  <c r="V403" i="99" a="1"/>
  <c r="B1745" i="100"/>
  <c r="C563" i="100"/>
  <c r="C1150" i="100"/>
  <c r="B869" i="100"/>
  <c r="F169" i="99" a="1"/>
  <c r="B1647" i="100"/>
  <c r="B1797" i="100"/>
  <c r="C1688" i="100"/>
  <c r="C282" i="100"/>
  <c r="B1240" i="100"/>
  <c r="C1088" i="100"/>
  <c r="C265" i="100"/>
  <c r="G305" i="99" a="1"/>
  <c r="C365" i="100"/>
  <c r="C855" i="100"/>
  <c r="B761" i="100"/>
  <c r="B660" i="100"/>
  <c r="C1173" i="100"/>
  <c r="B1870" i="100"/>
  <c r="C1556" i="100"/>
  <c r="B629" i="100"/>
  <c r="C1910" i="100"/>
  <c r="B186" i="100"/>
  <c r="B232" i="100"/>
  <c r="B681" i="100"/>
  <c r="B666" i="100"/>
  <c r="C857" i="100"/>
  <c r="B1246" i="100"/>
  <c r="B689" i="100"/>
  <c r="B1166" i="100"/>
  <c r="B1591" i="100"/>
  <c r="C1942" i="100"/>
  <c r="B913" i="100"/>
  <c r="B331" i="100"/>
  <c r="B527" i="100"/>
  <c r="C875" i="100"/>
  <c r="B1033" i="100"/>
  <c r="B680" i="100"/>
  <c r="C301" i="100"/>
  <c r="B1038" i="100"/>
  <c r="C235" i="100"/>
  <c r="C590" i="100"/>
  <c r="G192" i="99" a="1"/>
  <c r="C807" i="100"/>
  <c r="C292" i="100"/>
  <c r="C406" i="100"/>
  <c r="C108" i="100"/>
  <c r="B1836" i="100"/>
  <c r="C676" i="100"/>
  <c r="B479" i="100"/>
  <c r="C440" i="100"/>
  <c r="B1193" i="100"/>
  <c r="Y165" i="99" a="1"/>
  <c r="B1136" i="100"/>
  <c r="C1790" i="100"/>
  <c r="C1257" i="100"/>
  <c r="C721" i="100"/>
  <c r="B731" i="100"/>
  <c r="B1758" i="100"/>
  <c r="I244" i="99" a="1"/>
  <c r="B1208" i="100"/>
  <c r="B468" i="100"/>
  <c r="B848" i="100"/>
  <c r="B1748" i="100"/>
  <c r="C1204" i="100"/>
  <c r="B657" i="100"/>
  <c r="C305" i="100"/>
  <c r="C236" i="100"/>
  <c r="C302" i="100"/>
  <c r="B1084" i="100"/>
  <c r="B301" i="100"/>
  <c r="C315" i="100"/>
  <c r="C748" i="100"/>
  <c r="C1180" i="100"/>
  <c r="C977" i="100"/>
  <c r="I190" i="99" a="1"/>
  <c r="B1674" i="100"/>
  <c r="B1694" i="100"/>
  <c r="B490" i="100"/>
  <c r="C1565" i="100"/>
  <c r="C1674" i="100"/>
  <c r="C1174" i="100"/>
  <c r="B1281" i="100"/>
  <c r="C1599" i="100"/>
  <c r="G244" i="99" a="1"/>
  <c r="B392" i="100"/>
  <c r="C300" i="100"/>
  <c r="B616" i="100"/>
  <c r="C930" i="100"/>
  <c r="Z35" i="99" a="1"/>
  <c r="B734" i="100"/>
  <c r="C758" i="100"/>
  <c r="V362" i="99" a="1"/>
  <c r="B107" i="100"/>
  <c r="B581" i="100"/>
  <c r="B1695" i="100"/>
  <c r="B240" i="100"/>
  <c r="C675" i="100"/>
  <c r="C258" i="100"/>
  <c r="CH219" i="99" a="1"/>
  <c r="C1733" i="100"/>
  <c r="C1584" i="100"/>
  <c r="B124" i="100"/>
  <c r="N5" i="99" a="1"/>
  <c r="C87" i="100"/>
  <c r="C889" i="100"/>
  <c r="C1823" i="100"/>
  <c r="C1229" i="100"/>
  <c r="C1687" i="100"/>
  <c r="C232" i="100"/>
  <c r="B683" i="100"/>
  <c r="B218" i="100"/>
  <c r="C1804" i="100"/>
  <c r="B1811" i="100"/>
  <c r="C565" i="100"/>
  <c r="B546" i="100"/>
  <c r="C1820" i="100"/>
  <c r="B1985" i="100"/>
  <c r="B283" i="100"/>
  <c r="C1987" i="100"/>
  <c r="C1237" i="100"/>
  <c r="B310" i="100"/>
  <c r="B322" i="100"/>
  <c r="C925" i="100"/>
  <c r="B1680" i="100"/>
  <c r="H288" i="99" a="1"/>
  <c r="C798" i="100"/>
  <c r="B329" i="100"/>
  <c r="BW221" i="99" a="1"/>
  <c r="C520" i="100"/>
  <c r="C797" i="100"/>
  <c r="C1098" i="100"/>
  <c r="G167" i="99" a="1"/>
  <c r="C639" i="100"/>
  <c r="B1226" i="100"/>
  <c r="B1189" i="100"/>
  <c r="C812" i="100"/>
  <c r="C1564" i="100"/>
  <c r="C1034" i="100"/>
  <c r="B200" i="100"/>
  <c r="C624" i="100"/>
  <c r="B111" i="100"/>
  <c r="C1963" i="100"/>
  <c r="C971" i="100"/>
  <c r="C728" i="100"/>
  <c r="B1914" i="100"/>
  <c r="C262" i="100"/>
  <c r="B1937" i="100"/>
  <c r="C1673" i="100"/>
  <c r="B851" i="100"/>
  <c r="C338" i="100"/>
  <c r="C842" i="100"/>
  <c r="B398" i="100"/>
  <c r="B414" i="100"/>
  <c r="B1202" i="100"/>
  <c r="C290" i="100"/>
  <c r="B506" i="100"/>
  <c r="B1796" i="100"/>
  <c r="B719" i="100"/>
  <c r="B1890" i="100"/>
  <c r="B517" i="100"/>
  <c r="B447" i="100"/>
  <c r="C1977" i="100"/>
  <c r="B1830" i="100"/>
  <c r="B53" i="100"/>
  <c r="B1885" i="100"/>
  <c r="B418" i="100"/>
  <c r="B1119" i="100"/>
  <c r="B1039" i="100"/>
  <c r="B1002" i="100"/>
  <c r="B1751" i="100"/>
  <c r="V380" i="99" a="1"/>
  <c r="C21" i="100"/>
  <c r="C184" i="100"/>
  <c r="C1602" i="100"/>
  <c r="C834" i="100"/>
  <c r="B382" i="100"/>
  <c r="B1791" i="100"/>
  <c r="C601" i="100"/>
  <c r="C325" i="100"/>
  <c r="B762" i="100"/>
  <c r="B108" i="100"/>
  <c r="C1824" i="100"/>
  <c r="B1678" i="100"/>
  <c r="B620" i="100"/>
  <c r="B212" i="100"/>
  <c r="B741" i="100"/>
  <c r="B140" i="100"/>
  <c r="N190" i="99" a="1"/>
  <c r="B570" i="100"/>
  <c r="B89" i="100"/>
  <c r="B1083" i="100"/>
  <c r="G62" i="99"/>
  <c r="AE360" i="99" a="1"/>
  <c r="B1080" i="100"/>
  <c r="C507" i="100"/>
  <c r="B1977" i="100"/>
  <c r="C517" i="100"/>
  <c r="C1252" i="100"/>
  <c r="C1789" i="100"/>
  <c r="E246" i="99" a="1"/>
  <c r="C856" i="100"/>
  <c r="B822" i="100"/>
  <c r="C539" i="100"/>
  <c r="C386" i="100"/>
  <c r="G271" i="99" a="1"/>
  <c r="AF219" i="99" a="1"/>
  <c r="AE219" i="99" a="1"/>
  <c r="B84" i="100"/>
  <c r="B922" i="100"/>
  <c r="C1165" i="100"/>
  <c r="I114" i="99" a="1"/>
  <c r="B936" i="100"/>
  <c r="C47" i="100"/>
  <c r="C1241" i="100"/>
  <c r="B87" i="100"/>
  <c r="J419" i="99" a="1"/>
  <c r="C392" i="100"/>
  <c r="C1763" i="100"/>
  <c r="B366" i="100"/>
  <c r="B1009" i="100"/>
  <c r="C862" i="100"/>
  <c r="C861" i="100"/>
  <c r="B628" i="100"/>
  <c r="B1850" i="100"/>
  <c r="N4" i="99" a="1"/>
  <c r="C62" i="100"/>
  <c r="B1920" i="100"/>
  <c r="C462" i="100"/>
  <c r="C591" i="100"/>
  <c r="B70" i="100"/>
  <c r="C1084" i="100"/>
  <c r="C894" i="100"/>
  <c r="C1892" i="100"/>
  <c r="B1130" i="100"/>
  <c r="B707" i="100"/>
  <c r="B899" i="100"/>
  <c r="B1272" i="100"/>
  <c r="B371" i="100"/>
  <c r="CF219" i="99" a="1"/>
  <c r="B30" i="100"/>
  <c r="C700" i="100"/>
  <c r="P305" i="99" a="1"/>
  <c r="C715" i="100"/>
  <c r="C416" i="100"/>
  <c r="N7" i="99" a="1"/>
  <c r="B1256" i="100"/>
  <c r="C741" i="100"/>
  <c r="B465" i="100"/>
  <c r="C1681" i="100"/>
  <c r="B262" i="100"/>
  <c r="B237" i="100"/>
  <c r="C1099" i="100"/>
  <c r="C1676" i="100"/>
  <c r="BF224" i="99" a="1"/>
  <c r="B727" i="100"/>
  <c r="B790" i="100"/>
  <c r="C761" i="100"/>
  <c r="B1670" i="100"/>
  <c r="C1971" i="100"/>
  <c r="C391" i="100"/>
  <c r="N143" i="99" a="1"/>
  <c r="C817" i="100"/>
  <c r="J165" i="99" a="1"/>
  <c r="B1720" i="100"/>
  <c r="B1817" i="100"/>
  <c r="C389" i="100"/>
  <c r="B1595" i="100"/>
  <c r="C1069" i="100"/>
  <c r="B1127" i="100"/>
  <c r="B60" i="100"/>
  <c r="B290" i="100"/>
  <c r="B1554" i="100"/>
  <c r="B1014" i="100"/>
  <c r="C99" i="100"/>
  <c r="C1692" i="100"/>
  <c r="C1149" i="100"/>
  <c r="D337" i="99" a="1"/>
  <c r="N271" i="99" a="1"/>
  <c r="B184" i="100"/>
  <c r="C200" i="100"/>
  <c r="C464" i="100"/>
  <c r="C726" i="100"/>
  <c r="C1929" i="100"/>
  <c r="C228" i="100"/>
  <c r="C1958" i="100"/>
  <c r="C713" i="100"/>
  <c r="C141" i="100"/>
  <c r="C1095" i="100"/>
  <c r="C498" i="100"/>
  <c r="C134" i="100"/>
  <c r="C460" i="100"/>
  <c r="AP221" i="99" a="1"/>
  <c r="B3" i="100"/>
  <c r="B171" i="100"/>
  <c r="C1074" i="100"/>
  <c r="C82" i="100"/>
  <c r="B1833" i="100"/>
  <c r="C355" i="100"/>
  <c r="C1136" i="100"/>
  <c r="C709" i="100"/>
  <c r="C717" i="100"/>
  <c r="X224" i="99" a="1"/>
  <c r="B746" i="100"/>
  <c r="B1079" i="100"/>
  <c r="B1754" i="100"/>
  <c r="C93" i="100"/>
  <c r="B900" i="100"/>
  <c r="B1815" i="100"/>
  <c r="B1599" i="100"/>
  <c r="C1041" i="100"/>
  <c r="C602" i="100"/>
  <c r="AH13" i="99" a="1"/>
  <c r="B1609" i="100"/>
  <c r="C257" i="100"/>
  <c r="B399" i="100"/>
  <c r="C348" i="100"/>
  <c r="CG219" i="99" a="1"/>
  <c r="B303" i="100"/>
  <c r="B699" i="100"/>
  <c r="C1208" i="100"/>
  <c r="C1847" i="100"/>
  <c r="AR219" i="99" a="1"/>
  <c r="B470" i="100"/>
  <c r="B445" i="100"/>
  <c r="B600" i="100"/>
  <c r="B723" i="100"/>
  <c r="C1089" i="100"/>
  <c r="C1210" i="100"/>
  <c r="B335" i="100"/>
  <c r="B514" i="100"/>
  <c r="C576" i="100"/>
  <c r="B1051" i="100"/>
  <c r="B638" i="100"/>
  <c r="B1267" i="100"/>
  <c r="B872" i="100"/>
  <c r="B1101" i="100"/>
  <c r="C213" i="100"/>
  <c r="C1569" i="100"/>
  <c r="K190" i="99" a="1"/>
  <c r="B776" i="100"/>
  <c r="B116" i="100"/>
  <c r="B1142" i="100"/>
  <c r="B1886" i="100"/>
  <c r="B555" i="100"/>
  <c r="C913" i="100"/>
  <c r="B733" i="100"/>
  <c r="B965" i="100"/>
  <c r="B1880" i="100"/>
  <c r="B580" i="100"/>
  <c r="C1024" i="100"/>
  <c r="C1667" i="100"/>
  <c r="C1894" i="100"/>
  <c r="B978" i="100"/>
  <c r="B126" i="100"/>
  <c r="B821" i="100"/>
  <c r="B740" i="100"/>
  <c r="C194" i="100"/>
  <c r="C187" i="100"/>
  <c r="AE377" i="99" a="1"/>
  <c r="B920" i="100"/>
  <c r="C504" i="100"/>
  <c r="Y190" i="99" a="1"/>
  <c r="C687" i="100"/>
  <c r="B1923" i="100"/>
  <c r="AI89" i="99" a="1"/>
  <c r="B82" i="100"/>
  <c r="B1763" i="100"/>
  <c r="B1082" i="100"/>
  <c r="L190" i="99" a="1"/>
  <c r="C336" i="100"/>
  <c r="CA219" i="99" a="1"/>
  <c r="C526" i="100"/>
  <c r="B1972" i="100"/>
  <c r="B668" i="100"/>
  <c r="L244" i="99" a="1"/>
  <c r="B410" i="100"/>
  <c r="C448" i="100"/>
  <c r="B1071" i="100"/>
  <c r="E37" i="99" a="1"/>
  <c r="B512" i="100"/>
  <c r="B1895" i="100"/>
  <c r="B626" i="100"/>
  <c r="B674" i="100"/>
  <c r="B1270" i="100"/>
  <c r="C1129" i="100"/>
  <c r="C379" i="99" a="1"/>
  <c r="C650" i="100"/>
  <c r="B62" i="100"/>
  <c r="C1005" i="100"/>
  <c r="C1705" i="100"/>
  <c r="B1762" i="100"/>
  <c r="B1046" i="100"/>
  <c r="B406" i="100"/>
  <c r="B829" i="100"/>
  <c r="C1130" i="100"/>
  <c r="B1152" i="100"/>
  <c r="B759" i="100"/>
  <c r="AD219" i="99" a="1"/>
  <c r="C299" i="100"/>
  <c r="C1988" i="100"/>
  <c r="C1986" i="100"/>
  <c r="B1834" i="100"/>
  <c r="B1838" i="100"/>
  <c r="C1974" i="100"/>
  <c r="O305" i="99" a="1"/>
  <c r="C1869" i="100"/>
  <c r="C965" i="100"/>
  <c r="D37" i="99" a="1"/>
  <c r="C1912" i="100"/>
  <c r="C1588" i="100"/>
  <c r="C1914" i="100"/>
  <c r="B7" i="100"/>
  <c r="B367" i="100"/>
  <c r="C107" i="100"/>
  <c r="B1183" i="100"/>
  <c r="C1064" i="100"/>
  <c r="B1872" i="100"/>
  <c r="C226" i="100"/>
  <c r="C1148" i="100"/>
  <c r="B841" i="100"/>
  <c r="C637" i="100"/>
  <c r="AB62" i="99" a="1"/>
  <c r="G377" i="99" a="1"/>
  <c r="B710" i="100"/>
  <c r="G13" i="99" a="1"/>
  <c r="B1933" i="100"/>
  <c r="C1754" i="100"/>
  <c r="B1782" i="100"/>
  <c r="M114" i="99" a="1"/>
  <c r="C678" i="100"/>
  <c r="BI219" i="99" a="1"/>
  <c r="B726" i="100"/>
  <c r="P4" i="99" a="1"/>
  <c r="C915" i="100"/>
  <c r="B118" i="100"/>
  <c r="C1872" i="100"/>
  <c r="I60" i="99" a="1"/>
  <c r="C816" i="100"/>
  <c r="C341" i="100"/>
  <c r="C1976" i="100"/>
  <c r="C699" i="100"/>
  <c r="BY219" i="99" a="1"/>
  <c r="C1071" i="100"/>
  <c r="C279" i="100"/>
  <c r="B1584" i="100"/>
  <c r="C941" i="100"/>
  <c r="Z60" i="99" a="1"/>
  <c r="C1891" i="100"/>
  <c r="C266" i="100"/>
  <c r="B898" i="100"/>
  <c r="C742" i="100"/>
  <c r="B992" i="100"/>
  <c r="B377" i="100"/>
  <c r="O190" i="99" a="1"/>
  <c r="C665" i="100"/>
  <c r="C1694" i="100"/>
  <c r="C912" i="100"/>
  <c r="B1180" i="100"/>
  <c r="B1683" i="100"/>
  <c r="C94" i="100"/>
  <c r="C645" i="100"/>
  <c r="F223" i="99" a="1"/>
  <c r="B1174" i="100"/>
  <c r="W167" i="99" a="1"/>
  <c r="C331" i="100"/>
  <c r="C456" i="100"/>
  <c r="C405" i="100"/>
  <c r="W167" i="99" l="1"/>
  <c r="F223" i="99"/>
  <c r="O190" i="99"/>
  <c r="Z60" i="99"/>
  <c r="BY219" i="99"/>
  <c r="I60" i="99"/>
  <c r="P4" i="99"/>
  <c r="BI219" i="99"/>
  <c r="M114" i="99"/>
  <c r="G13" i="99"/>
  <c r="G377" i="99"/>
  <c r="AB62" i="99"/>
  <c r="D37" i="99"/>
  <c r="O305" i="99"/>
  <c r="AD219" i="99"/>
  <c r="C379" i="99"/>
  <c r="E37" i="99"/>
  <c r="L244" i="99"/>
  <c r="CA219" i="99"/>
  <c r="L190" i="99"/>
  <c r="AI89" i="99"/>
  <c r="Y190" i="99"/>
  <c r="AE377" i="99"/>
  <c r="K190" i="99"/>
  <c r="AR219" i="99"/>
  <c r="CG219" i="99"/>
  <c r="AH13" i="99"/>
  <c r="X224" i="99"/>
  <c r="AP221" i="99"/>
  <c r="N271" i="99"/>
  <c r="D337" i="99"/>
  <c r="J165" i="99"/>
  <c r="N143" i="99"/>
  <c r="BF224" i="99"/>
  <c r="N7" i="99"/>
  <c r="P305" i="99"/>
  <c r="CF219" i="99"/>
  <c r="N4" i="99"/>
  <c r="J419" i="99"/>
  <c r="I114" i="99"/>
  <c r="AE219" i="99"/>
  <c r="AF219" i="99"/>
  <c r="G271" i="99"/>
  <c r="E246" i="99"/>
  <c r="AE360" i="99"/>
  <c r="N190" i="99"/>
  <c r="V380" i="99"/>
  <c r="G167" i="99"/>
  <c r="BW221" i="99"/>
  <c r="H288" i="99"/>
  <c r="N5" i="99"/>
  <c r="CH219" i="99"/>
  <c r="V362" i="99"/>
  <c r="Z35" i="99"/>
  <c r="G244" i="99"/>
  <c r="I190" i="99"/>
  <c r="I244" i="99"/>
  <c r="Y165" i="99"/>
  <c r="G192" i="99"/>
  <c r="G305" i="99"/>
  <c r="F169" i="99"/>
  <c r="V403" i="99"/>
  <c r="W403" i="99" s="1"/>
  <c r="M143" i="99"/>
  <c r="L89" i="99"/>
  <c r="J190" i="99"/>
  <c r="AH89" i="99"/>
  <c r="BJ219" i="99"/>
  <c r="AR221" i="99"/>
  <c r="N6" i="99"/>
  <c r="AF143" i="99"/>
  <c r="W380" i="99"/>
  <c r="K219" i="99"/>
  <c r="O35" i="99"/>
  <c r="AB89" i="99"/>
  <c r="BE221" i="99"/>
  <c r="D116" i="99"/>
  <c r="E377" i="99"/>
  <c r="CC219" i="99"/>
  <c r="M271" i="99"/>
  <c r="CB219" i="99"/>
  <c r="D383" i="99"/>
  <c r="M35" i="99"/>
  <c r="AH190" i="99"/>
  <c r="AE89" i="99"/>
  <c r="C324" i="99"/>
  <c r="AC219" i="99"/>
  <c r="W169" i="99"/>
  <c r="U362" i="99"/>
  <c r="M60" i="99"/>
  <c r="G419" i="99"/>
  <c r="J322" i="99"/>
  <c r="AF271" i="99"/>
  <c r="L13" i="99"/>
  <c r="J37" i="99"/>
  <c r="P114" i="99"/>
  <c r="H360" i="99"/>
  <c r="AG60" i="99"/>
  <c r="AA271" i="99"/>
  <c r="AA89" i="99"/>
  <c r="N305" i="99"/>
  <c r="M398" i="99"/>
  <c r="Z377" i="99"/>
  <c r="Z271" i="99"/>
  <c r="V145" i="99"/>
  <c r="AD398" i="99"/>
  <c r="BG224" i="99"/>
  <c r="AC360" i="99"/>
  <c r="E223" i="99"/>
  <c r="AF35" i="99"/>
  <c r="AA114" i="99"/>
  <c r="K13" i="99"/>
  <c r="AB37" i="99"/>
  <c r="H190" i="99"/>
  <c r="AQ219" i="99"/>
  <c r="F248" i="99"/>
  <c r="C383" i="99"/>
  <c r="D402" i="99"/>
  <c r="E402" i="99" s="1"/>
  <c r="P5" i="99"/>
  <c r="E91" i="99"/>
  <c r="AC377" i="99"/>
  <c r="Q244" i="99"/>
  <c r="BZ221" i="99"/>
  <c r="D401" i="99"/>
  <c r="E401" i="99" s="1"/>
  <c r="P6" i="99"/>
  <c r="I341" i="99"/>
  <c r="AG219" i="99"/>
  <c r="AH219" i="99"/>
  <c r="AE398" i="99"/>
  <c r="M341" i="99"/>
  <c r="AD360" i="99"/>
  <c r="Y116" i="99"/>
  <c r="D356" i="99"/>
  <c r="D324" i="99"/>
  <c r="Y377" i="99"/>
  <c r="L398" i="99"/>
  <c r="AU219" i="99"/>
  <c r="C91" i="99"/>
  <c r="O288" i="99"/>
  <c r="W383" i="99"/>
  <c r="E383" i="99"/>
  <c r="K341" i="99"/>
  <c r="I143" i="99"/>
  <c r="M244" i="99"/>
  <c r="Y13" i="99"/>
  <c r="E167" i="99"/>
  <c r="M89" i="99"/>
  <c r="AF114" i="99"/>
  <c r="AG89" i="99"/>
  <c r="Y60" i="99"/>
  <c r="G288" i="99"/>
  <c r="E398" i="99"/>
  <c r="BV221" i="99"/>
  <c r="AA219" i="99"/>
  <c r="G356" i="99"/>
  <c r="K60" i="99"/>
  <c r="F93" i="99"/>
  <c r="F62" i="99"/>
  <c r="W221" i="99"/>
  <c r="AB377" i="99"/>
  <c r="AA360" i="99"/>
  <c r="E62" i="99"/>
  <c r="L60" i="99"/>
  <c r="AG143" i="99"/>
  <c r="W224" i="99"/>
  <c r="C290" i="99"/>
  <c r="O271" i="99"/>
  <c r="W62" i="99"/>
  <c r="W91" i="99"/>
  <c r="BW223" i="99"/>
  <c r="J143" i="99"/>
  <c r="Q89" i="99"/>
  <c r="H305" i="99"/>
  <c r="AA143" i="99"/>
  <c r="W39" i="99"/>
  <c r="AI190" i="99"/>
  <c r="AT219" i="99"/>
  <c r="E192" i="99"/>
  <c r="C380" i="99"/>
  <c r="E169" i="99"/>
  <c r="BI221" i="99"/>
  <c r="N114" i="99"/>
  <c r="H143" i="99"/>
  <c r="D93" i="99"/>
  <c r="AC165" i="99"/>
  <c r="AO221" i="99"/>
  <c r="AI219" i="99"/>
  <c r="Z398" i="99"/>
  <c r="AD60" i="99"/>
  <c r="BH219" i="99"/>
  <c r="O13" i="99"/>
  <c r="Y167" i="99"/>
  <c r="Y271" i="99"/>
  <c r="U91" i="99"/>
  <c r="V39" i="99"/>
  <c r="CC221" i="99"/>
  <c r="E221" i="99"/>
  <c r="K377" i="99"/>
  <c r="AH35" i="99"/>
  <c r="AC221" i="99"/>
  <c r="X39" i="99"/>
  <c r="AE114" i="99"/>
  <c r="L165" i="99"/>
  <c r="J398" i="99"/>
  <c r="AE60" i="99"/>
  <c r="H271" i="99"/>
  <c r="I322" i="99"/>
  <c r="AC114" i="99"/>
  <c r="M305" i="99"/>
  <c r="K271" i="99"/>
  <c r="I419" i="99"/>
  <c r="Q35" i="99"/>
  <c r="L377" i="99"/>
  <c r="U379" i="99"/>
  <c r="Z219" i="99"/>
  <c r="D167" i="99"/>
  <c r="G116" i="99"/>
  <c r="E343" i="99"/>
  <c r="P13" i="99"/>
  <c r="AA377" i="99"/>
  <c r="H337" i="99"/>
  <c r="W192" i="99"/>
  <c r="J219" i="99"/>
  <c r="G190" i="99"/>
  <c r="BE223" i="99"/>
  <c r="AD143" i="99"/>
  <c r="V379" i="99"/>
  <c r="H341" i="99"/>
  <c r="BE224" i="99"/>
  <c r="N219" i="99"/>
  <c r="M377" i="99"/>
  <c r="D249" i="99"/>
  <c r="D15" i="99"/>
  <c r="AC271" i="99"/>
  <c r="G114" i="99"/>
  <c r="Y221" i="99"/>
  <c r="AC60" i="99"/>
  <c r="BX223" i="99"/>
  <c r="W223" i="99"/>
  <c r="AC143" i="99"/>
  <c r="AA13" i="99"/>
  <c r="AZ219" i="99"/>
  <c r="X62" i="99"/>
  <c r="AG35" i="99"/>
  <c r="W273" i="99"/>
  <c r="M190" i="99"/>
  <c r="D169" i="99"/>
  <c r="F39" i="99"/>
  <c r="W382" i="99"/>
  <c r="BF221" i="99"/>
  <c r="AC398" i="99"/>
  <c r="BR219" i="99"/>
  <c r="H322" i="99"/>
  <c r="AD89" i="99"/>
  <c r="P190" i="99"/>
  <c r="J62" i="99"/>
  <c r="H114" i="99"/>
  <c r="I13" i="99"/>
  <c r="K143" i="99"/>
  <c r="D223" i="99"/>
  <c r="D403" i="99"/>
  <c r="E403" i="99" s="1"/>
  <c r="G337" i="99"/>
  <c r="AD35" i="99"/>
  <c r="I360" i="99"/>
  <c r="AH114" i="99"/>
  <c r="E324" i="99"/>
  <c r="D382" i="99"/>
  <c r="Q190" i="99"/>
  <c r="U380" i="99"/>
  <c r="AI35" i="99"/>
  <c r="W398" i="99"/>
  <c r="AD190" i="99"/>
  <c r="AB360" i="99"/>
  <c r="BL219" i="99"/>
  <c r="E273" i="99"/>
  <c r="Z114" i="99"/>
  <c r="V116" i="99"/>
  <c r="Q165" i="99"/>
  <c r="C337" i="99"/>
  <c r="C343" i="99"/>
  <c r="AG114" i="99"/>
  <c r="M219" i="99"/>
  <c r="AH143" i="99"/>
  <c r="E380" i="99"/>
  <c r="L305" i="99"/>
  <c r="CD219" i="99"/>
  <c r="AC13" i="99"/>
  <c r="Z165" i="99"/>
  <c r="BG223" i="99"/>
  <c r="I219" i="99"/>
  <c r="F249" i="99"/>
  <c r="E381" i="99"/>
  <c r="AX219" i="99"/>
  <c r="I377" i="99"/>
  <c r="AG190" i="99"/>
  <c r="V401" i="99"/>
  <c r="W401" i="99" s="1"/>
  <c r="F246" i="99"/>
  <c r="AB190" i="99"/>
  <c r="O60" i="99"/>
  <c r="Y192" i="99"/>
  <c r="AB13" i="99"/>
  <c r="AP223" i="99"/>
  <c r="G341" i="99"/>
  <c r="I35" i="99"/>
  <c r="V223" i="99"/>
  <c r="N9" i="99"/>
  <c r="AA190" i="99"/>
  <c r="J341" i="99"/>
  <c r="L360" i="99"/>
  <c r="C381" i="99"/>
  <c r="Z360" i="99"/>
  <c r="N60" i="99"/>
  <c r="H356" i="99"/>
  <c r="H60" i="99"/>
  <c r="G143" i="99"/>
  <c r="AV219" i="99"/>
  <c r="D379" i="99"/>
  <c r="D192" i="99"/>
  <c r="G221" i="99"/>
  <c r="AA35" i="99"/>
  <c r="AE271" i="99"/>
  <c r="I271" i="99"/>
  <c r="E356" i="99"/>
  <c r="Q114" i="99"/>
  <c r="V15" i="99"/>
  <c r="AG13" i="99"/>
  <c r="E362" i="99"/>
  <c r="U383" i="99"/>
  <c r="W377" i="99"/>
  <c r="D343" i="99"/>
  <c r="AQ221" i="99"/>
  <c r="L341" i="99"/>
  <c r="C362" i="99"/>
  <c r="N35" i="99"/>
  <c r="L219" i="99"/>
  <c r="K398" i="99"/>
  <c r="V62" i="99"/>
  <c r="AD13" i="99"/>
  <c r="O219" i="99"/>
  <c r="F419" i="99"/>
  <c r="P219" i="99"/>
  <c r="Y35" i="99"/>
  <c r="D145" i="99"/>
  <c r="H398" i="99"/>
  <c r="E39" i="99"/>
  <c r="Z143" i="99"/>
  <c r="L35" i="99"/>
  <c r="AB143" i="99"/>
  <c r="X223" i="99"/>
  <c r="V221" i="99"/>
  <c r="H219" i="99"/>
  <c r="X93" i="99"/>
  <c r="E93" i="99"/>
  <c r="AP224" i="99"/>
  <c r="Y360" i="99"/>
  <c r="V192" i="99"/>
  <c r="E248" i="99"/>
  <c r="AH165" i="99"/>
  <c r="BA219" i="99"/>
  <c r="E379" i="99"/>
  <c r="K35" i="99"/>
  <c r="J288" i="99"/>
  <c r="D224" i="99"/>
  <c r="CI219" i="99"/>
  <c r="J271" i="99"/>
  <c r="D404" i="99"/>
  <c r="E404" i="99" s="1"/>
  <c r="AF190" i="99"/>
  <c r="AH60" i="99"/>
  <c r="Y89" i="99"/>
  <c r="Z89" i="99"/>
  <c r="P165" i="99"/>
  <c r="M288" i="99"/>
  <c r="D221" i="99"/>
  <c r="BQ219" i="99"/>
  <c r="AA398" i="99"/>
  <c r="K4" i="99"/>
  <c r="D248" i="99"/>
  <c r="BG221" i="99"/>
  <c r="U381" i="99"/>
  <c r="W93" i="99"/>
  <c r="M322" i="99"/>
  <c r="F398" i="99"/>
  <c r="H165" i="99"/>
  <c r="AF13" i="99"/>
  <c r="J305" i="99"/>
  <c r="AO224" i="99"/>
  <c r="CE219" i="99"/>
  <c r="AS219" i="99"/>
  <c r="K360" i="99"/>
  <c r="AF165" i="99"/>
  <c r="E419" i="99"/>
  <c r="O89" i="99"/>
  <c r="D39" i="99"/>
  <c r="AD114" i="99"/>
  <c r="BZ219" i="99"/>
  <c r="AC35" i="99"/>
  <c r="AB165" i="99"/>
  <c r="K89" i="99"/>
  <c r="G60" i="99"/>
  <c r="V93" i="99"/>
  <c r="BL221" i="99"/>
  <c r="AE165" i="99"/>
  <c r="BX221" i="99"/>
  <c r="AF60" i="99"/>
  <c r="D246" i="99"/>
  <c r="M13" i="99"/>
  <c r="AB35" i="99"/>
  <c r="D273" i="99"/>
  <c r="D307" i="99"/>
  <c r="G37" i="99"/>
  <c r="M165" i="99"/>
  <c r="F224" i="99"/>
  <c r="BV224" i="99"/>
  <c r="P143" i="99"/>
  <c r="L322" i="99"/>
  <c r="P244" i="99"/>
  <c r="AI114" i="99"/>
  <c r="G165" i="99"/>
  <c r="F356" i="99"/>
  <c r="AD377" i="99"/>
  <c r="V37" i="99"/>
  <c r="V383" i="99"/>
  <c r="V224" i="99"/>
  <c r="Q219" i="99"/>
  <c r="L143" i="99"/>
  <c r="F167" i="99"/>
  <c r="AE190" i="99"/>
  <c r="L288" i="99"/>
  <c r="V382" i="99"/>
  <c r="O114" i="99"/>
  <c r="N8" i="99"/>
  <c r="U382" i="99"/>
  <c r="C273" i="99"/>
  <c r="K221" i="99"/>
  <c r="BO219" i="99"/>
  <c r="AF89" i="99"/>
  <c r="H13" i="99"/>
  <c r="AG271" i="99"/>
  <c r="K305" i="99"/>
  <c r="D380" i="99"/>
  <c r="E290" i="99"/>
  <c r="Z190" i="99"/>
  <c r="H221" i="99"/>
  <c r="N322" i="99"/>
  <c r="J60" i="99"/>
  <c r="AE143" i="99"/>
  <c r="W37" i="99"/>
  <c r="Q60" i="99"/>
  <c r="N165" i="99"/>
  <c r="W381" i="99"/>
  <c r="H419" i="99"/>
  <c r="AI60" i="99"/>
  <c r="N377" i="99"/>
  <c r="AB114" i="99"/>
  <c r="M360" i="99"/>
  <c r="I165" i="99"/>
  <c r="D290" i="99"/>
  <c r="E224" i="99"/>
  <c r="J377" i="99"/>
  <c r="H89" i="99"/>
  <c r="N341" i="99"/>
  <c r="V273" i="99"/>
  <c r="F37" i="99"/>
  <c r="AE13" i="99"/>
  <c r="AF377" i="99"/>
  <c r="V404" i="99"/>
  <c r="W404" i="99" s="1"/>
  <c r="X37" i="99"/>
  <c r="AA60" i="99"/>
  <c r="AE35" i="99"/>
  <c r="I89" i="99"/>
  <c r="X169" i="99"/>
  <c r="G322" i="99"/>
  <c r="J244" i="99"/>
  <c r="K114" i="99"/>
  <c r="P89" i="99"/>
  <c r="Z221" i="99"/>
  <c r="AY219" i="99"/>
  <c r="BM219" i="99"/>
  <c r="O143" i="99"/>
  <c r="U273" i="99"/>
  <c r="K288" i="99"/>
  <c r="AB271" i="99"/>
  <c r="Y91" i="99"/>
  <c r="K244" i="99"/>
  <c r="I305" i="99"/>
  <c r="H377" i="99"/>
  <c r="Y398" i="99"/>
  <c r="BP219" i="99"/>
  <c r="J114" i="99"/>
  <c r="E249" i="99"/>
  <c r="V402" i="99"/>
  <c r="W402" i="99" s="1"/>
  <c r="AC89" i="99"/>
  <c r="AU221" i="99"/>
  <c r="D91" i="99"/>
  <c r="C382" i="99"/>
  <c r="F221" i="99"/>
  <c r="BH221" i="99"/>
  <c r="G246" i="99"/>
  <c r="AW219" i="99"/>
  <c r="AG165" i="99"/>
  <c r="F377" i="99"/>
  <c r="BV223" i="99"/>
  <c r="G89" i="99"/>
  <c r="I398" i="99"/>
  <c r="AD271" i="99"/>
  <c r="L271" i="99"/>
  <c r="V381" i="99"/>
  <c r="AC190" i="99"/>
  <c r="AA165" i="99"/>
  <c r="AN224" i="99"/>
  <c r="E382" i="99"/>
  <c r="Y143" i="99"/>
  <c r="E337" i="99"/>
  <c r="J89" i="99"/>
  <c r="K165" i="99"/>
  <c r="C356" i="99"/>
  <c r="N244" i="99"/>
  <c r="X377" i="99"/>
  <c r="AB398" i="99"/>
  <c r="V169" i="99"/>
  <c r="G398" i="99"/>
  <c r="AN223" i="99"/>
  <c r="J360" i="99"/>
  <c r="AB219" i="99"/>
  <c r="J35" i="99"/>
  <c r="G360" i="99"/>
  <c r="BW224" i="99"/>
  <c r="H35" i="99"/>
  <c r="AD165" i="99"/>
  <c r="BX224" i="99"/>
  <c r="N13" i="99"/>
  <c r="P60" i="99"/>
  <c r="D381" i="99"/>
  <c r="Y114" i="99"/>
  <c r="O244" i="99"/>
  <c r="K322" i="99"/>
  <c r="AN221" i="99"/>
  <c r="D62" i="99"/>
  <c r="X167" i="99"/>
  <c r="BK219" i="99"/>
  <c r="BF223" i="99"/>
  <c r="O165" i="99"/>
  <c r="BN219" i="99"/>
  <c r="G219" i="99"/>
  <c r="Z13" i="99"/>
  <c r="D362" i="99"/>
  <c r="W362" i="99"/>
  <c r="L114" i="99"/>
  <c r="Y219" i="99"/>
  <c r="P35" i="99"/>
  <c r="N288" i="99"/>
  <c r="H244" i="99"/>
  <c r="J13" i="99"/>
  <c r="AI165" i="99"/>
  <c r="X221" i="99"/>
  <c r="P7" i="99"/>
  <c r="G35" i="99"/>
  <c r="G91" i="99"/>
  <c r="V167" i="99"/>
  <c r="W379" i="99"/>
  <c r="AO223" i="99"/>
  <c r="BY221" i="99"/>
  <c r="AB60" i="99"/>
  <c r="I288" i="99"/>
  <c r="F337" i="99"/>
  <c r="Y37" i="99"/>
  <c r="N89" i="99"/>
  <c r="X398" i="99"/>
  <c r="V91" i="99"/>
  <c r="Q960" i="100" a="1"/>
  <c r="P843" i="100" a="1"/>
  <c r="P873" i="100" a="1"/>
  <c r="Q1169" i="100" a="1"/>
  <c r="Q1218" i="100" a="1"/>
  <c r="P581" i="100" a="1"/>
  <c r="P1034" i="100" a="1"/>
  <c r="Q681" i="100" a="1"/>
  <c r="P825" i="100" a="1"/>
  <c r="Q1034" i="100" a="1"/>
  <c r="P1194" i="100" a="1"/>
  <c r="Q1194" i="100" a="1"/>
  <c r="Q650" i="100" a="1"/>
  <c r="Q777" i="100" a="1"/>
  <c r="P747" i="100" a="1"/>
  <c r="Q619" i="100" a="1"/>
  <c r="P717" i="100" a="1"/>
  <c r="Q1143" i="100" a="1"/>
  <c r="Q903" i="100" a="1"/>
  <c r="Q1091" i="100" a="1"/>
  <c r="P1143" i="100" a="1"/>
  <c r="P998" i="100" a="1"/>
  <c r="P792" i="100" a="1"/>
  <c r="P1218" i="100" a="1"/>
  <c r="P699" i="100" a="1"/>
  <c r="P619" i="100" a="1"/>
  <c r="Q998" i="100" a="1"/>
  <c r="P1075" i="100" a="1"/>
  <c r="Q825" i="100" a="1"/>
  <c r="Q1048" i="100" a="1"/>
  <c r="Q717" i="100" a="1"/>
  <c r="Q922" i="100" a="1"/>
  <c r="Q1023" i="100" a="1"/>
  <c r="P941" i="100" a="1"/>
  <c r="P807" i="100" a="1"/>
  <c r="P1114" i="100" a="1"/>
  <c r="Q1058" i="100" a="1"/>
  <c r="P1091" i="100" a="1"/>
  <c r="P1101" i="100" a="1"/>
  <c r="P960" i="100" a="1"/>
  <c r="Q1114" i="100" a="1"/>
  <c r="P1023" i="100" a="1"/>
  <c r="Q1101" i="100" a="1"/>
  <c r="P1048" i="100" a="1"/>
  <c r="P551" i="100" a="1"/>
  <c r="P903" i="100" a="1"/>
  <c r="P650" i="100" a="1"/>
  <c r="Q566" i="100" a="1"/>
  <c r="Q1012" i="100" a="1"/>
  <c r="P681" i="100" a="1"/>
  <c r="P777" i="100" a="1"/>
  <c r="P566" i="100" a="1"/>
  <c r="Q551" i="100" a="1"/>
  <c r="P922" i="100" a="1"/>
  <c r="Q747" i="100" a="1"/>
  <c r="Q979" i="100" a="1"/>
  <c r="Q941" i="100" a="1"/>
  <c r="P600" i="100" a="1"/>
  <c r="Q807" i="100" a="1"/>
  <c r="P979" i="100" a="1"/>
  <c r="Q843" i="100" a="1"/>
  <c r="Q581" i="100" a="1"/>
  <c r="P1058" i="100" a="1"/>
  <c r="Q1075" i="100" a="1"/>
  <c r="P1169" i="100" a="1"/>
  <c r="Q873" i="100" a="1"/>
  <c r="Q699" i="100" a="1"/>
  <c r="Q600" i="100" a="1"/>
  <c r="Q792" i="100" a="1"/>
  <c r="P1012" i="100" a="1"/>
  <c r="P1012" i="100" l="1"/>
  <c r="Q792" i="100"/>
  <c r="Q600" i="100"/>
  <c r="Q699" i="100"/>
  <c r="Q873" i="100"/>
  <c r="P1169" i="100"/>
  <c r="Q1075" i="100"/>
  <c r="P1058" i="100"/>
  <c r="Q581" i="100"/>
  <c r="Q843" i="100"/>
  <c r="P979" i="100"/>
  <c r="Q807" i="100"/>
  <c r="P600" i="100"/>
  <c r="Q941" i="100"/>
  <c r="Q979" i="100"/>
  <c r="Q747" i="100"/>
  <c r="P922" i="100"/>
  <c r="Q551" i="100"/>
  <c r="P566" i="100"/>
  <c r="P777" i="100"/>
  <c r="P681" i="100"/>
  <c r="Q1012" i="100"/>
  <c r="Q566" i="100"/>
  <c r="P650" i="100"/>
  <c r="P903" i="100"/>
  <c r="P551" i="100"/>
  <c r="P1048" i="100"/>
  <c r="Q1101" i="100"/>
  <c r="P1023" i="100"/>
  <c r="Q1114" i="100"/>
  <c r="P960" i="100"/>
  <c r="P1101" i="100"/>
  <c r="P1091" i="100"/>
  <c r="Q1058" i="100"/>
  <c r="P1114" i="100"/>
  <c r="P807" i="100"/>
  <c r="P941" i="100"/>
  <c r="Q1023" i="100"/>
  <c r="Q922" i="100"/>
  <c r="Q717" i="100"/>
  <c r="Q1048" i="100"/>
  <c r="Q825" i="100"/>
  <c r="P1075" i="100"/>
  <c r="Q998" i="100"/>
  <c r="P619" i="100"/>
  <c r="P699" i="100"/>
  <c r="P1218" i="100"/>
  <c r="P792" i="100"/>
  <c r="P998" i="100"/>
  <c r="P1143" i="100"/>
  <c r="Q1091" i="100"/>
  <c r="Q903" i="100"/>
  <c r="Q1143" i="100"/>
  <c r="P717" i="100"/>
  <c r="Q619" i="100"/>
  <c r="P747" i="100"/>
  <c r="Q777" i="100"/>
  <c r="Q650" i="100"/>
  <c r="Q1194" i="100"/>
  <c r="P1194" i="100"/>
  <c r="Q1034" i="100"/>
  <c r="P825" i="100"/>
  <c r="Q681" i="100"/>
  <c r="P1034" i="100"/>
  <c r="P581" i="100"/>
  <c r="Q1218" i="100"/>
  <c r="Q1169" i="100"/>
  <c r="P873" i="100"/>
  <c r="P843" i="100"/>
  <c r="Q96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<sst xmlns="http://schemas.openxmlformats.org/spreadsheetml/2006/main" count="27714" uniqueCount="2148">
  <si>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</si>
  <si>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</si>
  <si>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</si>
  <si>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</si>
  <si>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</si>
  <si>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</si>
  <si>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</si>
  <si>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</si>
  <si>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</si>
  <si>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</si>
  <si>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</si>
  <si>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</si>
  <si>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</si>
  <si>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</si>
  <si>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</si>
  <si>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</si>
  <si>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</si>
  <si>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</si>
  <si>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</si>
  <si>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</si>
  <si>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</si>
  <si>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</si>
  <si>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</si>
  <si>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</si>
  <si>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</si>
  <si>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</si>
  <si>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</si>
  <si>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</si>
  <si>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</si>
  <si>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</si>
  <si>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</si>
  <si>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</si>
  <si>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</si>
  <si>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</si>
  <si>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</si>
  <si>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</si>
  <si>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</si>
  <si>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</si>
  <si>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</si>
  <si>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</si>
  <si>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</si>
  <si>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</si>
  <si>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</si>
  <si>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</si>
  <si>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</si>
  <si>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</si>
  <si>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</si>
  <si>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</si>
  <si>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</si>
  <si>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</si>
  <si>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</si>
  <si>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</si>
  <si>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</si>
  <si>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</si>
  <si>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</si>
  <si>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</si>
  <si>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</si>
  <si>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</si>
  <si>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</si>
  <si>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</si>
  <si>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</si>
  <si>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</si>
  <si>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</si>
  <si>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</si>
  <si>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</si>
  <si>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</si>
  <si>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</si>
  <si>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</si>
  <si>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</si>
  <si>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</si>
  <si>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</si>
  <si>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</si>
  <si>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</si>
  <si>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</si>
  <si>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</si>
  <si>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</si>
  <si>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</si>
  <si>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</si>
  <si>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</si>
  <si>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</si>
  <si>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</si>
  <si>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</si>
  <si>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</si>
  <si>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</si>
  <si>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</si>
  <si>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</si>
  <si>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</si>
  <si>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</si>
  <si>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</si>
  <si>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</si>
  <si>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</si>
  <si>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</si>
  <si>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</si>
  <si>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</si>
  <si>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</si>
  <si>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</si>
  <si>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</si>
  <si>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</si>
  <si>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</si>
  <si>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</si>
  <si>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</si>
  <si>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</si>
  <si>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</si>
  <si>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</si>
  <si>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</si>
  <si>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</si>
  <si>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</si>
  <si>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</si>
  <si>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</si>
  <si>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</si>
  <si>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</si>
  <si>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</si>
  <si>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</si>
  <si>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</si>
  <si>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</si>
  <si>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</si>
  <si>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</si>
  <si>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</si>
  <si>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</si>
  <si>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</si>
  <si>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</si>
  <si>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</si>
  <si>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</si>
  <si>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</si>
  <si>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</si>
  <si>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</si>
  <si>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</si>
  <si>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</si>
  <si>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</si>
  <si>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</si>
  <si>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</si>
  <si>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</si>
  <si>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</si>
  <si>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</si>
  <si>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</si>
  <si>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</si>
  <si>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</si>
  <si>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</si>
  <si>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</si>
  <si>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</si>
  <si>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</si>
  <si>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</si>
  <si>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</si>
  <si>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</si>
  <si>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</si>
  <si>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</si>
  <si>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</si>
  <si>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</si>
  <si>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</si>
  <si>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</si>
  <si>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</si>
  <si>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</si>
  <si>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</si>
  <si>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</si>
  <si>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</si>
  <si>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</si>
  <si>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</si>
  <si>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</si>
  <si>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</si>
  <si>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</si>
  <si>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</si>
  <si>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</si>
  <si>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</si>
  <si>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</si>
  <si>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</si>
  <si>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</si>
  <si>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</si>
  <si>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</si>
  <si>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</si>
  <si>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</si>
  <si>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</si>
  <si>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</si>
  <si>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</si>
  <si>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</si>
  <si>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</si>
  <si>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</si>
  <si>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</si>
  <si>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</si>
  <si>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</si>
  <si>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</si>
  <si>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</si>
  <si>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</si>
  <si>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</si>
  <si>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</si>
  <si>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</si>
  <si>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</si>
  <si>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</si>
  <si>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</si>
  <si>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</si>
  <si>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</si>
  <si>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</si>
  <si>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</si>
  <si>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</si>
  <si>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</si>
  <si>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</si>
  <si>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</si>
  <si>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</si>
  <si>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</si>
  <si>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</si>
  <si>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</si>
  <si>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</si>
  <si>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</si>
  <si>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</si>
  <si>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</si>
  <si>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</si>
  <si>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</si>
  <si>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</si>
  <si>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</si>
  <si>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</si>
  <si>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</si>
  <si>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</si>
  <si>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</si>
  <si>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</si>
  <si>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</si>
  <si>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</si>
  <si>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</si>
  <si>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</si>
  <si>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</si>
  <si>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</si>
  <si>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</si>
  <si>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</si>
  <si>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</si>
  <si>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</si>
  <si>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</si>
  <si>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</si>
  <si>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</si>
  <si>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</si>
  <si>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</si>
  <si>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</si>
  <si>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</si>
  <si>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</si>
  <si>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</si>
  <si>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</si>
  <si>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</si>
  <si>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</si>
  <si>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</si>
  <si>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</si>
  <si>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</si>
  <si>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</si>
  <si>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</si>
  <si>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</si>
  <si>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</si>
  <si>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</si>
  <si>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</si>
  <si>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</si>
  <si>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</si>
  <si>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</si>
  <si>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</si>
  <si>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</si>
  <si>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</si>
  <si>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</si>
  <si>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</si>
  <si>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</si>
  <si>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</si>
  <si>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</si>
  <si>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</si>
  <si>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</si>
  <si>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</si>
  <si>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</si>
  <si>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</si>
  <si>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</si>
  <si>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</si>
  <si>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</si>
  <si>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</si>
  <si>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</si>
  <si>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</si>
  <si>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</si>
  <si>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</si>
  <si>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</si>
  <si>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</si>
  <si>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</si>
  <si>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</si>
  <si>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</si>
  <si>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</si>
  <si>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</si>
  <si>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</si>
  <si>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</si>
  <si>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</si>
  <si>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</si>
  <si>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</si>
  <si>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</si>
  <si>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</si>
  <si>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</si>
  <si>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</si>
  <si>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</si>
  <si>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</si>
  <si>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</si>
  <si>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</si>
  <si>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</si>
  <si>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</si>
  <si>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</si>
  <si>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</si>
  <si>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</si>
  <si>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</si>
  <si>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</si>
  <si>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</si>
  <si>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</si>
  <si>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</si>
  <si>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</si>
  <si>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</si>
  <si>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</si>
  <si>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</si>
  <si>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</si>
  <si>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</si>
  <si>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</si>
  <si>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</si>
  <si>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</si>
  <si>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</si>
  <si>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</si>
  <si>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</si>
  <si>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</si>
  <si>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</si>
  <si>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</si>
  <si>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</si>
  <si>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</si>
  <si>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</si>
  <si>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</si>
  <si>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</si>
  <si>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</si>
  <si>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</si>
  <si>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</si>
  <si>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</si>
  <si>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</si>
  <si>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</si>
  <si>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</si>
  <si>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</si>
  <si>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</si>
  <si>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</si>
  <si>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</si>
  <si>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</si>
  <si>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</si>
  <si>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</si>
  <si>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</si>
  <si>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</si>
  <si>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</si>
  <si>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</si>
  <si>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</si>
  <si>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</si>
  <si>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</si>
  <si>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</si>
  <si>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</si>
  <si>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</si>
  <si>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</si>
  <si>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</si>
  <si>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</si>
  <si>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</si>
  <si>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</si>
  <si>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</si>
  <si>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</si>
  <si>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</si>
  <si>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</si>
  <si>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</si>
  <si>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</si>
  <si>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</si>
  <si>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</si>
  <si>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</si>
  <si>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</si>
  <si>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</si>
  <si>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</si>
  <si>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</si>
  <si>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</si>
  <si>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</si>
  <si>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</si>
  <si>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</si>
  <si>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</si>
  <si>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</si>
  <si>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</si>
  <si>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</si>
  <si>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</si>
  <si>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</si>
  <si>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</si>
  <si>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</si>
  <si>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</si>
  <si>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</si>
  <si>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</si>
  <si>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</si>
  <si>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</si>
  <si>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</si>
  <si>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</si>
  <si>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</si>
  <si>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</si>
  <si>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</si>
  <si>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</si>
  <si>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</si>
  <si>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</si>
  <si>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</si>
  <si>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</si>
  <si>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</si>
  <si>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</si>
  <si>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</si>
  <si>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</si>
  <si>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</si>
  <si>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</si>
  <si>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</si>
  <si>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</si>
  <si>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</si>
  <si>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</si>
  <si>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</si>
  <si>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</si>
  <si>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</si>
  <si>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</si>
  <si>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</si>
  <si>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</si>
  <si>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</si>
  <si>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</si>
  <si>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</si>
  <si>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</si>
  <si>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</si>
  <si>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</si>
  <si>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</si>
  <si>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</si>
  <si>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</si>
  <si>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</si>
  <si>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</si>
  <si>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</si>
  <si>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</si>
  <si>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</si>
  <si>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</si>
  <si>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</si>
  <si>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</si>
  <si>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</si>
  <si>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</si>
  <si>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</si>
  <si>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</si>
  <si>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</si>
  <si>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</si>
  <si>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</si>
  <si>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</si>
  <si>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</si>
  <si>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</si>
  <si>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</si>
  <si>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</si>
  <si>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</si>
  <si>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</si>
  <si>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</si>
  <si>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</si>
  <si>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</si>
  <si>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</si>
  <si>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</si>
  <si>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</si>
  <si>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</si>
  <si>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</si>
  <si>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</si>
  <si>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</si>
  <si>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</si>
  <si>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</si>
  <si>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</si>
  <si>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</si>
  <si>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</si>
  <si>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</si>
  <si>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</si>
  <si>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</si>
  <si>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</si>
  <si>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</si>
  <si>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</si>
  <si>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</si>
  <si>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</si>
  <si>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</si>
  <si>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</si>
  <si>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</si>
  <si>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</si>
  <si>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</si>
  <si>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</si>
  <si>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</si>
  <si>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</si>
  <si>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</si>
  <si>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</si>
  <si>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</si>
  <si>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</si>
  <si>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</si>
  <si>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</si>
  <si>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</si>
  <si>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</si>
  <si>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</si>
  <si>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</si>
  <si>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</si>
  <si>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</si>
  <si>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</si>
  <si>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</si>
  <si>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</si>
  <si>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</si>
  <si>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</si>
  <si>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</si>
  <si>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</si>
  <si>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</si>
  <si>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</si>
  <si>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</si>
  <si>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</si>
  <si>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</si>
  <si>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</si>
  <si>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</si>
  <si>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</si>
  <si>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</si>
  <si>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</si>
  <si>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</si>
  <si>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</si>
  <si>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</si>
  <si>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</si>
  <si>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</si>
  <si>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</si>
  <si>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</si>
  <si>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</si>
  <si>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</si>
  <si>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</si>
  <si>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</si>
  <si>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</si>
  <si>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</si>
  <si>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</si>
  <si>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</si>
  <si>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</si>
  <si>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</si>
  <si>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</si>
  <si>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</si>
  <si>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</si>
  <si>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</si>
  <si>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</si>
  <si>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</si>
  <si>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</si>
  <si>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</si>
  <si>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</si>
  <si>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</si>
  <si>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</si>
  <si>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</si>
  <si>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</si>
  <si>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</si>
  <si>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</si>
  <si>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</si>
  <si>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</si>
  <si>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</si>
  <si>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</si>
  <si>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</si>
  <si>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</si>
  <si>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</si>
  <si>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</si>
  <si>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</si>
  <si>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</si>
  <si>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</si>
  <si>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</si>
  <si>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</si>
  <si>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</si>
  <si>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</si>
  <si>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</si>
  <si>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</si>
  <si>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</si>
  <si>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</si>
  <si>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</si>
  <si>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</si>
  <si>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</si>
  <si>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</si>
  <si>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</si>
  <si>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</si>
  <si>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</si>
  <si>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</si>
  <si>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</si>
  <si>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</si>
  <si>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</si>
  <si>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</si>
  <si>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</si>
  <si>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</si>
  <si>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</si>
  <si>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</si>
  <si>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</si>
  <si>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</si>
  <si>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</si>
  <si>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</si>
  <si>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</si>
  <si>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</si>
  <si>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</si>
  <si>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</si>
  <si>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</si>
  <si>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</si>
  <si>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</si>
  <si>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</si>
  <si>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</si>
  <si>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</si>
  <si>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</si>
  <si>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</si>
  <si>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</si>
  <si>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</si>
  <si>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</si>
  <si>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</si>
  <si>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</si>
  <si>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</si>
  <si>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</si>
  <si>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</si>
  <si>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</si>
  <si>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</si>
  <si>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</si>
  <si>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</si>
  <si>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</si>
  <si>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</si>
  <si>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</si>
  <si>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</si>
  <si>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</si>
  <si>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</si>
  <si>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</si>
  <si>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</si>
  <si>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</si>
  <si>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</si>
  <si>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</si>
  <si>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</si>
  <si>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</si>
  <si>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</si>
  <si>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</si>
  <si>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</si>
  <si>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</si>
  <si>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</si>
  <si>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</si>
  <si>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</si>
  <si>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</si>
  <si>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</si>
  <si>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</si>
  <si>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</si>
  <si>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</si>
  <si>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</si>
  <si>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</si>
  <si>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</si>
  <si>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</si>
  <si>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</si>
  <si>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</si>
  <si>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</si>
  <si>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</si>
  <si>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</si>
  <si>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</si>
  <si>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</si>
  <si>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</si>
  <si>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</si>
  <si>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</si>
  <si>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</si>
  <si>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</si>
  <si>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</si>
  <si>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</si>
  <si>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</si>
  <si>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</si>
  <si>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</si>
  <si>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</si>
  <si>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</si>
  <si>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</si>
  <si>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</si>
  <si>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</si>
  <si>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</si>
  <si>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</si>
  <si>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</si>
  <si>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</si>
  <si>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</si>
  <si>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</si>
  <si>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</si>
  <si>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</si>
  <si>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</si>
  <si>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</si>
  <si>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</si>
  <si>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</si>
  <si>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</si>
  <si>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</si>
  <si>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</si>
  <si>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</si>
  <si>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</si>
  <si>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</si>
  <si>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</si>
  <si>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</si>
  <si>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</si>
  <si>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</si>
  <si>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</si>
  <si>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</si>
  <si>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</si>
  <si>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</si>
  <si>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</si>
  <si>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</si>
  <si>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</si>
  <si>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</si>
  <si>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</si>
  <si>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</si>
  <si>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</si>
  <si>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</si>
  <si>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</si>
  <si>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</si>
  <si>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</si>
  <si>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</si>
  <si>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</si>
  <si>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</si>
  <si>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</si>
  <si>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</si>
  <si>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</si>
  <si>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</si>
  <si>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</si>
  <si>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</si>
  <si>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</si>
  <si>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</si>
  <si>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</si>
  <si>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</si>
  <si>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</si>
  <si>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</si>
  <si>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</si>
  <si>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</si>
  <si>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</si>
  <si>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</si>
  <si>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</si>
  <si>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</si>
  <si>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</si>
  <si>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</si>
  <si>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</si>
  <si>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</si>
  <si>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</si>
  <si>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</si>
  <si>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</si>
  <si>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</si>
  <si>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</si>
  <si>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</si>
  <si>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</si>
  <si>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</si>
  <si>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</si>
  <si>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</si>
  <si>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</si>
  <si>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</si>
  <si>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</si>
  <si>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</si>
  <si>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</si>
  <si>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</si>
  <si>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</si>
  <si>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</si>
  <si>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</si>
  <si>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</si>
  <si>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</si>
  <si>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</si>
  <si>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</si>
  <si>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</si>
  <si>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</si>
  <si>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</si>
  <si>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</si>
  <si>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</si>
  <si>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</si>
  <si>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</si>
  <si>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</si>
  <si>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</si>
  <si>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</si>
  <si>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</si>
  <si>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</si>
  <si>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</si>
  <si>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</si>
  <si>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</si>
  <si>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</si>
  <si>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</si>
  <si>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</si>
  <si>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</si>
  <si>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</si>
  <si>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</si>
  <si>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</si>
  <si>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</si>
  <si>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</si>
  <si>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</si>
  <si>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</si>
  <si>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</si>
  <si>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</si>
  <si>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</si>
  <si>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</si>
  <si>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</si>
  <si>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</si>
  <si>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</si>
  <si>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</si>
  <si>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</si>
  <si>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</si>
  <si>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</si>
  <si>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</si>
  <si>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</si>
  <si>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</si>
  <si>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</si>
  <si>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</si>
  <si>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</si>
  <si>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</si>
  <si>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</si>
  <si>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</si>
  <si>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</si>
  <si>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</si>
  <si>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</si>
  <si>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</si>
  <si>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</si>
  <si>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</si>
  <si>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</si>
  <si>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</si>
  <si>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</si>
  <si>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</si>
  <si>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</si>
  <si>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</si>
  <si>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</si>
  <si>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</si>
  <si>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</si>
  <si>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</si>
  <si>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</si>
  <si>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</si>
  <si>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</si>
  <si>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</si>
  <si>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</si>
  <si>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</si>
  <si>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</si>
  <si>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</si>
  <si>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</si>
  <si>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</si>
  <si>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</si>
  <si>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</si>
  <si>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</si>
  <si>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</si>
  <si>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</si>
  <si>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</si>
  <si>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</si>
  <si>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</si>
  <si>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</si>
  <si>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</si>
  <si>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</si>
  <si>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</si>
  <si>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</si>
  <si>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</si>
  <si>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</si>
  <si>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</si>
  <si>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</si>
  <si>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</si>
  <si>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</si>
  <si>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</si>
  <si>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</si>
  <si>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</si>
  <si>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</si>
  <si>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</si>
  <si>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</si>
  <si>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</si>
  <si>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</si>
  <si>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</si>
  <si>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</si>
  <si>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</si>
  <si>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</si>
  <si>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</si>
  <si>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</si>
  <si>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</si>
  <si>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</si>
  <si>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</si>
  <si>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</si>
  <si>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</si>
  <si>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</si>
  <si>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</si>
  <si>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</si>
  <si>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</si>
  <si>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</si>
  <si>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</si>
  <si>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</si>
  <si>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</si>
  <si>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</si>
  <si>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</si>
  <si>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</si>
  <si>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</si>
  <si>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</si>
  <si>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</si>
  <si>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</si>
  <si>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</si>
  <si>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</si>
  <si>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</si>
  <si>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</si>
  <si>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</si>
  <si>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</si>
  <si>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</si>
  <si>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</si>
  <si>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</si>
  <si>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</si>
  <si>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</si>
  <si>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</si>
  <si>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</si>
  <si>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</si>
  <si>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</si>
  <si>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</si>
  <si>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</si>
  <si>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</si>
  <si>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</si>
  <si>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</si>
  <si>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</si>
  <si>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</si>
  <si>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</si>
  <si>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</si>
  <si>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</si>
  <si>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</si>
  <si>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</si>
  <si>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</si>
  <si>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</si>
  <si>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</si>
  <si>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</si>
  <si>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</si>
  <si>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</si>
  <si>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</si>
  <si>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</si>
  <si>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</si>
  <si>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</si>
  <si>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</si>
  <si>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</si>
  <si>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</si>
  <si>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</si>
  <si>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</si>
  <si>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</si>
  <si>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</si>
  <si>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</si>
  <si>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</si>
  <si>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</si>
  <si>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</si>
  <si>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</si>
  <si>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</si>
  <si>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</si>
  <si>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</si>
  <si>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</si>
  <si>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</si>
  <si>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</si>
  <si>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</si>
  <si>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</si>
  <si>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</si>
  <si>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</si>
  <si>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</si>
  <si>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</si>
  <si>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</si>
  <si>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</si>
  <si>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</si>
  <si>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</si>
  <si>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</si>
  <si>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</si>
  <si>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</si>
  <si>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</si>
  <si>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</si>
  <si>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</si>
  <si>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</si>
  <si>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</si>
  <si>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</si>
  <si>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</si>
  <si>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</si>
  <si>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</si>
  <si>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</si>
  <si>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</si>
  <si>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</si>
  <si>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</si>
  <si>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</si>
  <si>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</si>
  <si>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</si>
  <si>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</si>
  <si>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</si>
  <si>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</si>
  <si>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</si>
  <si>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</si>
  <si>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</si>
  <si>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</si>
  <si>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</si>
  <si>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</si>
  <si>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</si>
  <si>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</si>
  <si>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</si>
  <si>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</si>
  <si>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</si>
  <si>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</si>
  <si>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</si>
  <si>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</si>
  <si>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</si>
  <si>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</si>
  <si>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</si>
  <si>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</si>
  <si>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</si>
  <si>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</si>
  <si>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</si>
  <si>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</si>
  <si>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</si>
  <si>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</si>
  <si>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</si>
  <si>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</si>
  <si>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</si>
  <si>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</si>
  <si>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</si>
  <si>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</si>
  <si>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</si>
  <si>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</si>
  <si>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</si>
  <si>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</si>
  <si>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</si>
  <si>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</si>
  <si>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</si>
  <si>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</si>
  <si>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</si>
  <si>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</si>
  <si>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</si>
  <si>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</si>
  <si>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</si>
  <si>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</si>
  <si>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</si>
  <si>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</si>
  <si>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</si>
  <si>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</si>
  <si>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</si>
  <si>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</si>
  <si>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</si>
  <si>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</si>
  <si>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</si>
  <si>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</si>
  <si>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</si>
  <si>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</si>
  <si>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</si>
  <si>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</si>
  <si>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</si>
  <si>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</si>
  <si>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</si>
  <si>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</si>
  <si>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</si>
  <si>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</si>
  <si>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</si>
  <si>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</si>
  <si>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</si>
  <si>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</si>
  <si>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</si>
  <si>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</si>
  <si>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</si>
  <si>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</si>
  <si>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</si>
  <si>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</si>
  <si>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</si>
  <si>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</si>
  <si>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</si>
  <si>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</si>
  <si>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</si>
  <si>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</si>
  <si>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</si>
  <si>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</si>
  <si>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</si>
  <si>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</si>
  <si>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</si>
  <si>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</si>
  <si>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</si>
  <si>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</si>
  <si>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</si>
  <si>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</si>
  <si>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</si>
  <si>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</si>
  <si>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</si>
  <si>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</si>
  <si>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</si>
  <si>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</si>
  <si>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</si>
  <si>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</si>
  <si>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</si>
  <si>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</si>
  <si>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</si>
  <si>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</si>
  <si>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</si>
  <si>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</si>
  <si>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</si>
  <si>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</si>
  <si>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</si>
  <si>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</si>
  <si>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</si>
  <si>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</si>
  <si>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</si>
  <si>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</si>
  <si>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</si>
  <si>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</si>
  <si>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</si>
  <si>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</si>
  <si>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</si>
  <si>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</si>
  <si>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</si>
  <si>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</si>
  <si>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</si>
  <si>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</si>
  <si>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</si>
  <si>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</si>
  <si>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</si>
  <si>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</si>
  <si>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</si>
  <si>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</si>
  <si>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</si>
  <si>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</si>
  <si>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</si>
  <si>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</si>
  <si>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</si>
  <si>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</si>
  <si>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</si>
  <si>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</si>
  <si>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</si>
  <si>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</si>
  <si>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</si>
  <si>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</si>
  <si>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</si>
  <si>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</si>
  <si>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</si>
  <si>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</si>
  <si>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</si>
  <si>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</si>
  <si>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</si>
  <si>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</si>
  <si>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</si>
  <si>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</si>
  <si>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</si>
  <si>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</si>
  <si>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</si>
  <si>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</si>
  <si>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</si>
  <si>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</si>
  <si>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</si>
  <si>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</si>
  <si>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</si>
  <si>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</si>
  <si>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</si>
  <si>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</si>
  <si>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</si>
  <si>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</si>
  <si>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</si>
  <si>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</si>
  <si>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</si>
  <si>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</si>
  <si>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</si>
  <si>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</si>
  <si>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</si>
  <si>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</si>
  <si>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</si>
  <si>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</si>
  <si>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</si>
  <si>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</si>
  <si>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</si>
  <si>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</si>
  <si>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</si>
  <si>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</si>
  <si>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</si>
  <si>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</si>
  <si>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</si>
  <si>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</si>
  <si>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</si>
  <si>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</si>
  <si>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</si>
  <si>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</si>
  <si>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</si>
  <si>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</si>
  <si>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</si>
  <si>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</si>
  <si>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</si>
  <si>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</si>
  <si>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</si>
  <si>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</si>
  <si>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</si>
  <si>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</si>
  <si>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</si>
  <si>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</si>
  <si>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</si>
  <si>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</si>
  <si>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</si>
  <si>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</si>
  <si>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</si>
  <si>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</si>
  <si>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</si>
  <si>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</si>
  <si>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</si>
  <si>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</si>
  <si>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</si>
  <si>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</si>
  <si>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</si>
  <si>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</si>
  <si>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</si>
  <si>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</si>
  <si>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</si>
  <si>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</si>
  <si>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</si>
  <si>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</si>
  <si>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</si>
  <si>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</si>
  <si>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</si>
  <si>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</si>
  <si>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</si>
  <si>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</si>
  <si>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</si>
  <si>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</si>
  <si>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</si>
  <si>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</si>
  <si>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</si>
  <si>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</si>
  <si>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</si>
  <si>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</si>
  <si>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</si>
  <si>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</si>
  <si>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</si>
  <si>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</si>
  <si>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</si>
  <si>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</si>
  <si>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</si>
  <si>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</si>
  <si>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</si>
  <si>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</si>
  <si>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</si>
  <si>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</si>
  <si>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</si>
  <si>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</si>
  <si>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</si>
  <si>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</si>
  <si>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</si>
  <si>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</si>
  <si>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</si>
  <si>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</si>
  <si>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</si>
  <si>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</si>
  <si>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</si>
  <si>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</si>
  <si>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</si>
  <si>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</si>
  <si>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</si>
  <si>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</si>
  <si>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</si>
  <si>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</si>
  <si>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</si>
  <si>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</si>
  <si>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</si>
  <si>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</si>
  <si>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</si>
  <si>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</si>
  <si>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</si>
  <si>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</si>
  <si>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</si>
  <si>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</si>
  <si>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</si>
  <si>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</si>
  <si>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</si>
  <si>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</si>
  <si>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</si>
  <si>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</si>
  <si>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</si>
  <si>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</si>
  <si>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</si>
  <si>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</si>
  <si>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</si>
  <si>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</si>
  <si>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</si>
  <si>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</si>
  <si>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</si>
  <si>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</si>
  <si>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</si>
  <si>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</si>
  <si>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</si>
  <si>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</si>
  <si>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</si>
  <si>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</si>
  <si>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</si>
  <si>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</si>
  <si>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</si>
  <si>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</si>
  <si>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</si>
  <si>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</si>
  <si>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</si>
  <si>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</si>
  <si>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</si>
  <si>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</si>
  <si>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</si>
  <si>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</si>
  <si>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</si>
  <si>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</si>
  <si>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</si>
  <si>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</si>
  <si>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</si>
  <si>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</si>
  <si>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</si>
  <si>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</si>
  <si>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</si>
  <si>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</si>
  <si>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</si>
  <si>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</si>
  <si>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</si>
  <si>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</si>
  <si>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</si>
  <si>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</si>
  <si>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</si>
  <si>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</si>
  <si>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</si>
  <si>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</si>
  <si>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</si>
  <si>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</si>
  <si>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</si>
  <si>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</si>
  <si>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</si>
  <si>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</si>
  <si>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</si>
  <si>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</si>
  <si>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</si>
  <si>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</si>
  <si>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</si>
  <si>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</si>
  <si>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</si>
  <si>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</si>
  <si>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</si>
  <si>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</si>
  <si>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</si>
  <si>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</si>
  <si>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</si>
  <si>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</si>
  <si>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</si>
  <si>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</si>
  <si>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</si>
  <si>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</si>
  <si>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</si>
  <si>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</si>
  <si>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</si>
  <si>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</si>
  <si>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</si>
  <si>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</si>
  <si>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</si>
  <si>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</si>
  <si>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</si>
  <si>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</si>
  <si>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</si>
  <si>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</si>
  <si>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</si>
  <si>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</si>
  <si>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</si>
  <si>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</si>
  <si>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</si>
  <si>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</si>
  <si>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</si>
  <si>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</si>
  <si>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</si>
  <si>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</si>
  <si>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</si>
  <si>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</si>
  <si>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</si>
  <si>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</si>
  <si>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</si>
  <si>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</si>
  <si>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</si>
  <si>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</si>
  <si>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</si>
  <si>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</si>
  <si>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</si>
  <si>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</si>
  <si>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</si>
  <si>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</si>
  <si>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</si>
  <si>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</si>
  <si>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</si>
  <si>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</si>
  <si>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</si>
  <si>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</si>
  <si>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</si>
  <si>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</si>
  <si>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</si>
  <si>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</si>
  <si>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</si>
  <si>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</si>
  <si>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</si>
  <si>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</si>
  <si>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</si>
  <si>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</si>
  <si>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</si>
  <si>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</si>
  <si>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</si>
  <si>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</si>
  <si>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</si>
  <si>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</si>
  <si>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</si>
  <si>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</si>
  <si>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</si>
  <si>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</si>
  <si>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</si>
  <si>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</si>
  <si>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</si>
  <si>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</si>
  <si>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</si>
  <si>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</si>
  <si>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</si>
  <si>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</si>
  <si>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</si>
  <si>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</si>
  <si>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</si>
  <si>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</si>
  <si>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</si>
  <si>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</si>
  <si>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</si>
  <si>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</si>
  <si>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</si>
  <si>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</si>
  <si>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</si>
  <si>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</si>
  <si>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</si>
  <si>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</si>
  <si>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</si>
  <si>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</si>
  <si>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</si>
  <si>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</si>
  <si>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</si>
  <si>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</si>
  <si>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</si>
  <si>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</si>
  <si>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</si>
  <si>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</si>
  <si>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</si>
  <si>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</si>
  <si>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</si>
  <si>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</si>
  <si>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</si>
  <si>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</si>
  <si>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</si>
  <si>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</si>
  <si>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</si>
  <si>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</si>
  <si>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</si>
  <si>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</si>
  <si>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</si>
  <si>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</si>
  <si>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</si>
  <si>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</si>
  <si>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</si>
  <si>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</si>
  <si>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</si>
  <si>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</si>
  <si>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</si>
  <si>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</si>
  <si>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</si>
  <si>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</si>
  <si>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</si>
  <si>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</si>
  <si>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</si>
  <si>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</si>
  <si>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</si>
  <si>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</si>
  <si>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</si>
  <si>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</si>
  <si>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</si>
  <si>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</si>
  <si>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</si>
  <si>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</si>
  <si>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</si>
  <si>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</si>
  <si>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</si>
  <si>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</si>
  <si>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</si>
  <si>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</si>
  <si>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</si>
  <si>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</si>
  <si>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</si>
  <si>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</si>
  <si>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</si>
  <si>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</si>
  <si>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</si>
  <si>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</si>
  <si>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</si>
  <si>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</si>
  <si>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</si>
  <si>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</si>
  <si>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</si>
  <si>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</si>
  <si>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</si>
  <si>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</si>
  <si>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</si>
  <si>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</si>
  <si>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</si>
  <si>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</si>
  <si>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</si>
  <si>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</si>
  <si>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</si>
  <si>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</si>
  <si>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</si>
  <si>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</si>
  <si>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</si>
  <si>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</si>
  <si>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</si>
  <si>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</si>
  <si>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</si>
  <si>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</si>
  <si>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</si>
  <si>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</si>
  <si>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</si>
  <si>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</si>
  <si>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</si>
  <si>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</si>
  <si>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</si>
  <si>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</si>
  <si>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</si>
  <si>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</si>
  <si>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</si>
  <si>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</si>
  <si>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</si>
  <si>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</si>
  <si>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</si>
  <si>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</si>
  <si>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</si>
  <si>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</si>
  <si>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</si>
  <si>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</si>
  <si>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</si>
  <si>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</si>
  <si>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</si>
  <si>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</si>
  <si>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</si>
  <si>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</si>
  <si>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</si>
  <si>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</si>
  <si>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</si>
  <si>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</si>
  <si>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</si>
  <si>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</si>
  <si>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</si>
  <si>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</si>
  <si>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</si>
  <si>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</si>
  <si>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</si>
  <si>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</si>
  <si>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</si>
  <si>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</si>
  <si>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</si>
  <si>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</si>
  <si>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</si>
  <si>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</si>
  <si>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</si>
  <si>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</si>
  <si>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</si>
  <si>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</si>
  <si>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</si>
  <si>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</si>
  <si>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</si>
  <si>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</si>
  <si>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</si>
  <si>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</si>
  <si>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</si>
  <si>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</si>
  <si>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</si>
  <si>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</si>
  <si>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</si>
  <si>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</si>
  <si>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</si>
  <si>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</si>
  <si>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</si>
  <si>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</si>
  <si>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</si>
  <si>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</si>
  <si>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</si>
  <si>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</si>
  <si>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</si>
  <si>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</si>
  <si>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</si>
  <si>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</si>
  <si>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</si>
  <si>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</si>
  <si>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</si>
  <si>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</si>
  <si>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</si>
  <si>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</si>
  <si>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</si>
  <si>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</si>
  <si>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</si>
  <si>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</si>
  <si>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</si>
  <si>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</si>
  <si>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</si>
  <si>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</si>
  <si>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</si>
  <si>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</si>
  <si>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</si>
  <si>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</si>
  <si>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</si>
  <si>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</si>
  <si>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</si>
  <si>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</si>
  <si>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</si>
  <si>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</si>
  <si>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</si>
  <si>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</si>
  <si>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</si>
  <si>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</si>
  <si>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</si>
  <si>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</si>
  <si>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</si>
  <si>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</si>
  <si>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</si>
  <si>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</si>
  <si>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</si>
  <si>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</si>
  <si>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</si>
  <si>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</si>
  <si>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</si>
  <si>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</si>
  <si>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</si>
  <si>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</si>
  <si>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</si>
  <si>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</si>
  <si>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</si>
  <si>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</si>
  <si>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</si>
  <si>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</si>
  <si>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</si>
  <si>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</si>
  <si>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</si>
  <si>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</si>
  <si>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</si>
  <si>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</si>
  <si>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</si>
  <si>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</si>
  <si>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</si>
  <si>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</si>
  <si>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</si>
  <si>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</si>
  <si>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</si>
  <si>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</si>
  <si>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</si>
  <si>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</si>
  <si>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</si>
  <si>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</si>
  <si>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</si>
  <si>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</si>
  <si>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</si>
  <si>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</si>
  <si>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</si>
  <si>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</si>
  <si>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</si>
  <si>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</si>
  <si>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</si>
  <si>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</si>
  <si>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</si>
  <si>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</si>
  <si>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</si>
  <si>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</si>
  <si>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</si>
  <si>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</si>
  <si>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</si>
  <si>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</si>
  <si>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</si>
  <si>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</si>
  <si>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</si>
  <si>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</si>
  <si>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</si>
  <si>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</si>
  <si>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</si>
  <si>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</si>
  <si>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</si>
  <si>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</si>
  <si>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</si>
  <si>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</si>
  <si>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</si>
  <si>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</si>
  <si>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</si>
  <si>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</si>
  <si>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</si>
  <si>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</si>
  <si>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</si>
  <si>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</si>
  <si>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</si>
  <si>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</si>
  <si>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</si>
  <si>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</si>
  <si>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</si>
  <si>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</si>
  <si>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</si>
  <si>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</si>
  <si>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</si>
  <si>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</si>
  <si>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</si>
  <si>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</si>
  <si>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</si>
  <si>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</si>
  <si>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</si>
  <si>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</si>
  <si>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</si>
  <si>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</si>
  <si>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</si>
  <si>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</si>
  <si>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</si>
  <si>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</si>
  <si>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</si>
  <si>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</si>
  <si>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</si>
  <si>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</si>
  <si>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</si>
  <si>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</si>
  <si>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</si>
  <si>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</si>
  <si>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</si>
  <si>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</si>
  <si>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</si>
  <si>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</si>
  <si>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</si>
  <si>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</si>
  <si>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</si>
  <si>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</si>
  <si>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</si>
  <si>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</si>
  <si>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</si>
  <si>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</si>
  <si>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</si>
  <si>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</si>
  <si>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</si>
  <si>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</si>
  <si>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</si>
  <si>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</si>
  <si>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</si>
  <si>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</si>
  <si>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</si>
  <si>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</si>
  <si>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</si>
  <si>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</si>
  <si>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</si>
  <si>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</si>
  <si>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</si>
  <si>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</si>
  <si>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</si>
  <si>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</si>
  <si>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</si>
  <si>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</si>
  <si>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</si>
  <si>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</si>
  <si>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</si>
  <si>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</si>
  <si>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</si>
  <si>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</si>
  <si>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</si>
  <si>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</si>
  <si>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</si>
  <si>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</si>
  <si>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</si>
  <si>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</si>
  <si>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</si>
  <si>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</si>
  <si>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</si>
  <si>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</si>
  <si>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</si>
  <si>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</si>
  <si>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</si>
  <si>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</si>
  <si>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</si>
  <si>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</si>
  <si>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</si>
  <si>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</si>
  <si>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</si>
  <si>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</si>
  <si>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</si>
  <si>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</si>
  <si>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</si>
  <si>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</si>
  <si>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</si>
  <si>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</si>
  <si>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</si>
  <si>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</si>
  <si>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</si>
  <si>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</si>
  <si>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</si>
  <si>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</si>
  <si>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</si>
  <si>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</si>
  <si>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</si>
  <si>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</si>
  <si>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</si>
  <si>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</si>
  <si>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</si>
  <si>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</si>
  <si>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</si>
  <si>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</si>
  <si>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</si>
  <si>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</si>
  <si>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</si>
  <si>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</si>
  <si>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</si>
  <si>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</si>
  <si>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</si>
  <si>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</si>
  <si>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</si>
  <si>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</si>
  <si>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</si>
  <si>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</si>
  <si>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</si>
  <si>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</si>
  <si>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</si>
  <si>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</si>
  <si>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</si>
  <si>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</si>
  <si>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</si>
  <si>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</si>
  <si>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</si>
  <si>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</si>
  <si>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</si>
  <si>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</si>
  <si>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</si>
  <si>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</si>
  <si>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</si>
  <si>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</si>
  <si>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</si>
  <si>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</si>
  <si>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</si>
  <si>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</si>
  <si>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</si>
  <si>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</si>
  <si>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</si>
  <si>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</si>
  <si>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</si>
  <si>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</si>
  <si>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</si>
  <si>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</si>
  <si>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</si>
  <si>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</si>
  <si>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</si>
  <si>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</si>
  <si>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</si>
  <si>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</si>
  <si>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</si>
  <si>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</si>
  <si>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</si>
  <si>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</si>
  <si>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</si>
  <si>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</si>
  <si>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</si>
  <si>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</si>
  <si>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</si>
  <si>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</si>
  <si>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</si>
  <si>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</si>
  <si>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</si>
  <si>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</si>
  <si>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</si>
  <si>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</si>
  <si>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</si>
  <si>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</si>
  <si>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</si>
  <si>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</si>
  <si>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</si>
  <si>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</si>
  <si>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</si>
  <si>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</si>
  <si>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</si>
  <si>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</si>
  <si>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</si>
  <si>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</si>
  <si>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</si>
  <si>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</si>
  <si>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</si>
  <si>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</si>
  <si>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</si>
  <si>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</si>
  <si>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</si>
  <si>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</si>
  <si>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</si>
  <si>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</si>
  <si>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</si>
  <si>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</si>
  <si>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</si>
  <si>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</si>
  <si>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</si>
  <si>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</si>
  <si>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</si>
  <si>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</si>
  <si>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</si>
  <si>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</si>
  <si>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</si>
  <si>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</si>
  <si>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</si>
  <si>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</si>
  <si>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</si>
  <si>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</si>
  <si>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</si>
  <si>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</si>
  <si>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</si>
  <si>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</si>
  <si>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</si>
  <si>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</si>
  <si>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</si>
  <si>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</si>
  <si>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</si>
  <si>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</si>
  <si>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</si>
  <si>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</si>
  <si>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</si>
  <si>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</si>
  <si>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</si>
  <si>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</si>
  <si>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</si>
  <si>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</si>
  <si>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</si>
  <si>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</si>
  <si>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</si>
  <si>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</si>
  <si>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</si>
  <si>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</si>
  <si>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</si>
  <si>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</si>
  <si>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</si>
  <si>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</si>
  <si>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</si>
  <si>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</si>
  <si>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</si>
  <si>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</si>
  <si>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</si>
  <si>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</si>
  <si>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</si>
  <si>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</si>
  <si>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</si>
  <si>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</si>
  <si>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</si>
  <si>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</si>
  <si>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</si>
  <si>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</si>
  <si>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</si>
  <si>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</si>
  <si>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</si>
  <si>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</si>
  <si>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</si>
  <si>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</si>
  <si>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</si>
  <si>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</si>
  <si>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</si>
  <si>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</si>
  <si>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</si>
  <si>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</si>
  <si>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</si>
  <si>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</si>
  <si>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</si>
  <si>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</si>
  <si>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</si>
  <si>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</si>
  <si>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</si>
  <si>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</si>
  <si>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</si>
  <si>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</si>
  <si>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</si>
  <si>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</si>
  <si>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</si>
  <si>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</si>
  <si>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</si>
  <si>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</si>
  <si>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</si>
  <si>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</si>
  <si>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</si>
  <si>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</si>
  <si>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</si>
  <si>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</si>
  <si>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</si>
  <si>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</si>
  <si>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</si>
  <si>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</si>
  <si>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</si>
  <si>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</si>
  <si>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</si>
  <si>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</si>
  <si>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</si>
  <si>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</si>
  <si>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</si>
  <si>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</si>
  <si>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</si>
  <si>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</si>
  <si>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</si>
  <si>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</si>
  <si>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</si>
  <si>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</si>
  <si>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</si>
  <si>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</si>
  <si>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</si>
  <si>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</si>
  <si>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</si>
  <si>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</si>
  <si>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</si>
  <si>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</si>
  <si>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</si>
  <si>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</si>
  <si>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</si>
  <si>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</si>
  <si>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</si>
  <si>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</si>
  <si>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</si>
  <si>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</si>
  <si>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</si>
  <si>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</si>
  <si>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</si>
  <si>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</si>
  <si>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</si>
  <si>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</si>
  <si>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</si>
  <si>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</si>
  <si>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</si>
  <si>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</si>
  <si>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</si>
  <si>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</si>
  <si>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</si>
  <si>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</si>
  <si>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</si>
  <si>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</si>
  <si>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</si>
  <si>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</si>
  <si>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</si>
  <si>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</si>
  <si>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</si>
  <si>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</si>
  <si>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</si>
  <si>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</si>
  <si>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</si>
  <si>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</si>
  <si>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</si>
  <si>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</si>
  <si>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</si>
  <si>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</si>
  <si>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</si>
  <si>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</si>
  <si>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</si>
  <si>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</si>
  <si>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</si>
  <si>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</si>
  <si>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</si>
  <si>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</si>
  <si>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</si>
  <si>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</si>
  <si>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</si>
  <si>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</si>
  <si>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</si>
  <si>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</si>
  <si>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</si>
  <si>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</si>
  <si>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</si>
  <si>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</si>
  <si>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</si>
  <si>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</si>
  <si>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</si>
  <si>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</si>
  <si>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</si>
  <si>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</si>
  <si>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</si>
  <si>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</si>
  <si>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</si>
  <si>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</si>
  <si>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</si>
  <si>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</si>
  <si>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</si>
  <si>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</si>
  <si>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</si>
  <si>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</si>
  <si>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</si>
  <si>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</si>
  <si>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</si>
  <si>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</si>
  <si>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</si>
  <si>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</si>
  <si>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</si>
  <si>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</si>
  <si>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</si>
  <si>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</si>
  <si>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</si>
  <si>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</si>
  <si>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</si>
  <si>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</si>
  <si>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</si>
  <si>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</si>
  <si>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</si>
  <si>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</si>
  <si>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</si>
  <si>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</si>
  <si>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</si>
  <si>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</si>
  <si>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</si>
  <si>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</si>
  <si>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</si>
  <si>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</si>
  <si>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</si>
  <si>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</si>
  <si>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</si>
  <si>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</si>
  <si>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</si>
  <si>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</si>
  <si>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</si>
  <si>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</si>
  <si>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</si>
  <si>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</si>
  <si>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</si>
  <si>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</si>
  <si>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</si>
  <si>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</si>
  <si>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</si>
  <si>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</si>
  <si>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</si>
  <si>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</si>
  <si>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</si>
  <si>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</si>
  <si>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</si>
  <si>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</si>
  <si>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</si>
  <si>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</si>
  <si>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</si>
  <si>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</si>
  <si>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</si>
  <si>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</si>
  <si>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</si>
  <si>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</si>
  <si>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</si>
  <si>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</si>
  <si>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</si>
  <si>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</si>
  <si>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</si>
  <si>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</si>
  <si>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</si>
  <si>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</si>
  <si>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</si>
  <si>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</si>
  <si>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</si>
  <si>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</si>
  <si>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</si>
  <si>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</si>
  <si>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</si>
  <si>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</si>
  <si>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</si>
  <si>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</si>
  <si>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</si>
  <si>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</si>
  <si>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</si>
  <si>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</si>
  <si>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</si>
  <si>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</si>
  <si>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</si>
  <si>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</si>
  <si>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</si>
  <si>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</si>
  <si>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</si>
  <si>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</si>
  <si>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</si>
  <si>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</si>
  <si>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</si>
  <si>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</si>
  <si>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</si>
  <si>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</si>
  <si>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</si>
  <si>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</si>
  <si>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</si>
  <si>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</si>
  <si>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</si>
  <si>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</si>
  <si>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</si>
  <si>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</si>
  <si>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</si>
  <si>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</si>
  <si>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</si>
  <si>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</si>
  <si>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</si>
  <si>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</si>
  <si>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</si>
  <si>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</si>
  <si>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</si>
  <si>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</si>
  <si>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</si>
  <si>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</si>
  <si>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</si>
  <si>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</si>
  <si>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</si>
  <si>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</si>
  <si>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</si>
  <si>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</si>
  <si>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</si>
  <si>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</si>
  <si>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</si>
  <si>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</si>
  <si>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</si>
  <si>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</si>
  <si>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</si>
  <si>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3.24.1</t>
  </si>
  <si>
    <t>Non Standard</t>
  </si>
  <si>
    <t>Fiscal</t>
  </si>
  <si>
    <t>Incentive Reference #5201</t>
  </si>
  <si>
    <t>Non Standard clause</t>
  </si>
  <si>
    <t>#5201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</si>
</sst>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3">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theme="0"/>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1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9" borderId="36"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51" borderId="9" xfId="0" applyFont="1" applyFill="1" applyBorder="1" applyAlignment="1" applyProtection="1">
      <alignment horizontal="center" vertical="center"/>
    </xf>
    <xf numFmtId="0" fontId="86" fillId="51" borderId="8"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9" xfId="0" applyFill="1" applyBorder="1" applyAlignment="1">
      <alignment vertical="center" wrapText="1"/>
    </xf>
    <xf numFmtId="0" fontId="0" fillId="10" borderId="20" xfId="0" applyFill="1" applyBorder="1" applyAlignment="1">
      <alignment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52"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95" fillId="50" borderId="14" xfId="0"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xf numFmtId="181" fontId="86" fillId="41" borderId="56" xfId="0" applyNumberFormat="1" applyFont="1" applyFill="1" applyBorder="1" applyAlignment="1" applyProtection="1">
      <alignment horizontal="center" vertical="center"/>
    </xf>
    <xf numFmtId="181" fontId="86" fillId="41" borderId="57" xfId="0" applyNumberFormat="1" applyFont="1" applyFill="1" applyBorder="1" applyAlignment="1" applyProtection="1">
      <alignment horizontal="center" vertic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41">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337</xdr:row>
      <xdr:rowOff>142875</xdr:rowOff>
    </xdr:from>
    <xdr:to>
      <xdr:col>8</xdr:col>
      <xdr:colOff>1631155</xdr:colOff>
      <xdr:row>337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337</xdr:row>
      <xdr:rowOff>107157</xdr:rowOff>
    </xdr:from>
    <xdr:to>
      <xdr:col>15</xdr:col>
      <xdr:colOff>0</xdr:colOff>
      <xdr:row>337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337</xdr:row>
      <xdr:rowOff>178595</xdr:rowOff>
    </xdr:from>
    <xdr:to>
      <xdr:col>3</xdr:col>
      <xdr:colOff>1547811</xdr:colOff>
      <xdr:row>337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94" t="s">
        <v>731</v>
      </c>
      <c r="B1" s="1694"/>
      <c r="C1" s="1694"/>
      <c r="D1" s="1694"/>
      <c r="E1" s="1694"/>
    </row>
    <row r="2" spans="1:5" x14ac:dyDescent="0.25">
      <c r="A2" s="1694" t="s">
        <v>732</v>
      </c>
      <c r="B2" s="1694"/>
      <c r="C2" s="1694"/>
      <c r="D2" s="1694"/>
      <c r="E2" s="1694"/>
    </row>
    <row r="3" spans="1:5" x14ac:dyDescent="0.25">
      <c r="A3" s="71"/>
    </row>
    <row r="4" spans="1:5" ht="78" customHeight="1" x14ac:dyDescent="0.25">
      <c r="A4" s="1715" t="s">
        <v>733</v>
      </c>
      <c r="B4" s="1715"/>
      <c r="C4" s="1715"/>
      <c r="D4" s="1715"/>
      <c r="E4" s="1715"/>
    </row>
    <row r="5" spans="1:5" x14ac:dyDescent="0.25">
      <c r="A5" s="71"/>
    </row>
    <row r="6" spans="1:5" ht="31.5" customHeight="1" x14ac:dyDescent="0.25">
      <c r="A6" s="1714" t="s">
        <v>734</v>
      </c>
      <c r="B6" s="1714"/>
      <c r="C6" s="1714"/>
      <c r="D6" s="1714"/>
      <c r="E6" s="1714"/>
    </row>
    <row r="7" spans="1:5" ht="15.75" thickBot="1" x14ac:dyDescent="0.3">
      <c r="A7" s="72"/>
    </row>
    <row r="8" spans="1:5" ht="15" customHeight="1" x14ac:dyDescent="0.25">
      <c r="A8" s="1708" t="s">
        <v>735</v>
      </c>
      <c r="B8" s="1709"/>
      <c r="C8" s="1709"/>
      <c r="D8" s="1709"/>
      <c r="E8" s="1710"/>
    </row>
    <row r="9" spans="1:5" ht="15" customHeight="1" thickBot="1" x14ac:dyDescent="0.3">
      <c r="A9" s="1711" t="s">
        <v>736</v>
      </c>
      <c r="B9" s="1712"/>
      <c r="C9" s="1712"/>
      <c r="D9" s="1712"/>
      <c r="E9" s="1713"/>
    </row>
    <row r="10" spans="1:5" x14ac:dyDescent="0.25">
      <c r="A10" s="73"/>
      <c r="B10" s="1705"/>
      <c r="C10" s="1705"/>
      <c r="D10" s="77"/>
    </row>
    <row r="11" spans="1:5" ht="31.5" customHeight="1" thickBot="1" x14ac:dyDescent="0.3">
      <c r="A11" s="75" t="s">
        <v>737</v>
      </c>
      <c r="B11" s="1706" t="s">
        <v>738</v>
      </c>
      <c r="C11" s="1706"/>
      <c r="D11" s="77">
        <f>Welcome!$D$4</f>
        <v>0</v>
      </c>
    </row>
    <row r="12" spans="1:5" ht="15.75" thickBot="1" x14ac:dyDescent="0.3">
      <c r="A12" s="75" t="s">
        <v>739</v>
      </c>
      <c r="B12" s="1707">
        <f>'MDA Worksheet'!$R$18</f>
        <v>0</v>
      </c>
      <c r="C12" s="170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04"/>
      <c r="C17" s="1704"/>
      <c r="D17" s="1704"/>
      <c r="E17" s="1704"/>
    </row>
    <row r="18" spans="1:5" x14ac:dyDescent="0.25">
      <c r="A18" s="73"/>
      <c r="B18" s="116"/>
      <c r="C18" s="73"/>
      <c r="D18" s="116"/>
    </row>
    <row r="19" spans="1:5" ht="15.75" thickBot="1" x14ac:dyDescent="0.3">
      <c r="A19" s="75" t="s">
        <v>808</v>
      </c>
      <c r="B19" s="1704" t="str">
        <f>Welcome!$D$10</f>
        <v>Please Select</v>
      </c>
      <c r="C19" s="1704"/>
      <c r="D19" s="1704"/>
      <c r="E19" s="170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SUM(Incentives!O334-Incentives!O187-Incentives!O198)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716" t="s">
        <v>1147</v>
      </c>
      <c r="B42" s="1717"/>
      <c r="C42" s="1717"/>
      <c r="D42" s="1717"/>
      <c r="E42" s="1718"/>
    </row>
    <row r="43" spans="1:5" s="663" customFormat="1" x14ac:dyDescent="0.25">
      <c r="A43" s="1725"/>
      <c r="B43" s="1726"/>
      <c r="C43" s="1726"/>
      <c r="D43" s="1726"/>
      <c r="E43" s="1727"/>
    </row>
    <row r="44" spans="1:5" s="663" customFormat="1" ht="15.75" thickBot="1" x14ac:dyDescent="0.3">
      <c r="A44" s="1728"/>
      <c r="B44" s="1729"/>
      <c r="C44" s="1729"/>
      <c r="D44" s="1729"/>
      <c r="E44" s="1730"/>
    </row>
    <row r="45" spans="1:5" s="663" customFormat="1" ht="15.75" thickBot="1" x14ac:dyDescent="0.3">
      <c r="A45" s="669"/>
    </row>
    <row r="46" spans="1:5" s="663" customFormat="1" ht="15.75" thickBot="1" x14ac:dyDescent="0.3">
      <c r="A46" s="1716" t="s">
        <v>1136</v>
      </c>
      <c r="B46" s="1717"/>
      <c r="C46" s="1717"/>
      <c r="D46" s="1717"/>
      <c r="E46" s="1718"/>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719"/>
      <c r="B53" s="1720"/>
      <c r="C53" s="1720"/>
      <c r="D53" s="1720"/>
      <c r="E53" s="1721"/>
    </row>
    <row r="54" spans="1:5" s="663" customFormat="1" ht="15.75" thickBot="1" x14ac:dyDescent="0.3">
      <c r="A54" s="1722"/>
      <c r="B54" s="1723"/>
      <c r="C54" s="1723"/>
      <c r="D54" s="1723"/>
      <c r="E54" s="1724"/>
    </row>
    <row r="55" spans="1:5" ht="15.75" thickBot="1" x14ac:dyDescent="0.3">
      <c r="A55" s="669"/>
      <c r="B55" s="663"/>
      <c r="C55" s="663"/>
      <c r="D55" s="663"/>
      <c r="E55" s="663"/>
    </row>
    <row r="56" spans="1:5" ht="30.75" customHeight="1" thickBot="1" x14ac:dyDescent="0.3">
      <c r="A56" s="1695" t="s">
        <v>747</v>
      </c>
      <c r="B56" s="1696"/>
      <c r="C56" s="1696"/>
      <c r="D56" s="1696"/>
      <c r="E56" s="169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98" t="s">
        <v>759</v>
      </c>
      <c r="B67" s="1699"/>
      <c r="C67" s="1699"/>
      <c r="D67" s="1699"/>
      <c r="E67" s="170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31" t="s">
        <v>1148</v>
      </c>
      <c r="B74" s="1732"/>
      <c r="C74" s="1732"/>
      <c r="D74" s="1732"/>
      <c r="E74" s="1733"/>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701" t="s">
        <v>762</v>
      </c>
      <c r="B78" s="1702"/>
      <c r="C78" s="1702"/>
      <c r="D78" s="1702"/>
      <c r="E78" s="170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01" t="s">
        <v>764</v>
      </c>
      <c r="B83" s="1702"/>
      <c r="C83" s="1702"/>
      <c r="D83" s="1702"/>
      <c r="E83" s="170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40" priority="7">
      <formula>NOT(ISBLANK(C48))</formula>
    </cfRule>
  </conditionalFormatting>
  <conditionalFormatting sqref="E48">
    <cfRule type="expression" dxfId="1239" priority="6">
      <formula>NOT(ISBLANK(E48))</formula>
    </cfRule>
  </conditionalFormatting>
  <conditionalFormatting sqref="E49">
    <cfRule type="expression" dxfId="1238" priority="5">
      <formula>NOT(ISBLANK(E49))</formula>
    </cfRule>
  </conditionalFormatting>
  <conditionalFormatting sqref="E51">
    <cfRule type="expression" dxfId="1237" priority="4">
      <formula>NOT(ISBLANK(E51))</formula>
    </cfRule>
  </conditionalFormatting>
  <conditionalFormatting sqref="C49">
    <cfRule type="expression" dxfId="1236" priority="3">
      <formula>NOT(ISBLANK(C49))</formula>
    </cfRule>
  </conditionalFormatting>
  <conditionalFormatting sqref="C50">
    <cfRule type="expression" dxfId="1235" priority="2">
      <formula>NOT(ISBLANK(C50))</formula>
    </cfRule>
  </conditionalFormatting>
  <conditionalFormatting sqref="C51">
    <cfRule type="expression" dxfId="123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34" t="s">
        <v>1131</v>
      </c>
      <c r="D3" s="1735"/>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1772</v>
      </c>
      <c r="D8" s="1478"/>
      <c r="E8" s="141"/>
      <c r="F8" s="1114" t="s">
        <v>1773</v>
      </c>
      <c r="G8" s="1751" t="s">
        <v>1990</v>
      </c>
      <c r="H8" s="1751"/>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1774</v>
      </c>
      <c r="D12" s="1479"/>
      <c r="E12" s="141"/>
      <c r="F12" s="1115" t="s">
        <v>1775</v>
      </c>
      <c r="G12" s="1752"/>
      <c r="H12" s="1752"/>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45" t="s">
        <v>1161</v>
      </c>
      <c r="C33" s="1746"/>
      <c r="D33" s="1746"/>
      <c r="E33" s="1746"/>
      <c r="F33" s="1746"/>
      <c r="G33" s="1746"/>
      <c r="H33" s="1746"/>
      <c r="I33" s="1747"/>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36"/>
      <c r="C34" s="1737"/>
      <c r="D34" s="1737"/>
      <c r="E34" s="1737"/>
      <c r="F34" s="1737"/>
      <c r="G34" s="1737"/>
      <c r="H34" s="1737"/>
      <c r="I34" s="1738"/>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39"/>
      <c r="C35" s="1740"/>
      <c r="D35" s="1740"/>
      <c r="E35" s="1740"/>
      <c r="F35" s="1740"/>
      <c r="G35" s="1740"/>
      <c r="H35" s="1740"/>
      <c r="I35" s="1741"/>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39"/>
      <c r="C36" s="1740"/>
      <c r="D36" s="1740"/>
      <c r="E36" s="1740"/>
      <c r="F36" s="1740"/>
      <c r="G36" s="1740"/>
      <c r="H36" s="1740"/>
      <c r="I36" s="1741"/>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39"/>
      <c r="C37" s="1740"/>
      <c r="D37" s="1740"/>
      <c r="E37" s="1740"/>
      <c r="F37" s="1740"/>
      <c r="G37" s="1740"/>
      <c r="H37" s="1740"/>
      <c r="I37" s="1741"/>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39"/>
      <c r="C38" s="1740"/>
      <c r="D38" s="1740"/>
      <c r="E38" s="1740"/>
      <c r="F38" s="1740"/>
      <c r="G38" s="1740"/>
      <c r="H38" s="1740"/>
      <c r="I38" s="1741"/>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42"/>
      <c r="C39" s="1743"/>
      <c r="D39" s="1743"/>
      <c r="E39" s="1743"/>
      <c r="F39" s="1743"/>
      <c r="G39" s="1743"/>
      <c r="H39" s="1743"/>
      <c r="I39" s="1744"/>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48" t="s">
        <v>1096</v>
      </c>
      <c r="C41" s="1749"/>
      <c r="D41" s="1749"/>
      <c r="E41" s="1749"/>
      <c r="F41" s="1749"/>
      <c r="G41" s="1749"/>
      <c r="H41" s="1749"/>
      <c r="I41" s="1750"/>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36"/>
      <c r="C42" s="1737"/>
      <c r="D42" s="1737"/>
      <c r="E42" s="1737"/>
      <c r="F42" s="1737"/>
      <c r="G42" s="1737"/>
      <c r="H42" s="1737"/>
      <c r="I42" s="1738"/>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39"/>
      <c r="C43" s="1740"/>
      <c r="D43" s="1740"/>
      <c r="E43" s="1740"/>
      <c r="F43" s="1740"/>
      <c r="G43" s="1740"/>
      <c r="H43" s="1740"/>
      <c r="I43" s="1741"/>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39"/>
      <c r="C44" s="1740"/>
      <c r="D44" s="1740"/>
      <c r="E44" s="1740"/>
      <c r="F44" s="1740"/>
      <c r="G44" s="1740"/>
      <c r="H44" s="1740"/>
      <c r="I44" s="1741"/>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39"/>
      <c r="C45" s="1740"/>
      <c r="D45" s="1740"/>
      <c r="E45" s="1740"/>
      <c r="F45" s="1740"/>
      <c r="G45" s="1740"/>
      <c r="H45" s="1740"/>
      <c r="I45" s="1741"/>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39"/>
      <c r="C46" s="1740"/>
      <c r="D46" s="1740"/>
      <c r="E46" s="1740"/>
      <c r="F46" s="1740"/>
      <c r="G46" s="1740"/>
      <c r="H46" s="1740"/>
      <c r="I46" s="1741"/>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42"/>
      <c r="C47" s="1743"/>
      <c r="D47" s="1743"/>
      <c r="E47" s="1743"/>
      <c r="F47" s="1743"/>
      <c r="G47" s="1743"/>
      <c r="H47" s="1743"/>
      <c r="I47" s="1744"/>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3" priority="4">
      <formula>$D$20="No"</formula>
    </cfRule>
  </conditionalFormatting>
  <conditionalFormatting sqref="G12:H12">
    <cfRule type="expression" dxfId="1232" priority="1">
      <formula>$G$8="90 days"</formula>
    </cfRule>
    <cfRule type="expression" dxfId="1231"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59" t="s">
        <v>870</v>
      </c>
      <c r="G2" s="1759"/>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53" t="s">
        <v>2084</v>
      </c>
      <c r="AT4" s="1753"/>
      <c r="AU4" s="1753"/>
      <c r="AV4" s="1522" t="s">
        <v>2085</v>
      </c>
      <c r="AW4" s="134"/>
      <c r="AX4" s="134"/>
      <c r="AY4" s="134"/>
      <c r="AZ4" s="134"/>
      <c r="BA4" s="1754" t="s">
        <v>2086</v>
      </c>
      <c r="BB4" s="1755"/>
      <c r="BC4" s="134"/>
      <c r="BD4" s="134"/>
    </row>
    <row r="5" spans="1:56" ht="49.5" customHeight="1" thickBot="1" x14ac:dyDescent="0.3">
      <c r="E5" s="1421"/>
      <c r="F5" s="589" t="s">
        <v>991</v>
      </c>
      <c r="G5" s="747" t="s">
        <v>1178</v>
      </c>
      <c r="H5" s="1092" t="s">
        <v>1182</v>
      </c>
      <c r="I5" s="747" t="s">
        <v>1262</v>
      </c>
      <c r="J5" s="550" t="s">
        <v>1263</v>
      </c>
      <c r="K5" s="709" t="s">
        <v>868</v>
      </c>
      <c r="L5" s="551" t="s">
        <v>1183</v>
      </c>
      <c r="M5" s="551" t="s">
        <v>1190</v>
      </c>
      <c r="N5" s="551" t="s">
        <v>866</v>
      </c>
      <c r="O5" s="552" t="s">
        <v>1184</v>
      </c>
      <c r="P5" s="631" t="s">
        <v>1185</v>
      </c>
      <c r="Q5" s="632" t="s">
        <v>1186</v>
      </c>
      <c r="R5" s="1093" t="s">
        <v>1187</v>
      </c>
      <c r="S5" s="1093" t="s">
        <v>204</v>
      </c>
      <c r="T5" s="710" t="s">
        <v>1188</v>
      </c>
      <c r="U5" s="1016" t="s">
        <v>1189</v>
      </c>
      <c r="V5" s="111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1" t="s">
        <v>1094</v>
      </c>
      <c r="H17" s="781"/>
      <c r="I17" s="1760">
        <f>SUMIFS($I$6:$I$15,$W6:$W15,"&lt;&gt;End")</f>
        <v>0</v>
      </c>
      <c r="J17" s="1762" t="s">
        <v>1293</v>
      </c>
      <c r="K17" s="1764">
        <f>SUMIFS($K$6:$K$15,$W6:$W15,"&lt;&gt;End")</f>
        <v>0</v>
      </c>
      <c r="L17" s="1762" t="s">
        <v>1294</v>
      </c>
      <c r="M17" s="624"/>
      <c r="N17" s="624"/>
      <c r="O17" s="624"/>
      <c r="P17" s="1760">
        <f>SUMIFS($P$6:$P$15,$F$6:$F$15,"&gt;0",$W6:$W15,"&lt;&gt;End")</f>
        <v>0</v>
      </c>
      <c r="Q17" s="1756" t="s">
        <v>1295</v>
      </c>
      <c r="R17" s="1758"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1"/>
      <c r="H18" s="781"/>
      <c r="I18" s="1761"/>
      <c r="J18" s="1763"/>
      <c r="K18" s="1765"/>
      <c r="L18" s="1763"/>
      <c r="M18" s="624"/>
      <c r="N18" s="624"/>
      <c r="O18" s="624"/>
      <c r="P18" s="1761"/>
      <c r="Q18" s="1757"/>
      <c r="R18" s="1758"/>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30" priority="147">
      <formula>$X6="Zip Code Not Serviced"</formula>
    </cfRule>
  </conditionalFormatting>
  <conditionalFormatting sqref="L3:N3">
    <cfRule type="expression" dxfId="1229" priority="143">
      <formula>$AN$4&gt;0</formula>
    </cfRule>
  </conditionalFormatting>
  <conditionalFormatting sqref="T6">
    <cfRule type="expression" dxfId="1228" priority="137">
      <formula>AND($F$6&lt;&gt;"",$G$6&lt;&gt;"",$U$6&lt;&gt;"Prospect")</formula>
    </cfRule>
    <cfRule type="expression" dxfId="1227" priority="138">
      <formula>AND($F$6&lt;&gt;"",$G$6&lt;&gt;"",$U$6="Prospect",$T$6="")</formula>
    </cfRule>
  </conditionalFormatting>
  <conditionalFormatting sqref="T6:W15">
    <cfRule type="expression" dxfId="1226" priority="139">
      <formula>$F6=""</formula>
    </cfRule>
    <cfRule type="notContainsBlanks" dxfId="1225" priority="140">
      <formula>LEN(TRIM(T6))&gt;0</formula>
    </cfRule>
  </conditionalFormatting>
  <conditionalFormatting sqref="P6:W15 M6:N15">
    <cfRule type="expression" dxfId="1224" priority="50">
      <formula>$AN6="FLAG"</formula>
    </cfRule>
  </conditionalFormatting>
  <conditionalFormatting sqref="P6:S15">
    <cfRule type="expression" dxfId="1223" priority="154">
      <formula>$F6=""</formula>
    </cfRule>
    <cfRule type="notContainsBlanks" dxfId="1222" priority="155">
      <formula>LEN(TRIM(P6))&gt;0</formula>
    </cfRule>
  </conditionalFormatting>
  <conditionalFormatting sqref="K6:K14">
    <cfRule type="expression" dxfId="1221" priority="141">
      <formula>$AN6="FLAG"</formula>
    </cfRule>
  </conditionalFormatting>
  <conditionalFormatting sqref="U14">
    <cfRule type="expression" dxfId="1220" priority="128">
      <formula>AND($AP14="Prospect",$BE$14&lt;&gt;"Yes")</formula>
    </cfRule>
  </conditionalFormatting>
  <conditionalFormatting sqref="U13">
    <cfRule type="expression" dxfId="1219" priority="127">
      <formula>AND($AP13="Prospect",$BE$13&lt;&gt;"Yes")</formula>
    </cfRule>
  </conditionalFormatting>
  <conditionalFormatting sqref="U15">
    <cfRule type="expression" dxfId="1218" priority="126">
      <formula>AND($AP15="Prospect",$BE$15&lt;&gt;"Yes")</formula>
    </cfRule>
  </conditionalFormatting>
  <conditionalFormatting sqref="U12">
    <cfRule type="expression" dxfId="1217" priority="125">
      <formula>AND($AP12="Prospect",$BE$12&lt;&gt;"Yes")</formula>
    </cfRule>
  </conditionalFormatting>
  <conditionalFormatting sqref="U11">
    <cfRule type="expression" dxfId="1216" priority="124">
      <formula>AND($AP11="Prospect",$BE$11&lt;&gt;"Yes")</formula>
    </cfRule>
  </conditionalFormatting>
  <conditionalFormatting sqref="U10">
    <cfRule type="expression" dxfId="1215" priority="123">
      <formula>AND($AP10="Prospect",$BE$10&lt;&gt;"Yes")</formula>
    </cfRule>
  </conditionalFormatting>
  <conditionalFormatting sqref="U9">
    <cfRule type="expression" dxfId="1214" priority="122">
      <formula>AND($AP9="Prospect",$BE$9&lt;&gt;"Yes")</formula>
    </cfRule>
  </conditionalFormatting>
  <conditionalFormatting sqref="U8">
    <cfRule type="expression" dxfId="1213" priority="121">
      <formula>AND($AP8="Prospect",$BE$8&lt;&gt;"Yes")</formula>
    </cfRule>
  </conditionalFormatting>
  <conditionalFormatting sqref="U7">
    <cfRule type="expression" dxfId="1212" priority="120">
      <formula>AND($AP7="Prospect",$BE$7&lt;&gt;"Yes")</formula>
    </cfRule>
  </conditionalFormatting>
  <conditionalFormatting sqref="U6">
    <cfRule type="expression" dxfId="1211" priority="119">
      <formula>AND($AP6="Prospect",$BE$6&lt;&gt;"Yes")</formula>
    </cfRule>
  </conditionalFormatting>
  <conditionalFormatting sqref="K6:O14 L15:O15">
    <cfRule type="expression" dxfId="1210" priority="118">
      <formula>P6&lt;&gt;""</formula>
    </cfRule>
  </conditionalFormatting>
  <conditionalFormatting sqref="K6:O14 L15:O15">
    <cfRule type="expression" dxfId="1209" priority="117">
      <formula>$AN6="FLAG"</formula>
    </cfRule>
  </conditionalFormatting>
  <conditionalFormatting sqref="O6:O15">
    <cfRule type="expression" dxfId="1208" priority="116">
      <formula>T6&lt;&gt;""</formula>
    </cfRule>
  </conditionalFormatting>
  <conditionalFormatting sqref="O6:O15">
    <cfRule type="expression" dxfId="1207" priority="115">
      <formula>$AN6="FLAG"</formula>
    </cfRule>
  </conditionalFormatting>
  <conditionalFormatting sqref="G6:H15">
    <cfRule type="notContainsBlanks" dxfId="1206" priority="130">
      <formula>LEN(TRIM(G6))&gt;0</formula>
    </cfRule>
    <cfRule type="expression" dxfId="1205" priority="131">
      <formula>$F6&lt;&gt;""</formula>
    </cfRule>
  </conditionalFormatting>
  <conditionalFormatting sqref="R6:S15">
    <cfRule type="expression" dxfId="1204" priority="530">
      <formula>AND($K6&lt;&gt;"Enter Spend&gt;&gt;&gt;",$U6&lt;&gt;"Prospect")</formula>
    </cfRule>
  </conditionalFormatting>
  <conditionalFormatting sqref="K15">
    <cfRule type="expression" dxfId="1203" priority="101">
      <formula>$AN15="FLAG"</formula>
    </cfRule>
  </conditionalFormatting>
  <conditionalFormatting sqref="K15">
    <cfRule type="expression" dxfId="1202" priority="100">
      <formula>P15&lt;&gt;""</formula>
    </cfRule>
  </conditionalFormatting>
  <conditionalFormatting sqref="K15">
    <cfRule type="expression" dxfId="1201" priority="99">
      <formula>$AN15="FLAG"</formula>
    </cfRule>
  </conditionalFormatting>
  <conditionalFormatting sqref="T7">
    <cfRule type="expression" dxfId="1200" priority="97">
      <formula>AND($F$7&lt;&gt;"",$G$7&lt;&gt;"",$U$7&lt;&gt;"Prospect")</formula>
    </cfRule>
    <cfRule type="expression" dxfId="1199" priority="98">
      <formula>AND($F$7&lt;&gt;"",$G$7&lt;&gt;"",$U$7="Prospect",$T$7="")</formula>
    </cfRule>
  </conditionalFormatting>
  <conditionalFormatting sqref="T8">
    <cfRule type="expression" dxfId="1198" priority="95">
      <formula>AND($F$8&lt;&gt;"",$G$8&lt;&gt;"",$U$8&lt;&gt;"Prospect")</formula>
    </cfRule>
    <cfRule type="expression" dxfId="1197" priority="96">
      <formula>AND($F$8&lt;&gt;"",$G$8&lt;&gt;"",$U$8="Prospect",$T$8="")</formula>
    </cfRule>
  </conditionalFormatting>
  <conditionalFormatting sqref="T9">
    <cfRule type="expression" dxfId="1196" priority="93">
      <formula>AND($F$9&lt;&gt;"",$G$9&lt;&gt;"",$U$9&lt;&gt;"Prospect")</formula>
    </cfRule>
    <cfRule type="expression" dxfId="1195" priority="94">
      <formula>AND($F$9&lt;&gt;"",$G$9&lt;&gt;"",$U$9="Prospect",$T$9="")</formula>
    </cfRule>
  </conditionalFormatting>
  <conditionalFormatting sqref="T10">
    <cfRule type="expression" dxfId="1194" priority="91">
      <formula>AND($F$10&lt;&gt;"",$G$10&lt;&gt;"",$U$10&lt;&gt;"Prospect")</formula>
    </cfRule>
    <cfRule type="expression" dxfId="1193" priority="92">
      <formula>AND($F$10&lt;&gt;"",$G$10&lt;&gt;"",$U$10="Prospect",$T$10="")</formula>
    </cfRule>
  </conditionalFormatting>
  <conditionalFormatting sqref="T11">
    <cfRule type="expression" dxfId="1192" priority="89">
      <formula>AND($F$11&lt;&gt;"",$G$11&lt;&gt;"",$U$11&lt;&gt;"Prospect")</formula>
    </cfRule>
    <cfRule type="expression" dxfId="1191" priority="90">
      <formula>AND($F$11&lt;&gt;"",$G$11&lt;&gt;"",$U$11="Prospect",$T$11="")</formula>
    </cfRule>
  </conditionalFormatting>
  <conditionalFormatting sqref="T12">
    <cfRule type="expression" dxfId="1190" priority="87">
      <formula>AND($F$12&lt;&gt;"",$G$12&lt;&gt;"",$U$12&lt;&gt;"Prospect")</formula>
    </cfRule>
    <cfRule type="expression" dxfId="1189" priority="88">
      <formula>AND($F$12&lt;&gt;"",$G$12&lt;&gt;"",$U$12="Prospect",$T$12="")</formula>
    </cfRule>
  </conditionalFormatting>
  <conditionalFormatting sqref="T13">
    <cfRule type="expression" dxfId="1188" priority="85">
      <formula>AND($F$13&lt;&gt;"",$G$13&lt;&gt;"",$U$13&lt;&gt;"Prospect")</formula>
    </cfRule>
    <cfRule type="expression" dxfId="1187" priority="86">
      <formula>AND($F$13&lt;&gt;"",$G$13&lt;&gt;"",$U$13="Prospect",$T$13="")</formula>
    </cfRule>
  </conditionalFormatting>
  <conditionalFormatting sqref="T14">
    <cfRule type="expression" dxfId="1186" priority="83">
      <formula>AND($F$14&lt;&gt;"",$G$14&lt;&gt;"",$U$14&lt;&gt;"Prospect")</formula>
    </cfRule>
    <cfRule type="expression" dxfId="1185" priority="84">
      <formula>AND($F$14&lt;&gt;"",$G$14&lt;&gt;"",$U$14="Prospect",$T$14="")</formula>
    </cfRule>
  </conditionalFormatting>
  <conditionalFormatting sqref="T15">
    <cfRule type="expression" dxfId="1184" priority="81">
      <formula>AND($F$15&lt;&gt;"",$G$15&lt;&gt;"",$U$15&lt;&gt;"Prospect")</formula>
    </cfRule>
    <cfRule type="expression" dxfId="1183" priority="82">
      <formula>AND($F$15&lt;&gt;"",$G$15&lt;&gt;"",$U$15="Prospect",$T$15="")</formula>
    </cfRule>
  </conditionalFormatting>
  <conditionalFormatting sqref="P6:T15">
    <cfRule type="expression" dxfId="1182" priority="29">
      <formula>$W6="End"</formula>
    </cfRule>
  </conditionalFormatting>
  <conditionalFormatting sqref="R6:S6">
    <cfRule type="expression" dxfId="1181" priority="529">
      <formula>AND($AP6="Existing",$BE$6&lt;&gt;"Yes")</formula>
    </cfRule>
  </conditionalFormatting>
  <conditionalFormatting sqref="R7:S7">
    <cfRule type="expression" dxfId="1180" priority="59">
      <formula>AND($AP7="Existing",$BE$7&lt;&gt;"Yes")</formula>
    </cfRule>
  </conditionalFormatting>
  <conditionalFormatting sqref="R8:S8">
    <cfRule type="expression" dxfId="1179" priority="58">
      <formula>AND($AP8="Existing",$BE$8&lt;&gt;"Yes")</formula>
    </cfRule>
  </conditionalFormatting>
  <conditionalFormatting sqref="R9:S9">
    <cfRule type="expression" dxfId="1178" priority="57">
      <formula>AND($AP9="Existing",$BE$9&lt;&gt;"Yes")</formula>
    </cfRule>
  </conditionalFormatting>
  <conditionalFormatting sqref="R10:S10">
    <cfRule type="expression" dxfId="1177" priority="56">
      <formula>AND($AP10="Existing",$BE$10&lt;&gt;"Yes")</formula>
    </cfRule>
  </conditionalFormatting>
  <conditionalFormatting sqref="R11:S11">
    <cfRule type="expression" dxfId="1176" priority="55">
      <formula>AND($AP11="Existing",$BE$11&lt;&gt;"Yes")</formula>
    </cfRule>
  </conditionalFormatting>
  <conditionalFormatting sqref="R12:S12">
    <cfRule type="expression" dxfId="1175" priority="54">
      <formula>AND($AP12="Existing",$BE$12&lt;&gt;"Yes")</formula>
    </cfRule>
  </conditionalFormatting>
  <conditionalFormatting sqref="R13:S13">
    <cfRule type="expression" dxfId="1174" priority="53">
      <formula>AND($AP13="Existing",$BE$13&lt;&gt;"Yes")</formula>
    </cfRule>
  </conditionalFormatting>
  <conditionalFormatting sqref="R14:S14">
    <cfRule type="expression" dxfId="1173" priority="52">
      <formula>AND($AP14="Existing",$BE$14&lt;&gt;"Yes")</formula>
    </cfRule>
  </conditionalFormatting>
  <conditionalFormatting sqref="R15:S15">
    <cfRule type="expression" dxfId="1172" priority="51">
      <formula>AND($AP15="Existing",$BE$15&lt;&gt;"Yes")</formula>
    </cfRule>
  </conditionalFormatting>
  <conditionalFormatting sqref="Q6">
    <cfRule type="expression" dxfId="1171" priority="68">
      <formula>AND($F$6&lt;&gt;"",$G$6&lt;&gt;"",$U$6&lt;&gt;"Prospect")</formula>
    </cfRule>
    <cfRule type="expression" dxfId="1170" priority="80">
      <formula>AND($F$6&lt;&gt;"",$G$6&lt;&gt;"",$U$6="Prospect",$Q$6="")</formula>
    </cfRule>
  </conditionalFormatting>
  <conditionalFormatting sqref="Q7">
    <cfRule type="expression" dxfId="1169" priority="48">
      <formula>AND($F$7&lt;&gt;"",$G$7&lt;&gt;"",$U$7&lt;&gt;"Prospect")</formula>
    </cfRule>
    <cfRule type="expression" dxfId="1168" priority="49">
      <formula>AND($F$7&lt;&gt;"",$G$7&lt;&gt;"",$U$7="Prospect",$Q$7="")</formula>
    </cfRule>
  </conditionalFormatting>
  <conditionalFormatting sqref="Q8">
    <cfRule type="expression" dxfId="1167" priority="46">
      <formula>AND($F$8&lt;&gt;"",$G$8&lt;&gt;"",$U$8&lt;&gt;"Prospect")</formula>
    </cfRule>
    <cfRule type="expression" dxfId="1166" priority="47">
      <formula>AND($F$8&lt;&gt;"",$G$8&lt;&gt;"",$U$8="Prospect",$Q$8="")</formula>
    </cfRule>
  </conditionalFormatting>
  <conditionalFormatting sqref="Q9">
    <cfRule type="expression" dxfId="1165" priority="44">
      <formula>AND($F$9&lt;&gt;"",$G$9&lt;&gt;"",$U$9&lt;&gt;"Prospect")</formula>
    </cfRule>
    <cfRule type="expression" dxfId="1164" priority="45">
      <formula>AND($F$9&lt;&gt;"",$G$9&lt;&gt;"",$U$9="Prospect",$Q$9="")</formula>
    </cfRule>
  </conditionalFormatting>
  <conditionalFormatting sqref="Q10">
    <cfRule type="expression" dxfId="1163" priority="42">
      <formula>AND($F$10&lt;&gt;"",$G$10&lt;&gt;"",$U$10&lt;&gt;"Prospect")</formula>
    </cfRule>
    <cfRule type="expression" dxfId="1162" priority="43">
      <formula>AND($F$10&lt;&gt;"",$G$10&lt;&gt;"",$U$10="Prospect",$Q$10="")</formula>
    </cfRule>
  </conditionalFormatting>
  <conditionalFormatting sqref="Q11">
    <cfRule type="expression" dxfId="1161" priority="40">
      <formula>AND($F$11&lt;&gt;"",$G$11&lt;&gt;"",$U$11&lt;&gt;"Prospect")</formula>
    </cfRule>
    <cfRule type="expression" dxfId="1160" priority="41">
      <formula>AND($F$11&lt;&gt;"",$G$11&lt;&gt;"",$U$11="Prospect",$Q$11="")</formula>
    </cfRule>
  </conditionalFormatting>
  <conditionalFormatting sqref="Q12">
    <cfRule type="expression" dxfId="1159" priority="38">
      <formula>AND($F$12&lt;&gt;"",$G$12&lt;&gt;"",$U$12&lt;&gt;"Prospect")</formula>
    </cfRule>
    <cfRule type="expression" dxfId="1158" priority="39">
      <formula>AND($F$12&lt;&gt;"",$G$12&lt;&gt;"",$U$12="Prospect",$Q$12="")</formula>
    </cfRule>
  </conditionalFormatting>
  <conditionalFormatting sqref="Q13">
    <cfRule type="expression" dxfId="1157" priority="36">
      <formula>AND($F$13&lt;&gt;"",$G$13&lt;&gt;"",$U$13&lt;&gt;"Prospect")</formula>
    </cfRule>
    <cfRule type="expression" dxfId="1156" priority="37">
      <formula>AND($F$13&lt;&gt;"",$G$13&lt;&gt;"",$U$13="Prospect",$Q$13="")</formula>
    </cfRule>
  </conditionalFormatting>
  <conditionalFormatting sqref="Q14">
    <cfRule type="expression" dxfId="1155" priority="34">
      <formula>AND($F$14&lt;&gt;"",$G$14&lt;&gt;"",$U$14&lt;&gt;"Prospect")</formula>
    </cfRule>
    <cfRule type="expression" dxfId="1154" priority="35">
      <formula>AND($F$14&lt;&gt;"",$G$14&lt;&gt;"",$U$14="Prospect",$Q$14="")</formula>
    </cfRule>
  </conditionalFormatting>
  <conditionalFormatting sqref="Q15">
    <cfRule type="expression" dxfId="1153" priority="32">
      <formula>AND($F$15&lt;&gt;"",$G$15&lt;&gt;"",$U$15&lt;&gt;"Prospect")</formula>
    </cfRule>
    <cfRule type="expression" dxfId="1152" priority="33">
      <formula>AND($F$15&lt;&gt;"",$G$15&lt;&gt;"",$U$15="Prospect",$Q$15="")</formula>
    </cfRule>
  </conditionalFormatting>
  <conditionalFormatting sqref="P7:T7 W7">
    <cfRule type="expression" dxfId="1151" priority="27">
      <formula>AND($BE$7="Yes",$BF$7="End")</formula>
    </cfRule>
  </conditionalFormatting>
  <conditionalFormatting sqref="P8:T8 W8">
    <cfRule type="expression" dxfId="1150" priority="25">
      <formula>AND($BE$8="Yes",$BF$8="End")</formula>
    </cfRule>
  </conditionalFormatting>
  <conditionalFormatting sqref="P9:T9 W9">
    <cfRule type="expression" dxfId="1149" priority="23">
      <formula>AND($BE$9="Yes",$BF$9="End")</formula>
    </cfRule>
  </conditionalFormatting>
  <conditionalFormatting sqref="P10:T10 W10">
    <cfRule type="expression" dxfId="1148" priority="21">
      <formula>AND($BE$10="Yes",$BF$10="End")</formula>
    </cfRule>
  </conditionalFormatting>
  <conditionalFormatting sqref="P11:T11 W11">
    <cfRule type="expression" dxfId="1147" priority="19">
      <formula>AND($BE$11="Yes",$BF$11="End")</formula>
    </cfRule>
  </conditionalFormatting>
  <conditionalFormatting sqref="P12:T12 W12">
    <cfRule type="expression" dxfId="1146" priority="17">
      <formula>AND($BE$12="Yes",$BF$12="End")</formula>
    </cfRule>
  </conditionalFormatting>
  <conditionalFormatting sqref="P13:T13 W13">
    <cfRule type="expression" dxfId="1145" priority="15">
      <formula>AND($BE$13="Yes",$BF$13="End")</formula>
    </cfRule>
  </conditionalFormatting>
  <conditionalFormatting sqref="P14:T14 W14">
    <cfRule type="expression" dxfId="1144" priority="13">
      <formula>AND($BE$14="Yes",$BF$14="End")</formula>
    </cfRule>
  </conditionalFormatting>
  <conditionalFormatting sqref="P15:T15 W15">
    <cfRule type="expression" dxfId="114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69" t="str">
        <f>IFERROR(VLOOKUP($H$4,'Market Geography'!$D:$G,4,FALSE),"Select Market")</f>
        <v>Select Market</v>
      </c>
      <c r="I3" s="1770"/>
      <c r="J3" s="1770"/>
      <c r="K3" s="177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66">
        <f>Welcome!$D$4</f>
        <v>0</v>
      </c>
      <c r="I4" s="1767"/>
      <c r="J4" s="1767"/>
      <c r="K4" s="176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66" t="str">
        <f>'Multi-Customer'!$S$49</f>
        <v>Enter Customer(s)</v>
      </c>
      <c r="I5" s="1767"/>
      <c r="J5" s="1767"/>
      <c r="K5" s="176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66" t="str">
        <f>'Multi-Customer'!$AH$40</f>
        <v>MULTIPLE TYPES</v>
      </c>
      <c r="I6" s="1767"/>
      <c r="J6" s="1767"/>
      <c r="K6" s="176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72" t="s">
        <v>206</v>
      </c>
      <c r="I7" s="1773"/>
      <c r="J7" s="1773"/>
      <c r="K7" s="1774"/>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77" t="s">
        <v>119</v>
      </c>
      <c r="H33" s="1778"/>
      <c r="I33" s="390">
        <f>IF($E$3="MDA",'PIM Ranges'!$AZ$7,'PIM Ranges'!$BL$7)</f>
        <v>8.8999999999999996E-2</v>
      </c>
      <c r="J33" s="134"/>
      <c r="K33" s="1779" t="str">
        <f>IF(COUNTIF($AB$10:$AB$30,"ERROR")&lt;1,"",IF(COUNTIF($AB$10:$AB$30,"ERROR")&lt;2,(COUNTIF($AB$10:$AB$30,"ERROR")&amp;" Margin Missing Above"),(COUNTIF($AB$10:$AB$30,"ERROR")&amp;" Margins Missing Above")))</f>
        <v/>
      </c>
      <c r="L33" s="177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75" t="s">
        <v>488</v>
      </c>
      <c r="H34" s="1776"/>
      <c r="I34" s="386">
        <f>J31</f>
        <v>0</v>
      </c>
      <c r="J34" s="134"/>
      <c r="K34" s="1779" t="str">
        <f>IF(COUNTIFS($L$10:$L$30,"X",$AF$10:$AF$30,"BELOW")&lt;1,"",IF(COUNTIFS($L$10:$L$30,"X",$AF$10:$AF$30,"BELOW")&lt;2,(COUNTIFS($L$10:$L$30,"X",$AF$10:$AF$30,"BELOW")&amp;" Margin Below Minimum"),(COUNTIFS($L$10:$L$30,"X",$AF$10:$AF$30,"BELOW")&amp;" Margins Below Minimum")))</f>
        <v/>
      </c>
      <c r="L34" s="177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75" t="s">
        <v>1249</v>
      </c>
      <c r="H35" s="1776"/>
      <c r="I35" s="1533" t="str">
        <f>IFERROR(I34/G31,"")</f>
        <v/>
      </c>
      <c r="K35" s="1779" t="str">
        <f>IF(COUNTIFS($L$10:$L$30,"X",$AF$10:$AF$30,"ABOVE")&lt;1,"",IF(COUNTIFS($L$10:$L$30,"X",$AF$10:$AF$30,"ABOVE")&lt;2,(COUNTIFS($L$10:$L$30,"X",$AF$10:$AF$30,"ABOVE")&amp;" Margin Above Maximum"),(COUNTIFS($L$10:$L$30,"X",$AF$10:$AF$30,"ABOVE")&amp;" Margins Above Maximum")))</f>
        <v/>
      </c>
      <c r="L35" s="177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75"/>
      <c r="H36" s="1776"/>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75" t="str">
        <f>IFERROR(IF(I35&gt;I33,"","Below Recommended TAGP: "),"")</f>
        <v/>
      </c>
      <c r="H37" s="1776"/>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75"/>
      <c r="H38" s="1776"/>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75" t="s">
        <v>1250</v>
      </c>
      <c r="H39" s="1776"/>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80" t="s">
        <v>489</v>
      </c>
      <c r="H40" s="1781"/>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82"/>
      <c r="G52" s="178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82"/>
      <c r="G53" s="178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82"/>
      <c r="G54" s="178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2" priority="42">
      <formula>$E10="EXCLUDE"</formula>
    </cfRule>
  </conditionalFormatting>
  <conditionalFormatting sqref="O8:O9">
    <cfRule type="expression" dxfId="1131" priority="44">
      <formula>$E$3="CIA"</formula>
    </cfRule>
  </conditionalFormatting>
  <conditionalFormatting sqref="Q8:Q9">
    <cfRule type="expression" dxfId="1130" priority="43">
      <formula>$E$3="CIA"</formula>
    </cfRule>
  </conditionalFormatting>
  <conditionalFormatting sqref="K9:K30">
    <cfRule type="expression" dxfId="1129" priority="33">
      <formula>$E$3="CIA"</formula>
    </cfRule>
  </conditionalFormatting>
  <conditionalFormatting sqref="L10:L30">
    <cfRule type="expression" dxfId="1128" priority="34">
      <formula>$AF10="ABOVE"</formula>
    </cfRule>
  </conditionalFormatting>
  <conditionalFormatting sqref="I35">
    <cfRule type="expression" dxfId="1127" priority="104">
      <formula>$K$36&gt;0</formula>
    </cfRule>
    <cfRule type="expression" dxfId="1126" priority="105">
      <formula>$I$35&lt;$I$33</formula>
    </cfRule>
    <cfRule type="expression" dxfId="1125" priority="106">
      <formula>$I$35&gt;$I$33</formula>
    </cfRule>
  </conditionalFormatting>
  <conditionalFormatting sqref="D10:D30">
    <cfRule type="expression" dxfId="1124" priority="45">
      <formula>$E$3="CIA"</formula>
    </cfRule>
  </conditionalFormatting>
  <conditionalFormatting sqref="K27">
    <cfRule type="expression" dxfId="1123" priority="30">
      <formula>$K$27&lt;0</formula>
    </cfRule>
  </conditionalFormatting>
  <conditionalFormatting sqref="O10:Q30">
    <cfRule type="expression" dxfId="1122" priority="28">
      <formula>$D10&lt;&gt;"%"</formula>
    </cfRule>
  </conditionalFormatting>
  <conditionalFormatting sqref="O10:O30">
    <cfRule type="expression" dxfId="1121" priority="27">
      <formula>$E$3="CIA"</formula>
    </cfRule>
  </conditionalFormatting>
  <conditionalFormatting sqref="Q10:Q30">
    <cfRule type="expression" dxfId="1120" priority="26">
      <formula>$E$3="CIA"</formula>
    </cfRule>
  </conditionalFormatting>
  <conditionalFormatting sqref="S10:S30">
    <cfRule type="expression" dxfId="1119" priority="2">
      <formula>$E$3="CIA"</formula>
    </cfRule>
  </conditionalFormatting>
  <conditionalFormatting sqref="U10:U30">
    <cfRule type="expression" dxfId="111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642"/>
  <sheetViews>
    <sheetView showGridLines="0" topLeftCell="A192" zoomScale="80" zoomScaleNormal="80" workbookViewId="0">
      <selection activeCell="E11" sqref="E11"/>
    </sheetView>
  </sheetViews>
  <sheetFormatPr defaultColWidth="8.85546875" defaultRowHeight="15" x14ac:dyDescent="0.25"/>
  <cols>
    <col min="1" max="1" width="3.5703125" style="821" customWidth="1"/>
    <col min="2" max="2" width="31.42578125" style="821" hidden="1" customWidth="1"/>
    <col min="3" max="3" width="31.42578125" style="1371"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8"/>
      <c r="R1" s="972">
        <v>1</v>
      </c>
    </row>
    <row r="2" spans="1:40" s="822" customFormat="1" ht="22.5" customHeight="1" thickBot="1" x14ac:dyDescent="0.4">
      <c r="A2" s="824"/>
      <c r="B2" s="1427"/>
      <c r="C2" s="1372"/>
      <c r="D2" s="933" t="s">
        <v>1379</v>
      </c>
      <c r="E2" s="824"/>
      <c r="F2" s="173"/>
      <c r="G2" s="174"/>
      <c r="H2" s="824"/>
      <c r="I2" s="1427"/>
      <c r="J2" s="824"/>
      <c r="K2" s="824"/>
      <c r="L2" s="824"/>
      <c r="M2" s="824"/>
      <c r="N2" s="824"/>
      <c r="O2" s="824"/>
      <c r="P2" s="824"/>
      <c r="Q2" s="1096"/>
      <c r="R2" s="972">
        <v>1</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1135</v>
      </c>
      <c r="AJ2" s="259" t="s">
        <v>1481</v>
      </c>
      <c r="AK2" s="259" t="s">
        <v>1134</v>
      </c>
      <c r="AL2" s="259" t="s">
        <v>727</v>
      </c>
      <c r="AM2" s="259" t="s">
        <v>1483</v>
      </c>
      <c r="AN2" s="259" t="s">
        <v>2006</v>
      </c>
    </row>
    <row r="3" spans="1:40" s="822" customFormat="1" ht="18" customHeight="1" thickBot="1" x14ac:dyDescent="0.3">
      <c r="C3" s="1373"/>
      <c r="D3" s="455"/>
      <c r="G3" s="906" t="s">
        <v>1156</v>
      </c>
      <c r="H3" s="1806" t="str">
        <f>Welcome!$D$10</f>
        <v>Please Select</v>
      </c>
      <c r="I3" s="1807"/>
      <c r="J3" s="821"/>
      <c r="K3" s="906" t="s">
        <v>110</v>
      </c>
      <c r="L3" s="1808" t="str">
        <f>IFERROR(VLOOKUP($L$4,'Market Geography'!$D:$G,4,FALSE),"Select Market")</f>
        <v>Select Market</v>
      </c>
      <c r="M3" s="1809"/>
      <c r="N3" s="620"/>
      <c r="O3" s="620"/>
      <c r="P3" s="620"/>
      <c r="Q3" s="179"/>
      <c r="R3" s="971">
        <v>1</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3"/>
      <c r="D4" s="826" t="s">
        <v>1473</v>
      </c>
      <c r="E4" s="1339" t="s">
        <v>646</v>
      </c>
      <c r="G4" s="907" t="s">
        <v>1157</v>
      </c>
      <c r="H4" s="1810" t="str">
        <f>Welcome!$D$16</f>
        <v>Select Term</v>
      </c>
      <c r="I4" s="1811"/>
      <c r="J4" s="181"/>
      <c r="K4" s="907" t="s">
        <v>840</v>
      </c>
      <c r="L4" s="1812">
        <f>Welcome!$D$4</f>
        <v>0</v>
      </c>
      <c r="M4" s="1813"/>
      <c r="N4" s="620"/>
      <c r="O4" s="620"/>
      <c r="P4" s="620"/>
      <c r="Q4" s="179"/>
      <c r="R4" s="971">
        <v>1</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3"/>
      <c r="D5" s="924"/>
      <c r="E5" s="1060"/>
      <c r="G5" s="907" t="s">
        <v>1162</v>
      </c>
      <c r="H5" s="1814">
        <f>'PIM Model'!$G$31</f>
        <v>0</v>
      </c>
      <c r="I5" s="1815"/>
      <c r="J5" s="821"/>
      <c r="K5" s="907" t="s">
        <v>107</v>
      </c>
      <c r="L5" s="1812" t="str">
        <f>'Multi-Customer'!$S$49</f>
        <v>Enter Customer(s)</v>
      </c>
      <c r="M5" s="1813"/>
      <c r="N5" s="620"/>
      <c r="O5" s="620"/>
      <c r="P5" s="620"/>
      <c r="Q5" s="179"/>
      <c r="R5" s="971">
        <v>1</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3"/>
      <c r="D6" s="827" t="s">
        <v>2036</v>
      </c>
      <c r="E6" s="847" t="s">
        <v>648</v>
      </c>
      <c r="G6" s="907" t="s">
        <v>1163</v>
      </c>
      <c r="H6" s="1816">
        <f>'Variable Costs (Back)'!$K$26</f>
        <v>0</v>
      </c>
      <c r="I6" s="1817"/>
      <c r="J6" s="821"/>
      <c r="K6" s="907" t="s">
        <v>1170</v>
      </c>
      <c r="L6" s="1812" t="str">
        <f>'Multi-Customer'!$AH$40</f>
        <v>MULTIPLE TYPES</v>
      </c>
      <c r="M6" s="1813"/>
      <c r="N6" s="620"/>
      <c r="O6" s="620"/>
      <c r="P6" s="620"/>
      <c r="Q6" s="179"/>
      <c r="R6" s="971">
        <v>1</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3"/>
      <c r="D7" s="455"/>
      <c r="E7" s="1061"/>
      <c r="G7" s="908" t="s">
        <v>1164</v>
      </c>
      <c r="H7" s="1818">
        <f>IFERROR('PIM Ranges'!$AW$3,0)</f>
        <v>0</v>
      </c>
      <c r="I7" s="1819"/>
      <c r="J7" s="821"/>
      <c r="K7" s="908" t="s">
        <v>1165</v>
      </c>
      <c r="L7" s="1820" t="s">
        <v>206</v>
      </c>
      <c r="M7" s="1821"/>
      <c r="N7" s="828"/>
      <c r="O7" s="828"/>
      <c r="P7" s="828"/>
      <c r="Q7" s="179"/>
      <c r="R7" s="971">
        <v>1</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3"/>
      <c r="D8" s="1800" t="s">
        <v>1777</v>
      </c>
      <c r="E8" s="1802" t="str">
        <f>IF('Incentive Helper'!E2="Yes",'Incentive Helper'!F2,"")</f>
        <v/>
      </c>
      <c r="F8" s="136"/>
      <c r="I8" s="177"/>
      <c r="J8" s="177"/>
      <c r="K8" s="177"/>
      <c r="L8" s="177"/>
      <c r="M8" s="177"/>
      <c r="N8" s="177"/>
      <c r="O8" s="177"/>
      <c r="P8" s="177"/>
      <c r="Q8" s="182"/>
      <c r="R8" s="971">
        <v>1</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3"/>
      <c r="D9" s="1801"/>
      <c r="E9" s="1803"/>
      <c r="F9" s="136"/>
      <c r="G9" s="909" t="s">
        <v>849</v>
      </c>
      <c r="H9" s="1798">
        <f>IFERROR('PIM Model'!$G$31,0)</f>
        <v>0</v>
      </c>
      <c r="I9" s="1799"/>
      <c r="L9" s="177"/>
      <c r="M9" s="177"/>
      <c r="N9" s="177"/>
      <c r="O9" s="177"/>
      <c r="P9" s="177"/>
      <c r="Q9" s="182"/>
      <c r="R9" s="971">
        <v>1</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3"/>
      <c r="D10" s="1343" t="str">
        <f>IF('Incentive Helper'!E2="Yes",'Incentive Helper'!F2,"")</f>
        <v/>
      </c>
      <c r="F10" s="136"/>
      <c r="G10" s="910" t="s">
        <v>850</v>
      </c>
      <c r="H10" s="1830">
        <f>IFERROR('PIM Model'!$G$32,0)</f>
        <v>0</v>
      </c>
      <c r="I10" s="1831"/>
      <c r="L10" s="177"/>
      <c r="M10" s="177"/>
      <c r="N10" s="177"/>
      <c r="O10" s="177"/>
      <c r="P10" s="177"/>
      <c r="Q10" s="182"/>
      <c r="R10" s="971">
        <v>1</v>
      </c>
      <c r="S10" s="1822" t="s">
        <v>1521</v>
      </c>
      <c r="T10" s="1822"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3"/>
      <c r="D11" s="455"/>
      <c r="F11" s="136"/>
      <c r="I11" s="177"/>
      <c r="J11" s="177"/>
      <c r="K11" s="177"/>
      <c r="L11" s="177"/>
      <c r="M11" s="177"/>
      <c r="N11" s="177"/>
      <c r="O11" s="177"/>
      <c r="P11" s="177"/>
      <c r="Q11" s="182"/>
      <c r="R11" s="971">
        <v>1</v>
      </c>
      <c r="S11" s="1822"/>
      <c r="T11" s="1822"/>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4"/>
      <c r="D12" s="1827" t="s">
        <v>851</v>
      </c>
      <c r="E12" s="1827"/>
      <c r="F12" s="185"/>
      <c r="G12" s="1828"/>
      <c r="H12" s="1829"/>
      <c r="I12" s="186"/>
      <c r="J12" s="1804"/>
      <c r="K12" s="1804"/>
      <c r="L12" s="184"/>
      <c r="M12" s="184"/>
      <c r="N12" s="184"/>
      <c r="O12" s="1783" t="str">
        <f>IF(COUNTIF($K$19:$K$23,"&gt;.03")&gt;0,"***Warning:You have entered an Rate % of Sales above the recommended 3%***","")</f>
        <v/>
      </c>
      <c r="P12" s="1784"/>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85"/>
      <c r="P13" s="1786"/>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0" t="s">
        <v>1384</v>
      </c>
      <c r="F14" s="189"/>
      <c r="G14" s="1517"/>
      <c r="H14" s="622"/>
      <c r="I14" s="1517"/>
      <c r="J14" s="145"/>
      <c r="K14" s="1586"/>
      <c r="L14" s="145"/>
      <c r="M14" s="1541"/>
      <c r="N14" s="145"/>
      <c r="O14" s="1785"/>
      <c r="P14" s="1786"/>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0" t="str">
        <f>IF(X14="Growth Incentive Single Rate",IF(G147="","Yes","No"),"No")</f>
        <v>No</v>
      </c>
      <c r="AD14" s="1581"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785"/>
      <c r="P15" s="1786"/>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0" t="str">
        <f>IF(E13="Yes",IF(Welcome!$D$6="New",IF('Required Info to Submit'!F$14="","",'Required Info to Submit'!F$14),""),"")</f>
        <v/>
      </c>
      <c r="F16" s="191"/>
      <c r="G16" s="193" t="s">
        <v>517</v>
      </c>
      <c r="H16" s="554"/>
      <c r="I16" s="145"/>
      <c r="J16" s="145"/>
      <c r="K16" s="145"/>
      <c r="L16" s="145"/>
      <c r="M16" s="145"/>
      <c r="N16" s="145"/>
      <c r="O16" s="1785"/>
      <c r="P16" s="1786"/>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2"/>
      <c r="AD16" s="1583"/>
      <c r="AE16" s="259" t="str">
        <f>IF(AND(W16&lt;&gt;"",X16&lt;&gt;"Please Select"),IF(G163="","Yes","No"),"No")</f>
        <v>No</v>
      </c>
    </row>
    <row r="17" spans="1:40" s="822" customFormat="1" ht="18" customHeight="1" thickBot="1" x14ac:dyDescent="0.3">
      <c r="A17" s="243"/>
      <c r="B17" s="243"/>
      <c r="C17" s="465"/>
      <c r="D17" s="830" t="s">
        <v>1386</v>
      </c>
      <c r="E17" s="1450"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2"/>
      <c r="AD17" s="1583"/>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795"/>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5"/>
      <c r="AD18" s="259" t="str">
        <f>IF(X18&lt;&gt;"",IF(K179="","Yes","No"),"No")</f>
        <v>No</v>
      </c>
    </row>
    <row r="19" spans="1:40" s="822" customFormat="1" ht="24" customHeight="1" thickBot="1" x14ac:dyDescent="0.3">
      <c r="A19" s="243"/>
      <c r="B19" s="243"/>
      <c r="C19" s="1375"/>
      <c r="D19" s="920" t="s">
        <v>520</v>
      </c>
      <c r="E19" s="921">
        <f>IFERROR(IF(G19="",0,(G19-$G$17)/$G$17),"")</f>
        <v>0</v>
      </c>
      <c r="F19" s="831" t="s">
        <v>997</v>
      </c>
      <c r="G19" s="1518"/>
      <c r="H19" s="986"/>
      <c r="I19" s="1515" t="str">
        <f>IF(E13="Yes",IF(AND(G19&lt;&gt;"",G20="",G21="",G22="",G23=""),999999999.99,IF(G20&lt;&gt;"",G20-0.01,"")),"")</f>
        <v/>
      </c>
      <c r="J19" s="1335"/>
      <c r="K19" s="1514"/>
      <c r="L19" s="145"/>
      <c r="M19" s="1795"/>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8"/>
      <c r="H20" s="986"/>
      <c r="I20" s="1515" t="str">
        <f>IF(E13="Yes",IF(AND(G20&lt;&gt;"",G21="",G22="",G23="",I19&lt;&gt;999999999.99),999999999.99,IF(G21&lt;&gt;"",G21-0.01,"")),"")</f>
        <v/>
      </c>
      <c r="J20" s="987"/>
      <c r="K20" s="1514"/>
      <c r="L20" s="833"/>
      <c r="M20" s="1795"/>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8"/>
      <c r="H21" s="986"/>
      <c r="I21" s="1515" t="str">
        <f>IF(E13="Yes",IF(AND(G21&lt;&gt;"",G22="",G23="",I20&lt;&gt;999999999.99),999999999.99,IF(G22&lt;&gt;"",G22-0.01,"")),"")</f>
        <v/>
      </c>
      <c r="J21" s="1335"/>
      <c r="K21" s="1514"/>
      <c r="L21" s="145"/>
      <c r="M21" s="1795"/>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8"/>
      <c r="H22" s="986"/>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8"/>
      <c r="H23" s="986"/>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7"/>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8"/>
    </row>
    <row r="25" spans="1:40" s="822" customFormat="1" ht="10.15" customHeight="1" x14ac:dyDescent="0.25">
      <c r="A25" s="1598"/>
      <c r="C25" s="1376"/>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8"/>
      <c r="AN25" s="1581" t="str">
        <f>IF(X25&lt;&gt;"",IF(G233="","Yes","No"),"No")</f>
        <v>No</v>
      </c>
    </row>
    <row r="26" spans="1:40" s="822" customFormat="1" ht="21.75" hidden="1" customHeight="1" thickBot="1" x14ac:dyDescent="0.25">
      <c r="A26" s="248"/>
      <c r="B26" s="248"/>
      <c r="C26" s="1374"/>
      <c r="D26" s="1827" t="s">
        <v>851</v>
      </c>
      <c r="E26" s="1827"/>
      <c r="F26" s="185"/>
      <c r="G26" s="1828"/>
      <c r="H26" s="1829"/>
      <c r="I26" s="186"/>
      <c r="J26" s="1804"/>
      <c r="K26" s="1804"/>
      <c r="L26" s="184"/>
      <c r="M26" s="184"/>
      <c r="N26" s="184"/>
      <c r="O26" s="1783" t="str">
        <f>IF(COUNTIF($K$33:$K$37,"&gt;.03")&gt;0,"***Warning:You have entered an Rate % of Sales above the recommended 3%***","")</f>
        <v/>
      </c>
      <c r="P26" s="1784"/>
      <c r="Q26" s="179"/>
      <c r="R26" s="177"/>
      <c r="S26" s="177"/>
      <c r="T26" s="177"/>
      <c r="U26" s="177"/>
      <c r="V26" s="177"/>
      <c r="W26" s="177"/>
      <c r="X26" s="177"/>
      <c r="Y26" s="177"/>
      <c r="Z26" s="177"/>
      <c r="AA26" s="177"/>
      <c r="AB26" s="177"/>
      <c r="AC26" s="177"/>
      <c r="AN26" s="1583"/>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85"/>
      <c r="P27" s="1786"/>
      <c r="Q27" s="179"/>
      <c r="R27" s="177"/>
      <c r="S27" s="177"/>
      <c r="T27" s="177"/>
      <c r="U27" s="177"/>
      <c r="V27" s="177"/>
      <c r="W27" s="177"/>
      <c r="X27" s="177"/>
      <c r="Y27" s="177"/>
      <c r="Z27" s="177"/>
      <c r="AA27" s="177"/>
      <c r="AB27" s="177"/>
      <c r="AC27" s="177"/>
      <c r="AN27" s="1583"/>
    </row>
    <row r="28" spans="1:40" s="822" customFormat="1" ht="18" hidden="1" customHeight="1" thickBot="1" x14ac:dyDescent="0.3">
      <c r="A28" s="243"/>
      <c r="B28" s="243"/>
      <c r="C28" s="465"/>
      <c r="D28" s="829" t="s">
        <v>1383</v>
      </c>
      <c r="E28" s="894" t="s">
        <v>1384</v>
      </c>
      <c r="F28" s="189"/>
      <c r="G28" s="979"/>
      <c r="H28" s="622"/>
      <c r="I28" s="979"/>
      <c r="J28" s="145"/>
      <c r="K28" s="1517"/>
      <c r="L28" s="145"/>
      <c r="M28" s="1541"/>
      <c r="N28" s="145"/>
      <c r="O28" s="1785"/>
      <c r="P28" s="1786"/>
      <c r="Q28" s="179"/>
      <c r="R28" s="177"/>
      <c r="S28" s="593"/>
      <c r="T28" s="177"/>
      <c r="U28" s="177"/>
      <c r="V28" s="177"/>
      <c r="W28" s="177"/>
      <c r="X28" s="177"/>
      <c r="Y28" s="177"/>
      <c r="Z28" s="177"/>
      <c r="AA28" s="177"/>
      <c r="AB28" s="177"/>
      <c r="AC28" s="177"/>
      <c r="AN28" s="1583"/>
    </row>
    <row r="29" spans="1:40" s="822" customFormat="1" hidden="1" x14ac:dyDescent="0.25">
      <c r="A29" s="243"/>
      <c r="B29" s="243"/>
      <c r="C29" s="465"/>
      <c r="D29" s="923"/>
      <c r="E29" s="191"/>
      <c r="F29" s="191"/>
      <c r="G29" s="555"/>
      <c r="H29" s="554"/>
      <c r="I29" s="145"/>
      <c r="J29" s="145"/>
      <c r="K29" s="145"/>
      <c r="L29" s="145"/>
      <c r="M29" s="145"/>
      <c r="N29" s="145"/>
      <c r="O29" s="1785"/>
      <c r="P29" s="1786"/>
      <c r="Q29" s="179"/>
      <c r="R29" s="177"/>
      <c r="S29" s="593" t="str">
        <f>IF($E29="NO","",IF($I28="Select Payment Method","X",""))</f>
        <v/>
      </c>
      <c r="T29" s="177"/>
      <c r="U29" s="177"/>
      <c r="V29" s="177"/>
      <c r="W29" s="177"/>
      <c r="X29" s="177"/>
      <c r="Y29" s="177"/>
      <c r="Z29" s="177"/>
      <c r="AA29" s="177"/>
      <c r="AB29" s="177"/>
      <c r="AC29" s="177"/>
      <c r="AN29" s="1583"/>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1" t="str">
        <f>IF(E27="Yes",IF(Welcome!$D$6="New",IF('Required Info to Submit'!F$14="","",'Required Info to Submit'!F$14),""),"")</f>
        <v/>
      </c>
      <c r="F30" s="191"/>
      <c r="G30" s="193" t="s">
        <v>517</v>
      </c>
      <c r="H30" s="554"/>
      <c r="I30" s="145"/>
      <c r="J30" s="145"/>
      <c r="K30" s="145"/>
      <c r="L30" s="145"/>
      <c r="M30" s="145"/>
      <c r="N30" s="145"/>
      <c r="O30" s="1785"/>
      <c r="P30" s="1786"/>
      <c r="Q30" s="179"/>
      <c r="R30" s="177"/>
      <c r="S30" s="593"/>
      <c r="T30" s="177"/>
      <c r="U30" s="177"/>
      <c r="V30" s="177"/>
      <c r="W30" s="177"/>
      <c r="X30" s="177"/>
      <c r="Y30" s="177"/>
      <c r="Z30" s="177"/>
      <c r="AA30" s="177"/>
      <c r="AB30" s="177"/>
      <c r="AC30" s="177"/>
      <c r="AN30" s="1583"/>
    </row>
    <row r="31" spans="1:40" s="822" customFormat="1" ht="18" hidden="1" customHeight="1" thickBot="1" x14ac:dyDescent="0.3">
      <c r="A31" s="243"/>
      <c r="B31" s="243"/>
      <c r="C31" s="465"/>
      <c r="D31" s="830" t="s">
        <v>1386</v>
      </c>
      <c r="E31" s="1451"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795"/>
      <c r="N32" s="688"/>
      <c r="O32" s="6" t="s">
        <v>490</v>
      </c>
      <c r="P32" s="190"/>
      <c r="Q32" s="179"/>
      <c r="R32" s="177"/>
      <c r="S32" s="593"/>
      <c r="T32" s="177"/>
      <c r="U32" s="177"/>
      <c r="V32" s="177"/>
      <c r="W32" s="177"/>
      <c r="X32" s="177"/>
      <c r="Y32" s="177"/>
      <c r="Z32" s="177"/>
      <c r="AA32" s="177"/>
      <c r="AB32" s="177"/>
      <c r="AC32" s="177"/>
      <c r="AN32" s="1583"/>
    </row>
    <row r="33" spans="1:40" s="822" customFormat="1" ht="18" hidden="1" customHeight="1" thickBot="1" x14ac:dyDescent="0.3">
      <c r="A33" s="243"/>
      <c r="B33" s="243"/>
      <c r="C33" s="465"/>
      <c r="D33" s="920" t="s">
        <v>520</v>
      </c>
      <c r="E33" s="921">
        <f>IFERROR(IF(G33="",0,(G33-$G$31)/$G$31),"")</f>
        <v>0</v>
      </c>
      <c r="F33" s="831" t="s">
        <v>997</v>
      </c>
      <c r="G33" s="1518"/>
      <c r="H33" s="554"/>
      <c r="I33" s="912" t="str">
        <f>IF(E27="Yes",IF(AND(G33&lt;&gt;"",G34="",G35="",G36="",G37=""),999999999.99,IF(G34&lt;&gt;"",G34-0.01,"")),"")</f>
        <v/>
      </c>
      <c r="J33" s="145"/>
      <c r="K33" s="1514"/>
      <c r="L33" s="145"/>
      <c r="M33" s="1795"/>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2" customFormat="1" ht="18" hidden="1" customHeight="1" thickBot="1" x14ac:dyDescent="0.3">
      <c r="A34" s="243"/>
      <c r="B34" s="243"/>
      <c r="C34" s="465"/>
      <c r="D34" s="920" t="s">
        <v>521</v>
      </c>
      <c r="E34" s="921">
        <f>IFERROR(IF(G34="",0,(G34-$G$31)/$G$31),"")</f>
        <v>0</v>
      </c>
      <c r="F34" s="831" t="s">
        <v>1390</v>
      </c>
      <c r="G34" s="1518"/>
      <c r="H34" s="554"/>
      <c r="I34" s="912" t="str">
        <f>IF(E27="Yes",IF(AND(G34&lt;&gt;"",G35="",G36="",G37="",I33&lt;&gt;999999999.99),999999999.99,IF(G35&lt;&gt;"",G35-0.01,"")),"")</f>
        <v/>
      </c>
      <c r="J34" s="832" t="str">
        <f>IF($E$15="YES","**Tier 1 used for modeling purposes**","")</f>
        <v/>
      </c>
      <c r="K34" s="1514"/>
      <c r="L34" s="833"/>
      <c r="M34" s="1795"/>
      <c r="N34" s="688"/>
      <c r="O34" s="688"/>
      <c r="P34" s="190"/>
      <c r="Q34" s="179"/>
      <c r="R34" s="177"/>
      <c r="S34" s="593"/>
      <c r="T34" s="177"/>
      <c r="U34" s="177"/>
      <c r="V34" s="177"/>
      <c r="W34" s="177"/>
      <c r="X34" s="177"/>
      <c r="Y34" s="177"/>
      <c r="Z34" s="177"/>
      <c r="AA34" s="177"/>
      <c r="AB34" s="177"/>
      <c r="AC34" s="177"/>
      <c r="AN34" s="1583"/>
    </row>
    <row r="35" spans="1:40" s="822" customFormat="1" ht="18" hidden="1" customHeight="1" thickBot="1" x14ac:dyDescent="0.3">
      <c r="A35" s="243"/>
      <c r="B35" s="243"/>
      <c r="C35" s="465"/>
      <c r="D35" s="920" t="s">
        <v>522</v>
      </c>
      <c r="E35" s="921">
        <f>IFERROR(IF(G35="",0,(G35-$G$31)/$G$31),"")</f>
        <v>0</v>
      </c>
      <c r="F35" s="831" t="s">
        <v>1391</v>
      </c>
      <c r="G35" s="1518"/>
      <c r="H35" s="554"/>
      <c r="I35" s="912" t="str">
        <f>IF(E27="Yes",IF(AND(G35&lt;&gt;"",G36="",G37="",I34&lt;&gt;999999999.99),999999999.99,IF(G36&lt;&gt;"",G36-0.01,"")),"")</f>
        <v/>
      </c>
      <c r="J35" s="145"/>
      <c r="K35" s="1514"/>
      <c r="L35" s="145"/>
      <c r="M35" s="1795"/>
      <c r="N35" s="688"/>
      <c r="O35" s="688"/>
      <c r="P35" s="190"/>
      <c r="Q35" s="179"/>
      <c r="R35" s="177"/>
      <c r="S35" s="593"/>
      <c r="T35" s="177"/>
      <c r="U35" s="177"/>
      <c r="V35" s="177"/>
      <c r="W35" s="177"/>
      <c r="X35" s="177"/>
      <c r="Y35" s="177"/>
      <c r="Z35" s="177"/>
      <c r="AA35" s="177"/>
      <c r="AB35" s="177"/>
      <c r="AC35" s="177"/>
      <c r="AN35" s="1583"/>
    </row>
    <row r="36" spans="1:40" s="822" customFormat="1" ht="18" hidden="1" customHeight="1" thickBot="1" x14ac:dyDescent="0.3">
      <c r="A36" s="243"/>
      <c r="B36" s="243"/>
      <c r="C36" s="465"/>
      <c r="D36" s="920" t="s">
        <v>1392</v>
      </c>
      <c r="E36" s="921">
        <f>IFERROR(IF(G36="",0,(G36-$G$31)/$G$31),"")</f>
        <v>0</v>
      </c>
      <c r="F36" s="831" t="s">
        <v>1393</v>
      </c>
      <c r="G36" s="1518"/>
      <c r="H36" s="554"/>
      <c r="I36" s="912" t="str">
        <f>IF(E27="Yes",IF(AND(G36&lt;&gt;"",G37="",I35&lt;&gt;999999999.99),999999999.99,IF(G37&lt;&gt;"",G37-0.01,"")),"")</f>
        <v/>
      </c>
      <c r="J36" s="145"/>
      <c r="K36" s="1514"/>
      <c r="L36" s="145"/>
      <c r="M36" s="1795"/>
      <c r="N36" s="688"/>
      <c r="O36" s="688"/>
      <c r="P36" s="190"/>
      <c r="Q36" s="179"/>
      <c r="R36" s="177"/>
      <c r="S36" s="593"/>
      <c r="T36" s="177"/>
      <c r="U36" s="177"/>
      <c r="V36" s="177"/>
      <c r="W36" s="177"/>
      <c r="X36" s="177"/>
      <c r="Y36" s="177"/>
      <c r="Z36" s="177"/>
      <c r="AA36" s="177"/>
      <c r="AB36" s="177"/>
      <c r="AC36" s="177"/>
      <c r="AN36" s="1583"/>
    </row>
    <row r="37" spans="1:40" s="822" customFormat="1" ht="18" hidden="1" customHeight="1" thickBot="1" x14ac:dyDescent="0.3">
      <c r="A37" s="243"/>
      <c r="B37" s="243"/>
      <c r="C37" s="465"/>
      <c r="D37" s="920" t="s">
        <v>1394</v>
      </c>
      <c r="E37" s="921">
        <f>IF(G37="",0,(G37-$G$31)/$G$31)</f>
        <v>0</v>
      </c>
      <c r="F37" s="831" t="s">
        <v>1395</v>
      </c>
      <c r="G37" s="1518"/>
      <c r="H37" s="554"/>
      <c r="I37" s="912"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2" customFormat="1" ht="10.15" hidden="1" customHeight="1" x14ac:dyDescent="0.25">
      <c r="A39" s="1598"/>
      <c r="C39" s="1376"/>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2" customFormat="1" ht="21.75" hidden="1" customHeight="1" thickBot="1" x14ac:dyDescent="0.25">
      <c r="A40" s="248"/>
      <c r="B40" s="248"/>
      <c r="C40" s="1374"/>
      <c r="D40" s="1827" t="s">
        <v>851</v>
      </c>
      <c r="E40" s="1827"/>
      <c r="F40" s="185"/>
      <c r="G40" s="1828"/>
      <c r="H40" s="1829"/>
      <c r="I40" s="186"/>
      <c r="J40" s="1804"/>
      <c r="K40" s="1804"/>
      <c r="L40" s="184"/>
      <c r="M40" s="184"/>
      <c r="N40" s="184"/>
      <c r="O40" s="1783" t="str">
        <f>IF(COUNTIF($K$47:$K$51,"&gt;.03")&gt;0,"***Warning:You have entered an Rate % of Sales above the recommended 3%***","")</f>
        <v/>
      </c>
      <c r="P40" s="1784"/>
      <c r="Q40" s="179"/>
      <c r="R40" s="177"/>
      <c r="S40" s="177"/>
      <c r="T40" s="177"/>
      <c r="U40" s="177"/>
      <c r="V40" s="177"/>
      <c r="W40" s="177"/>
      <c r="X40" s="177"/>
      <c r="Y40" s="177"/>
      <c r="Z40" s="177"/>
      <c r="AA40" s="177"/>
      <c r="AB40" s="177"/>
      <c r="AC40" s="177"/>
      <c r="AN40" s="1583"/>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85"/>
      <c r="P41" s="1786"/>
      <c r="Q41" s="179"/>
      <c r="R41" s="177"/>
      <c r="S41" s="177"/>
      <c r="T41" s="177"/>
      <c r="U41" s="177"/>
      <c r="V41" s="177"/>
      <c r="W41" s="177"/>
      <c r="X41" s="177"/>
      <c r="Y41" s="177"/>
      <c r="Z41" s="177"/>
      <c r="AA41" s="177"/>
      <c r="AB41" s="177"/>
      <c r="AC41" s="177"/>
      <c r="AN41" s="1583"/>
    </row>
    <row r="42" spans="1:40" s="822" customFormat="1" ht="18" hidden="1" customHeight="1" thickBot="1" x14ac:dyDescent="0.3">
      <c r="A42" s="243"/>
      <c r="B42" s="243"/>
      <c r="C42" s="465"/>
      <c r="D42" s="829" t="s">
        <v>1383</v>
      </c>
      <c r="E42" s="894" t="s">
        <v>1384</v>
      </c>
      <c r="F42" s="189"/>
      <c r="G42" s="979"/>
      <c r="H42" s="622"/>
      <c r="I42" s="979"/>
      <c r="J42" s="145"/>
      <c r="K42" s="1517"/>
      <c r="L42" s="145"/>
      <c r="M42" s="1541"/>
      <c r="N42" s="145"/>
      <c r="O42" s="1785"/>
      <c r="P42" s="1786"/>
      <c r="Q42" s="179"/>
      <c r="R42" s="177"/>
      <c r="S42" s="593"/>
      <c r="T42" s="177"/>
      <c r="U42" s="177"/>
      <c r="V42" s="177"/>
      <c r="W42" s="177"/>
      <c r="X42" s="177"/>
      <c r="Y42" s="177"/>
      <c r="Z42" s="177"/>
      <c r="AA42" s="177"/>
      <c r="AB42" s="177"/>
      <c r="AC42" s="177"/>
      <c r="AN42" s="1583"/>
    </row>
    <row r="43" spans="1:40" s="822" customFormat="1" hidden="1" x14ac:dyDescent="0.25">
      <c r="A43" s="243"/>
      <c r="B43" s="243"/>
      <c r="C43" s="465"/>
      <c r="D43" s="923"/>
      <c r="E43" s="191"/>
      <c r="F43" s="191"/>
      <c r="G43" s="555"/>
      <c r="H43" s="554"/>
      <c r="I43" s="145"/>
      <c r="J43" s="145"/>
      <c r="K43" s="145"/>
      <c r="L43" s="145"/>
      <c r="M43" s="145"/>
      <c r="N43" s="145"/>
      <c r="O43" s="1785"/>
      <c r="P43" s="1786"/>
      <c r="Q43" s="179"/>
      <c r="R43" s="177"/>
      <c r="S43" s="593" t="str">
        <f>IF($E43="NO","",IF($I42="Select Payment Method","X",""))</f>
        <v/>
      </c>
      <c r="T43" s="177"/>
      <c r="U43" s="177"/>
      <c r="V43" s="177"/>
      <c r="W43" s="177"/>
      <c r="X43" s="177"/>
      <c r="Y43" s="177"/>
      <c r="Z43" s="177"/>
      <c r="AA43" s="177"/>
      <c r="AB43" s="177"/>
      <c r="AC43" s="177"/>
      <c r="AN43" s="1583"/>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1" t="str">
        <f>IF(E41="Yes",IF(Welcome!$D$6="New",IF('Required Info to Submit'!F$14="","",'Required Info to Submit'!F$14),""),"")</f>
        <v/>
      </c>
      <c r="F44" s="191"/>
      <c r="G44" s="193" t="s">
        <v>517</v>
      </c>
      <c r="H44" s="554"/>
      <c r="I44" s="145"/>
      <c r="J44" s="145"/>
      <c r="K44" s="145"/>
      <c r="L44" s="145"/>
      <c r="M44" s="145"/>
      <c r="N44" s="145"/>
      <c r="O44" s="1785"/>
      <c r="P44" s="1786"/>
      <c r="Q44" s="179"/>
      <c r="R44" s="177"/>
      <c r="S44" s="593"/>
      <c r="T44" s="177"/>
      <c r="U44" s="177"/>
      <c r="V44" s="177"/>
      <c r="W44" s="177"/>
      <c r="X44" s="177"/>
      <c r="Y44" s="177"/>
      <c r="Z44" s="177"/>
      <c r="AA44" s="177"/>
      <c r="AB44" s="177"/>
      <c r="AC44" s="177"/>
      <c r="AN44" s="1583"/>
    </row>
    <row r="45" spans="1:40" s="822" customFormat="1" ht="18" hidden="1" customHeight="1" thickBot="1" x14ac:dyDescent="0.3">
      <c r="A45" s="243"/>
      <c r="B45" s="243"/>
      <c r="C45" s="465"/>
      <c r="D45" s="830" t="s">
        <v>1386</v>
      </c>
      <c r="E45" s="1451"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795"/>
      <c r="N46" s="688"/>
      <c r="O46" s="6" t="s">
        <v>490</v>
      </c>
      <c r="P46" s="190"/>
      <c r="Q46" s="179"/>
      <c r="R46" s="177"/>
      <c r="S46" s="593"/>
      <c r="T46" s="177"/>
      <c r="U46" s="177"/>
      <c r="V46" s="177"/>
      <c r="W46" s="177"/>
      <c r="X46" s="177"/>
      <c r="Y46" s="177"/>
      <c r="Z46" s="177"/>
      <c r="AA46" s="177"/>
      <c r="AB46" s="177"/>
      <c r="AC46" s="177"/>
      <c r="AN46" s="1583"/>
    </row>
    <row r="47" spans="1:40" s="822" customFormat="1" ht="18" hidden="1" customHeight="1" thickBot="1" x14ac:dyDescent="0.3">
      <c r="A47" s="243"/>
      <c r="B47" s="243"/>
      <c r="C47" s="465"/>
      <c r="D47" s="920" t="s">
        <v>520</v>
      </c>
      <c r="E47" s="921">
        <f>IFERROR(IF(G47="",0,(G47-$G$45)/$G$45),"")</f>
        <v>0</v>
      </c>
      <c r="F47" s="831" t="s">
        <v>997</v>
      </c>
      <c r="G47" s="1518"/>
      <c r="H47" s="554"/>
      <c r="I47" s="1513" t="str">
        <f>IF(E41="Yes",IF(AND(G47&lt;&gt;"",G48="",G49="",G50="",G51=""),999999999.99,IF(G48&lt;&gt;"",G48-0.01,"")),"")</f>
        <v/>
      </c>
      <c r="J47" s="145"/>
      <c r="K47" s="1514"/>
      <c r="L47" s="145"/>
      <c r="M47" s="1795"/>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2" customFormat="1" ht="18" hidden="1" customHeight="1" thickBot="1" x14ac:dyDescent="0.3">
      <c r="A48" s="243"/>
      <c r="B48" s="243"/>
      <c r="C48" s="465"/>
      <c r="D48" s="920" t="s">
        <v>521</v>
      </c>
      <c r="E48" s="921">
        <f>IFERROR(IF(G48="",0,(G48-$G$45)/$G$45),"")</f>
        <v>0</v>
      </c>
      <c r="F48" s="831" t="s">
        <v>1390</v>
      </c>
      <c r="G48" s="1518"/>
      <c r="H48" s="554"/>
      <c r="I48" s="1513" t="str">
        <f>IF(E41="Yes",IF(AND(G48&lt;&gt;"",G49="",G50="",G51="",I47&lt;&gt;999999999.99),999999999.99,IF(G49&lt;&gt;"",G49-0.01,"")),"")</f>
        <v/>
      </c>
      <c r="J48" s="832" t="str">
        <f>IF($E$15="YES","**Tier 1 used for modeling purposes**","")</f>
        <v/>
      </c>
      <c r="K48" s="1514"/>
      <c r="L48" s="833"/>
      <c r="M48" s="1795"/>
      <c r="N48" s="688"/>
      <c r="O48" s="688"/>
      <c r="P48" s="190"/>
      <c r="Q48" s="179"/>
      <c r="R48" s="177"/>
      <c r="S48" s="593"/>
      <c r="T48" s="177"/>
      <c r="U48" s="177"/>
      <c r="V48" s="177"/>
      <c r="W48" s="177"/>
      <c r="X48" s="177"/>
      <c r="Y48" s="177"/>
      <c r="Z48" s="177"/>
      <c r="AA48" s="177"/>
      <c r="AB48" s="177"/>
      <c r="AC48" s="177"/>
      <c r="AN48" s="1583"/>
    </row>
    <row r="49" spans="1:40" s="822" customFormat="1" ht="18" hidden="1" customHeight="1" thickBot="1" x14ac:dyDescent="0.3">
      <c r="A49" s="243"/>
      <c r="B49" s="243"/>
      <c r="C49" s="465"/>
      <c r="D49" s="920" t="s">
        <v>522</v>
      </c>
      <c r="E49" s="921">
        <f>IFERROR(IF(G49="",0,(G49-$G$45)/$G$45),"")</f>
        <v>0</v>
      </c>
      <c r="F49" s="831" t="s">
        <v>1391</v>
      </c>
      <c r="G49" s="1518"/>
      <c r="H49" s="554"/>
      <c r="I49" s="1513" t="str">
        <f>IF(E41="Yes",IF(AND(G49&lt;&gt;"",G50="",G51="",I48&lt;&gt;999999999.99),999999999.99,IF(G50&lt;&gt;"",G50-0.01,"")),"")</f>
        <v/>
      </c>
      <c r="J49" s="145"/>
      <c r="K49" s="1514"/>
      <c r="L49" s="145"/>
      <c r="M49" s="1795"/>
      <c r="N49" s="688"/>
      <c r="O49" s="688"/>
      <c r="P49" s="190"/>
      <c r="Q49" s="179"/>
      <c r="R49" s="177"/>
      <c r="S49" s="593"/>
      <c r="T49" s="177"/>
      <c r="U49" s="177"/>
      <c r="V49" s="177"/>
      <c r="W49" s="177"/>
      <c r="X49" s="177"/>
      <c r="Y49" s="177"/>
      <c r="Z49" s="177"/>
      <c r="AA49" s="177"/>
      <c r="AB49" s="177"/>
      <c r="AC49" s="177"/>
      <c r="AN49" s="1583"/>
    </row>
    <row r="50" spans="1:40" s="822" customFormat="1" ht="18" hidden="1" customHeight="1" thickBot="1" x14ac:dyDescent="0.3">
      <c r="A50" s="243"/>
      <c r="B50" s="243"/>
      <c r="C50" s="465"/>
      <c r="D50" s="920" t="s">
        <v>1392</v>
      </c>
      <c r="E50" s="921">
        <f>IFERROR(IF(G50="",0,(G50-$G$45)/$G$45),"")</f>
        <v>0</v>
      </c>
      <c r="F50" s="831" t="s">
        <v>1393</v>
      </c>
      <c r="G50" s="1518"/>
      <c r="H50" s="554"/>
      <c r="I50" s="1513" t="str">
        <f>IF(E41="Yes",IF(AND(G50&lt;&gt;"",G51="",I49&lt;&gt;999999999.99),999999999.99,IF(G51&lt;&gt;"",G51-0.01,"")),"")</f>
        <v/>
      </c>
      <c r="J50" s="145"/>
      <c r="K50" s="1514"/>
      <c r="L50" s="145"/>
      <c r="M50" s="1795"/>
      <c r="N50" s="688"/>
      <c r="O50" s="688"/>
      <c r="P50" s="190"/>
      <c r="Q50" s="179"/>
      <c r="R50" s="177"/>
      <c r="S50" s="593"/>
      <c r="T50" s="177"/>
      <c r="U50" s="177"/>
      <c r="V50" s="177"/>
      <c r="W50" s="177"/>
      <c r="X50" s="177"/>
      <c r="Y50" s="177"/>
      <c r="Z50" s="177"/>
      <c r="AA50" s="177"/>
      <c r="AB50" s="177"/>
      <c r="AC50" s="177"/>
      <c r="AN50" s="1583"/>
    </row>
    <row r="51" spans="1:40" s="822" customFormat="1" ht="18" hidden="1" customHeight="1" thickBot="1" x14ac:dyDescent="0.3">
      <c r="A51" s="243"/>
      <c r="B51" s="243"/>
      <c r="C51" s="465"/>
      <c r="D51" s="920" t="s">
        <v>1394</v>
      </c>
      <c r="E51" s="921">
        <f>IFERROR(IF(G51="",0,(G51-$G$45)/$G$45),"")</f>
        <v>0</v>
      </c>
      <c r="F51" s="831"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2" customFormat="1" ht="10.15" hidden="1" customHeight="1" x14ac:dyDescent="0.25">
      <c r="A53" s="1598"/>
      <c r="C53" s="1376"/>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2" customFormat="1" ht="21.75" customHeight="1" thickBot="1" x14ac:dyDescent="0.3">
      <c r="A54" s="248"/>
      <c r="B54" s="248"/>
      <c r="C54" s="1374"/>
      <c r="D54" s="1788" t="s">
        <v>217</v>
      </c>
      <c r="E54" s="1788"/>
      <c r="F54" s="213"/>
      <c r="G54" s="214"/>
      <c r="H54" s="823"/>
      <c r="I54" s="215"/>
      <c r="J54" s="184"/>
      <c r="K54" s="216"/>
      <c r="L54" s="184"/>
      <c r="M54" s="217"/>
      <c r="N54" s="217"/>
      <c r="O54" s="1793" t="str">
        <f>IF(COUNTIF($K$61:$K$65,"&gt;.03")&gt;0,"***Warning:You have entered an Rate % of Sales above the recommended 3%***","")</f>
        <v/>
      </c>
      <c r="P54" s="1794"/>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95"/>
      <c r="P55" s="1796"/>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79"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2" t="s">
        <v>1384</v>
      </c>
      <c r="F56" s="219"/>
      <c r="G56" s="1517"/>
      <c r="H56" s="554"/>
      <c r="I56" s="1517"/>
      <c r="J56" s="145"/>
      <c r="K56" s="1517"/>
      <c r="L56" s="145"/>
      <c r="M56" s="1541"/>
      <c r="N56" s="218"/>
      <c r="O56" s="1795"/>
      <c r="P56" s="1796"/>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79"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795"/>
      <c r="P57" s="1796"/>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79"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0" t="str">
        <f>IF(E55="Yes",IF(Welcome!$D$6="New",IF('Required Info to Submit'!F$14="","",'Required Info to Submit'!F$14),""),"")</f>
        <v/>
      </c>
      <c r="F58" s="192"/>
      <c r="G58" s="193" t="s">
        <v>716</v>
      </c>
      <c r="H58" s="554"/>
      <c r="I58" s="195"/>
      <c r="J58" s="145"/>
      <c r="K58" s="195"/>
      <c r="L58" s="145"/>
      <c r="M58" s="188"/>
      <c r="N58" s="188"/>
      <c r="O58" s="1795"/>
      <c r="P58" s="1796"/>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79"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0"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79"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787"/>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79"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8"/>
      <c r="H61" s="554"/>
      <c r="I61" s="912" t="str">
        <f>IF(E55="Yes",IF(AND(G61&lt;&gt;"",G62="",G63="",G64="",G65=""),999999999.99,IF(G62&lt;&gt;"",G62-0.01,"")),"")</f>
        <v/>
      </c>
      <c r="J61" s="832"/>
      <c r="K61" s="1514"/>
      <c r="L61" s="833"/>
      <c r="M61" s="1787"/>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79"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8"/>
      <c r="H62" s="554"/>
      <c r="I62" s="912" t="str">
        <f>IF(E55="Yes",IF(AND(G62&lt;&gt;"",G63="",G64="",G65="",I61&lt;&gt;999999999.99),999999999.99,IF(G63&lt;&gt;"",G63-0.01,"")),"")</f>
        <v/>
      </c>
      <c r="J62" s="145"/>
      <c r="K62" s="1514"/>
      <c r="L62" s="145"/>
      <c r="M62" s="1787"/>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8"/>
      <c r="H63" s="554"/>
      <c r="I63" s="912" t="str">
        <f>IF(E55="Yes",IF(AND(G63&lt;&gt;"",G64="",G65="",I62&lt;&gt;999999999.99),999999999.99,IF(G64&lt;&gt;"",G64-0.01,"")),"")</f>
        <v/>
      </c>
      <c r="J63" s="145"/>
      <c r="K63" s="1514"/>
      <c r="L63" s="145"/>
      <c r="M63" s="1787"/>
      <c r="N63" s="1383"/>
      <c r="O63" s="1383"/>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8"/>
      <c r="H64" s="554"/>
      <c r="I64" s="912" t="str">
        <f>IF(E55="Yes",IF(AND(G64&lt;&gt;"",G65="",I63&lt;&gt;999999999.99),999999999.99,IF(G65&lt;&gt;"",G65-0.01,"")),"")</f>
        <v/>
      </c>
      <c r="J64" s="145"/>
      <c r="K64" s="1514"/>
      <c r="L64" s="145"/>
      <c r="M64" s="1787"/>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20" t="s">
        <v>1394</v>
      </c>
      <c r="E65" s="921">
        <f>IFERROR(IF(G65="",0,(G65-$G$59)/$G$59),"")</f>
        <v>0</v>
      </c>
      <c r="F65" s="831" t="s">
        <v>1395</v>
      </c>
      <c r="G65" s="1518"/>
      <c r="H65" s="554"/>
      <c r="I65" s="912"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5"/>
      <c r="E66" s="198"/>
      <c r="F66" s="199"/>
      <c r="G66" s="222"/>
      <c r="H66" s="201"/>
      <c r="I66" s="613">
        <f>COUNTIF($I$61:$I$65,"&gt;.03")</f>
        <v>0</v>
      </c>
      <c r="J66" s="223"/>
      <c r="K66" s="844"/>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4"/>
      <c r="D68" s="1788" t="s">
        <v>217</v>
      </c>
      <c r="E68" s="1788"/>
      <c r="F68" s="213"/>
      <c r="G68" s="214"/>
      <c r="H68" s="823"/>
      <c r="I68" s="215"/>
      <c r="J68" s="184"/>
      <c r="K68" s="216"/>
      <c r="L68" s="184"/>
      <c r="M68" s="217"/>
      <c r="N68" s="217"/>
      <c r="O68" s="1793" t="str">
        <f>IF(COUNTIF($K$75:$K$79,"&gt;.03")&gt;0,"***Warning:You have entered an Rate % of Sales above the recommended 3%***","")</f>
        <v/>
      </c>
      <c r="P68" s="1794"/>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95"/>
      <c r="P69" s="1796"/>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4"/>
      <c r="H70" s="554"/>
      <c r="I70" s="979"/>
      <c r="J70" s="145"/>
      <c r="K70" s="1517"/>
      <c r="L70" s="145"/>
      <c r="M70" s="1541"/>
      <c r="N70" s="218"/>
      <c r="O70" s="1795"/>
      <c r="P70" s="1796"/>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795"/>
      <c r="P71" s="1796"/>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1" t="str">
        <f>IF(E69="Yes",IF(Welcome!$D$6="New",IF('Required Info to Submit'!F$14="","",'Required Info to Submit'!F$14),""),"")</f>
        <v/>
      </c>
      <c r="F72" s="192"/>
      <c r="G72" s="193" t="s">
        <v>716</v>
      </c>
      <c r="H72" s="554"/>
      <c r="I72" s="195"/>
      <c r="J72" s="145"/>
      <c r="K72" s="195"/>
      <c r="L72" s="145"/>
      <c r="M72" s="188"/>
      <c r="N72" s="188"/>
      <c r="O72" s="1795"/>
      <c r="P72" s="1796"/>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1"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787"/>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8"/>
      <c r="H75" s="554"/>
      <c r="I75" s="912" t="str">
        <f>IF(E69="Yes",IF(AND(G75&lt;&gt;"",G76="",G77="",G78="",G79=""),999999999.99,IF(G76&lt;&gt;"",G76-0.01,"")),"")</f>
        <v/>
      </c>
      <c r="J75" s="832" t="str">
        <f>IF($E$57="YES","**Tier 1 used for modeling purposes**","")</f>
        <v/>
      </c>
      <c r="K75" s="1514"/>
      <c r="L75" s="833"/>
      <c r="M75" s="1787"/>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8"/>
      <c r="H76" s="554"/>
      <c r="I76" s="912" t="str">
        <f>IF(E69="Yes",IF(AND(G76&lt;&gt;"",G77="",G78="",G79="",I75&lt;&gt;999999999.99),999999999.99,IF(G77&lt;&gt;"",G77-0.01,"")),"")</f>
        <v/>
      </c>
      <c r="J76" s="145"/>
      <c r="K76" s="1514"/>
      <c r="L76" s="145"/>
      <c r="M76" s="1787"/>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8"/>
      <c r="H77" s="554"/>
      <c r="I77" s="912" t="str">
        <f>IF(E69="Yes",IF(AND(G77&lt;&gt;"",G78="",G79="",I76&lt;&gt;999999999.99),999999999.99,IF(G78&lt;&gt;"",G78-0.01,"")),"")</f>
        <v/>
      </c>
      <c r="J77" s="145"/>
      <c r="K77" s="1514"/>
      <c r="L77" s="145"/>
      <c r="M77" s="1787"/>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8"/>
      <c r="H78" s="554"/>
      <c r="I78" s="912" t="str">
        <f>IF(E69="Yes",IF(AND(G78&lt;&gt;"",G79="",I77&lt;&gt;999999999.99),999999999.99,IF(G79&lt;&gt;"",G79-0.01,"")),"")</f>
        <v/>
      </c>
      <c r="J78" s="145"/>
      <c r="K78" s="1514"/>
      <c r="L78" s="145"/>
      <c r="M78" s="1787"/>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20" t="s">
        <v>1394</v>
      </c>
      <c r="E79" s="921">
        <f>IFERROR(IF(G79="",0,(G79-$G$59)/$G$59),"")</f>
        <v>0</v>
      </c>
      <c r="F79" s="831" t="s">
        <v>1395</v>
      </c>
      <c r="G79" s="1518"/>
      <c r="H79" s="554"/>
      <c r="I79" s="912"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6"/>
      <c r="E81" s="837"/>
      <c r="F81" s="207"/>
      <c r="G81" s="838"/>
      <c r="H81" s="209"/>
      <c r="I81" s="839"/>
      <c r="K81" s="840"/>
      <c r="M81" s="841"/>
      <c r="N81" s="841"/>
      <c r="O81" s="841"/>
      <c r="P81" s="141"/>
      <c r="Q81" s="532"/>
      <c r="S81" s="594"/>
    </row>
    <row r="82" spans="1:29" ht="21" customHeight="1" thickBot="1" x14ac:dyDescent="0.3">
      <c r="A82" s="248"/>
      <c r="B82" s="248"/>
      <c r="C82" s="1380"/>
      <c r="D82" s="1788" t="s">
        <v>525</v>
      </c>
      <c r="E82" s="1788"/>
      <c r="F82" s="213"/>
      <c r="G82" s="225"/>
      <c r="H82" s="823"/>
      <c r="I82" s="215"/>
      <c r="J82" s="226"/>
      <c r="K82" s="216"/>
      <c r="L82" s="226"/>
      <c r="M82" s="217"/>
      <c r="N82" s="217"/>
      <c r="O82" s="1793" t="str">
        <f>IF(COUNTIF($K$89:$K$93,"&gt;.03")&gt;0,"***Warning:You have entered an Rate % of Sales above the recommended 3%***","")</f>
        <v/>
      </c>
      <c r="P82" s="1794"/>
      <c r="Q82" s="138"/>
      <c r="R82" s="134"/>
      <c r="S82" s="594"/>
      <c r="T82" s="134"/>
      <c r="U82" s="134"/>
      <c r="V82" s="134"/>
      <c r="W82" s="134"/>
      <c r="X82" s="134"/>
      <c r="Y82" s="134"/>
      <c r="Z82" s="134"/>
      <c r="AA82" s="134"/>
      <c r="AB82" s="134"/>
      <c r="AC82" s="134"/>
    </row>
    <row r="83" spans="1:29" ht="18" customHeight="1" thickBot="1" x14ac:dyDescent="0.3">
      <c r="A83" s="243"/>
      <c r="B83" s="243"/>
      <c r="C83" s="1377"/>
      <c r="D83" s="922" t="s">
        <v>523</v>
      </c>
      <c r="E83" s="847" t="s">
        <v>648</v>
      </c>
      <c r="F83" s="41"/>
      <c r="G83" s="228" t="s">
        <v>1380</v>
      </c>
      <c r="H83" s="554"/>
      <c r="I83" s="228" t="s">
        <v>1381</v>
      </c>
      <c r="J83" s="41"/>
      <c r="K83" s="228" t="s">
        <v>833</v>
      </c>
      <c r="L83" s="145"/>
      <c r="M83" s="194" t="s">
        <v>1382</v>
      </c>
      <c r="N83" s="218"/>
      <c r="O83" s="1795"/>
      <c r="P83" s="1796"/>
      <c r="Q83" s="138"/>
      <c r="R83" s="134"/>
      <c r="S83" s="594"/>
      <c r="T83" s="134"/>
      <c r="U83" s="134"/>
      <c r="V83" s="134"/>
      <c r="W83" s="134"/>
      <c r="X83" s="134"/>
      <c r="Y83" s="134"/>
      <c r="Z83" s="134"/>
      <c r="AA83" s="134"/>
      <c r="AB83" s="134"/>
      <c r="AC83" s="134"/>
    </row>
    <row r="84" spans="1:29" ht="18" customHeight="1" thickBot="1" x14ac:dyDescent="0.3">
      <c r="A84" s="243"/>
      <c r="B84" s="243"/>
      <c r="C84" s="1377"/>
      <c r="D84" s="829" t="s">
        <v>1383</v>
      </c>
      <c r="E84" s="1512" t="s">
        <v>1384</v>
      </c>
      <c r="F84" s="41"/>
      <c r="G84" s="1517"/>
      <c r="H84" s="554"/>
      <c r="I84" s="1517"/>
      <c r="J84" s="145"/>
      <c r="K84" s="1517"/>
      <c r="L84" s="145"/>
      <c r="M84" s="1541"/>
      <c r="N84" s="218"/>
      <c r="O84" s="1795"/>
      <c r="P84" s="1796"/>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95"/>
      <c r="P85" s="1796"/>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6" t="s">
        <v>1385</v>
      </c>
      <c r="E86" s="1450" t="str">
        <f>IF(E83="Yes",IF(Welcome!$D$6="New",IF('Required Info to Submit'!F$14="","",'Required Info to Submit'!F$14),""),"")</f>
        <v/>
      </c>
      <c r="F86" s="41"/>
      <c r="G86" s="193" t="s">
        <v>995</v>
      </c>
      <c r="H86" s="41"/>
      <c r="I86" s="41"/>
      <c r="J86" s="41"/>
      <c r="K86" s="41"/>
      <c r="L86" s="41"/>
      <c r="M86" s="41"/>
      <c r="N86" s="41"/>
      <c r="O86" s="1795"/>
      <c r="P86" s="1796"/>
      <c r="Q86" s="138"/>
      <c r="R86" s="134"/>
      <c r="S86" s="593"/>
      <c r="T86" s="134"/>
      <c r="U86" s="134"/>
      <c r="V86" s="134"/>
      <c r="W86" s="134"/>
      <c r="X86" s="134"/>
      <c r="Y86" s="134"/>
      <c r="Z86" s="134"/>
      <c r="AA86" s="134"/>
      <c r="AB86" s="134"/>
      <c r="AC86" s="134"/>
    </row>
    <row r="87" spans="1:29" ht="17.25" customHeight="1" thickBot="1" x14ac:dyDescent="0.3">
      <c r="A87" s="243"/>
      <c r="B87" s="243"/>
      <c r="C87" s="1377"/>
      <c r="D87" s="836"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787"/>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1" t="s">
        <v>997</v>
      </c>
      <c r="G89" s="1535"/>
      <c r="H89" s="188"/>
      <c r="I89" s="913" t="str">
        <f>IF(E83="Yes",IF(AND(G89&lt;&gt;"",G90="",G91="",G92="",G93=""),1,IF(G90&lt;&gt;"",G90-0.0001,"")),"")</f>
        <v/>
      </c>
      <c r="J89" s="832"/>
      <c r="K89" s="1514"/>
      <c r="L89" s="188"/>
      <c r="M89" s="1787"/>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1" t="s">
        <v>1390</v>
      </c>
      <c r="G90" s="1535"/>
      <c r="H90" s="188"/>
      <c r="I90" s="913" t="str">
        <f>IF(E83="Yes",IF(AND(G90&lt;&gt;"",G91="",G92="",G93="",I89&lt;&gt;1),1,IF(G91&lt;&gt;"",G91-0.0001,"")),"")</f>
        <v/>
      </c>
      <c r="J90" s="229"/>
      <c r="K90" s="1514"/>
      <c r="L90" s="188"/>
      <c r="M90" s="1787"/>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1" t="s">
        <v>1391</v>
      </c>
      <c r="G91" s="1535"/>
      <c r="H91" s="188"/>
      <c r="I91" s="913" t="str">
        <f>IF(E83="Yes",IF(AND(G91&lt;&gt;"",G92="",G93="",I90&lt;&gt;1),1,IF(G92&lt;&gt;"",G92-0.0001,"")),"")</f>
        <v/>
      </c>
      <c r="J91" s="229"/>
      <c r="K91" s="1514"/>
      <c r="L91" s="188"/>
      <c r="M91" s="1787"/>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1" t="s">
        <v>1393</v>
      </c>
      <c r="G92" s="1535"/>
      <c r="H92" s="188"/>
      <c r="I92" s="913" t="str">
        <f>IF(E83="Yes",IF(AND(G92&lt;&gt;"",G93="",I91&lt;&gt;1),1,IF(G93&lt;&gt;"",G93-0.0001,"")),"")</f>
        <v/>
      </c>
      <c r="J92" s="229"/>
      <c r="K92" s="1514"/>
      <c r="L92" s="188"/>
      <c r="M92" s="1787"/>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1" t="s">
        <v>1395</v>
      </c>
      <c r="G93" s="1535"/>
      <c r="H93" s="188"/>
      <c r="I93" s="913"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788" t="s">
        <v>525</v>
      </c>
      <c r="E96" s="1788"/>
      <c r="F96" s="213"/>
      <c r="G96" s="225"/>
      <c r="H96" s="823"/>
      <c r="I96" s="215"/>
      <c r="J96" s="226"/>
      <c r="K96" s="216"/>
      <c r="L96" s="226"/>
      <c r="M96" s="217"/>
      <c r="N96" s="217"/>
      <c r="O96" s="1793" t="str">
        <f>IF(COUNTIF($K$103:$K$107,"&gt;.03")&gt;0,"***Warning:You have entered an Rate % of Sales above the recommended 3%***","")</f>
        <v/>
      </c>
      <c r="P96" s="1794"/>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2" t="s">
        <v>523</v>
      </c>
      <c r="E97" s="847" t="s">
        <v>648</v>
      </c>
      <c r="F97" s="41"/>
      <c r="G97" s="228" t="s">
        <v>1380</v>
      </c>
      <c r="H97" s="554"/>
      <c r="I97" s="228" t="s">
        <v>1381</v>
      </c>
      <c r="J97" s="41"/>
      <c r="K97" s="228" t="s">
        <v>833</v>
      </c>
      <c r="L97" s="145"/>
      <c r="M97" s="194" t="s">
        <v>1382</v>
      </c>
      <c r="N97" s="218"/>
      <c r="O97" s="1795"/>
      <c r="P97" s="1796"/>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9" t="s">
        <v>1383</v>
      </c>
      <c r="E98" s="894" t="s">
        <v>1384</v>
      </c>
      <c r="F98" s="41"/>
      <c r="G98" s="979"/>
      <c r="H98" s="554"/>
      <c r="I98" s="979"/>
      <c r="J98" s="145"/>
      <c r="K98" s="1517"/>
      <c r="L98" s="145"/>
      <c r="M98" s="1541"/>
      <c r="N98" s="218"/>
      <c r="O98" s="1795"/>
      <c r="P98" s="1796"/>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95"/>
      <c r="P99" s="1796"/>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6" t="s">
        <v>1385</v>
      </c>
      <c r="E100" s="1451" t="str">
        <f>IF(E97="Yes",IF(Welcome!$D$6="New",IF('Required Info to Submit'!F$14="","",'Required Info to Submit'!F$14),""),"")</f>
        <v/>
      </c>
      <c r="F100" s="41"/>
      <c r="G100" s="193" t="s">
        <v>995</v>
      </c>
      <c r="H100" s="41"/>
      <c r="I100" s="41"/>
      <c r="J100" s="41"/>
      <c r="K100" s="41"/>
      <c r="L100" s="41"/>
      <c r="M100" s="41"/>
      <c r="N100" s="41"/>
      <c r="O100" s="1795"/>
      <c r="P100" s="1796"/>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6"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787"/>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1" t="s">
        <v>997</v>
      </c>
      <c r="G103" s="1535"/>
      <c r="H103" s="188"/>
      <c r="I103" s="981" t="str">
        <f>IF(E97="Yes",IF(AND(G103&lt;&gt;"",G104="",G105="",G106="",G107=""),1,IF(G104&lt;&gt;"",G104-0.0001,"")),"")</f>
        <v/>
      </c>
      <c r="J103" s="832" t="str">
        <f>IF($E$85="YES","**Tier 1 payout used for modeling purposes**","")</f>
        <v/>
      </c>
      <c r="K103" s="1514"/>
      <c r="L103" s="188"/>
      <c r="M103" s="1787"/>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1" t="s">
        <v>1390</v>
      </c>
      <c r="G104" s="1535"/>
      <c r="H104" s="188"/>
      <c r="I104" s="970" t="str">
        <f>IF(E97="Yes",IF(AND(G104&lt;&gt;"",G105="",G106="",G107="",I103&lt;&gt;1),1,IF(G105&lt;&gt;"",G105-0.0001,"")),"")</f>
        <v/>
      </c>
      <c r="J104" s="229"/>
      <c r="K104" s="1514"/>
      <c r="L104" s="188"/>
      <c r="M104" s="1787"/>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1" t="s">
        <v>1391</v>
      </c>
      <c r="G105" s="1535"/>
      <c r="H105" s="188"/>
      <c r="I105" s="970" t="str">
        <f>IF(E97="Yes",IF(AND(G105&lt;&gt;"",G106="",G107="",I104&lt;&gt;1),1,IF(G106&lt;&gt;"",G106-0.0001,"")),"")</f>
        <v/>
      </c>
      <c r="J105" s="229"/>
      <c r="K105" s="1514"/>
      <c r="L105" s="188"/>
      <c r="M105" s="1787"/>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1" t="s">
        <v>1393</v>
      </c>
      <c r="G106" s="1535"/>
      <c r="H106" s="188"/>
      <c r="I106" s="970"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1" t="s">
        <v>1395</v>
      </c>
      <c r="G107" s="1535"/>
      <c r="H107" s="188"/>
      <c r="I107" s="970"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788" t="s">
        <v>1105</v>
      </c>
      <c r="E110" s="1788"/>
      <c r="F110" s="213"/>
      <c r="G110" s="235"/>
      <c r="H110" s="183"/>
      <c r="I110" s="236"/>
      <c r="J110" s="216"/>
      <c r="K110" s="217"/>
      <c r="L110" s="183"/>
      <c r="M110" s="217"/>
      <c r="N110" s="1793" t="str">
        <f>IF(COUNTIF($K$115,"&gt;.02")&gt;0,"***Warning:You have entered an Rate % of Sales above the recommended amount.Rate % of Sales should be between 0% and 2%***","")</f>
        <v/>
      </c>
      <c r="O110" s="1793"/>
      <c r="P110" s="1794"/>
      <c r="Q110" s="138"/>
      <c r="R110" s="134"/>
      <c r="S110" s="141" t="s">
        <v>2037</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2" t="s">
        <v>523</v>
      </c>
      <c r="E111" s="847" t="s">
        <v>648</v>
      </c>
      <c r="F111" s="239"/>
      <c r="G111" s="228" t="s">
        <v>1380</v>
      </c>
      <c r="H111" s="554"/>
      <c r="I111" s="228" t="s">
        <v>1381</v>
      </c>
      <c r="J111" s="41"/>
      <c r="K111" s="228" t="s">
        <v>833</v>
      </c>
      <c r="L111" s="145"/>
      <c r="M111" s="194" t="s">
        <v>1382</v>
      </c>
      <c r="N111" s="1795"/>
      <c r="O111" s="1795"/>
      <c r="P111" s="1796"/>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9" t="s">
        <v>1383</v>
      </c>
      <c r="E112" s="1333" t="s">
        <v>1384</v>
      </c>
      <c r="F112" s="196"/>
      <c r="G112" s="1336"/>
      <c r="H112" s="554"/>
      <c r="I112" s="1336"/>
      <c r="J112" s="145"/>
      <c r="K112" s="1517"/>
      <c r="L112" s="145"/>
      <c r="M112" s="1541"/>
      <c r="N112" s="1795"/>
      <c r="O112" s="1795"/>
      <c r="P112" s="1796"/>
      <c r="Q112" s="138"/>
      <c r="R112" s="134"/>
      <c r="S112" s="141" t="s">
        <v>2039</v>
      </c>
      <c r="T112" s="1346">
        <v>4</v>
      </c>
      <c r="U112" s="134"/>
      <c r="V112" s="134"/>
      <c r="W112" s="134"/>
      <c r="X112" s="134"/>
      <c r="Y112" s="134"/>
      <c r="Z112" s="134"/>
      <c r="AA112" s="134"/>
      <c r="AB112" s="134"/>
      <c r="AC112" s="134"/>
    </row>
    <row r="113" spans="1:29" ht="18" customHeight="1" thickBot="1" x14ac:dyDescent="0.3">
      <c r="A113" s="243"/>
      <c r="B113" s="243"/>
      <c r="C113" s="1377"/>
      <c r="D113" s="929"/>
      <c r="E113" s="41"/>
      <c r="F113" s="145"/>
      <c r="G113" s="237"/>
      <c r="H113" s="188"/>
      <c r="I113" s="238"/>
      <c r="J113" s="197"/>
      <c r="K113" s="218"/>
      <c r="L113" s="188"/>
      <c r="M113" s="1793"/>
      <c r="N113" s="1795"/>
      <c r="O113" s="1795"/>
      <c r="P113" s="1796"/>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6"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795"/>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77"/>
      <c r="D115" s="836" t="s">
        <v>1386</v>
      </c>
      <c r="E115" s="1451" t="str">
        <f>IFERROR(IF(E111="Yes",IF(Welcome!$D$6="New",IF($E$114="","",($E$114)+370),IF(Welcome!$D$16=1,'Required Info to Submit'!$F$17,Welcome!$D$8+Incentives!$X$111)),""),"")</f>
        <v/>
      </c>
      <c r="F115" s="831" t="str">
        <f>'Incentives Worksheet'!G245</f>
        <v>Weekly Baseline</v>
      </c>
      <c r="G115" s="1519"/>
      <c r="H115" s="188"/>
      <c r="I115" s="916" t="str">
        <f>IF(E111="Yes",999999999.99,"")</f>
        <v/>
      </c>
      <c r="J115" s="229"/>
      <c r="K115" s="1514"/>
      <c r="L115" s="188"/>
      <c r="M115" s="1795"/>
      <c r="N115" s="197"/>
      <c r="O115" s="914">
        <f>IF(Welcome!$D$6="New",IF(E111="No",0,IF((($H$10-(G115*52))*K115)&lt;0,0,(($H$10-(G115*52))*K115))),IF($S$119&lt;&gt;1,0,IF(Incentives!E115&lt;Welcome!$D$12,0,IF(E111="No",0,IF((($H$10-(G115*52))*K115)&lt;0,0,(($H$10-(G115*52))*K115))))))</f>
        <v>0</v>
      </c>
      <c r="P115" s="221"/>
      <c r="Q115" s="138"/>
      <c r="R115" s="821"/>
      <c r="S115" s="141" t="s">
        <v>2042</v>
      </c>
      <c r="T115" s="242">
        <v>1</v>
      </c>
      <c r="U115" s="1345"/>
    </row>
    <row r="116" spans="1:29" ht="22.5" customHeight="1" x14ac:dyDescent="0.25">
      <c r="A116" s="245"/>
      <c r="B116" s="245"/>
      <c r="C116" s="1378"/>
      <c r="D116" s="928"/>
      <c r="E116" s="1542"/>
      <c r="F116" s="481" t="s">
        <v>2089</v>
      </c>
      <c r="G116" s="1543">
        <f>$H$9/52</f>
        <v>0</v>
      </c>
      <c r="H116" s="223"/>
      <c r="I116" s="240"/>
      <c r="J116" s="223"/>
      <c r="K116" s="223"/>
      <c r="L116" s="223"/>
      <c r="M116" s="1797"/>
      <c r="N116" s="223"/>
      <c r="O116" s="223"/>
      <c r="P116" s="224"/>
      <c r="Q116" s="138"/>
      <c r="R116" s="821"/>
      <c r="S116" s="141" t="s">
        <v>2043</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788" t="s">
        <v>1105</v>
      </c>
      <c r="E118" s="1788"/>
      <c r="F118" s="213"/>
      <c r="G118" s="235"/>
      <c r="H118" s="183"/>
      <c r="I118" s="236"/>
      <c r="J118" s="216"/>
      <c r="K118" s="217"/>
      <c r="L118" s="183"/>
      <c r="M118" s="217"/>
      <c r="N118" s="1793" t="str">
        <f>IF(COUNTIF($K$123,"&gt;.02")&gt;0,"***Warning:You have entered an Rate % of Sales above the recommended amount.Rate % of Sales should be between 0% and 2%***","")</f>
        <v/>
      </c>
      <c r="O118" s="1793"/>
      <c r="P118" s="1794"/>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2" t="s">
        <v>523</v>
      </c>
      <c r="E119" s="847" t="s">
        <v>648</v>
      </c>
      <c r="F119" s="239"/>
      <c r="G119" s="228" t="s">
        <v>1380</v>
      </c>
      <c r="H119" s="554"/>
      <c r="I119" s="228" t="s">
        <v>1381</v>
      </c>
      <c r="J119" s="41"/>
      <c r="K119" s="228" t="s">
        <v>833</v>
      </c>
      <c r="L119" s="884"/>
      <c r="M119" s="194" t="s">
        <v>1382</v>
      </c>
      <c r="N119" s="1795"/>
      <c r="O119" s="1795"/>
      <c r="P119" s="1796"/>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9" t="s">
        <v>1383</v>
      </c>
      <c r="E120" s="1333" t="s">
        <v>1384</v>
      </c>
      <c r="F120" s="196"/>
      <c r="G120" s="1336"/>
      <c r="H120" s="554"/>
      <c r="I120" s="1336"/>
      <c r="J120" s="884"/>
      <c r="K120" s="1517"/>
      <c r="L120" s="884"/>
      <c r="M120" s="1541"/>
      <c r="N120" s="1795"/>
      <c r="O120" s="1795"/>
      <c r="P120" s="1796"/>
      <c r="Q120" s="138"/>
      <c r="R120" s="134"/>
      <c r="S120" s="594"/>
      <c r="T120" s="842"/>
      <c r="U120" s="134"/>
      <c r="V120" s="134"/>
      <c r="W120" s="134"/>
      <c r="X120" s="134"/>
      <c r="Y120" s="134"/>
      <c r="Z120" s="134"/>
      <c r="AA120" s="134"/>
      <c r="AB120" s="134"/>
      <c r="AC120" s="134"/>
    </row>
    <row r="121" spans="1:29" s="1029" customFormat="1" ht="18" hidden="1" customHeight="1" thickBot="1" x14ac:dyDescent="0.25">
      <c r="A121" s="243"/>
      <c r="B121" s="243"/>
      <c r="C121" s="1377"/>
      <c r="D121" s="929"/>
      <c r="E121" s="41"/>
      <c r="F121" s="884"/>
      <c r="G121" s="237"/>
      <c r="H121" s="188"/>
      <c r="I121" s="238"/>
      <c r="J121" s="197"/>
      <c r="K121" s="218"/>
      <c r="L121" s="188"/>
      <c r="M121" s="1793"/>
      <c r="N121" s="1795"/>
      <c r="O121" s="1795"/>
      <c r="P121" s="1796"/>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6" t="s">
        <v>1385</v>
      </c>
      <c r="E122" s="1451" t="str">
        <f>IFERROR(IF(E119="Yes",IF(Welcome!$D$6="New",IF('Required Info to Submit'!F$14="","",'Required Info to Submit'!F$14),$E$115+1),""),"")</f>
        <v/>
      </c>
      <c r="F122" s="239"/>
      <c r="G122" s="194" t="s">
        <v>1387</v>
      </c>
      <c r="H122" s="188"/>
      <c r="I122" s="194" t="s">
        <v>1388</v>
      </c>
      <c r="J122" s="195"/>
      <c r="K122" s="194" t="s">
        <v>1389</v>
      </c>
      <c r="L122" s="188"/>
      <c r="M122" s="1795"/>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6" t="s">
        <v>1386</v>
      </c>
      <c r="E123" s="1451" t="str">
        <f>IFERROR(IF(E119="Yes",IF(Welcome!$D$6="New",IF($E$122="","",$E$122+370),IF(Welcome!$D$16=2,'Required Info to Submit'!$F$17,IF($E$122="","",$E$122+364))),""),"")</f>
        <v/>
      </c>
      <c r="F123" s="831" t="str">
        <f>'Incentives Worksheet'!G259</f>
        <v>Weekly Baseline</v>
      </c>
      <c r="G123" s="1519"/>
      <c r="H123" s="188"/>
      <c r="I123" s="982" t="str">
        <f>IF(E119="Yes",999999999.99,"")</f>
        <v/>
      </c>
      <c r="J123" s="229"/>
      <c r="K123" s="1514"/>
      <c r="L123" s="188"/>
      <c r="M123" s="1795"/>
      <c r="N123" s="197"/>
      <c r="O123" s="914">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8"/>
      <c r="E124" s="223"/>
      <c r="F124" s="481" t="s">
        <v>2089</v>
      </c>
      <c r="G124" s="1543">
        <f>$H$9/52</f>
        <v>0</v>
      </c>
      <c r="H124" s="223"/>
      <c r="I124" s="240"/>
      <c r="J124" s="223"/>
      <c r="K124" s="223"/>
      <c r="L124" s="223"/>
      <c r="M124" s="1797"/>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788" t="s">
        <v>1105</v>
      </c>
      <c r="E126" s="1788"/>
      <c r="F126" s="213"/>
      <c r="G126" s="235"/>
      <c r="H126" s="183"/>
      <c r="I126" s="236"/>
      <c r="J126" s="216"/>
      <c r="K126" s="217"/>
      <c r="L126" s="183"/>
      <c r="M126" s="217"/>
      <c r="N126" s="1793" t="str">
        <f>IF(COUNTIF($K$131,"&gt;.02")&gt;0,"***Warning:You have entered an Rate % of Sales above the recommended amount.Rate % of Sales should be between 0% and 2%***","")</f>
        <v/>
      </c>
      <c r="O126" s="1793"/>
      <c r="P126" s="1794"/>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2" t="s">
        <v>523</v>
      </c>
      <c r="E127" s="847" t="s">
        <v>648</v>
      </c>
      <c r="F127" s="239"/>
      <c r="G127" s="228" t="s">
        <v>1380</v>
      </c>
      <c r="H127" s="554"/>
      <c r="I127" s="228" t="s">
        <v>1381</v>
      </c>
      <c r="J127" s="41"/>
      <c r="K127" s="228" t="s">
        <v>833</v>
      </c>
      <c r="L127" s="884"/>
      <c r="M127" s="194" t="s">
        <v>1382</v>
      </c>
      <c r="N127" s="1795"/>
      <c r="O127" s="1795"/>
      <c r="P127" s="1796"/>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9" t="s">
        <v>1383</v>
      </c>
      <c r="E128" s="894" t="s">
        <v>1384</v>
      </c>
      <c r="F128" s="196"/>
      <c r="G128" s="979"/>
      <c r="H128" s="554"/>
      <c r="I128" s="979"/>
      <c r="J128" s="884"/>
      <c r="K128" s="1517"/>
      <c r="L128" s="884"/>
      <c r="M128" s="1541"/>
      <c r="N128" s="1795"/>
      <c r="O128" s="1795"/>
      <c r="P128" s="1796"/>
      <c r="Q128" s="138"/>
      <c r="R128" s="134"/>
      <c r="S128" s="594"/>
      <c r="T128" s="842"/>
      <c r="U128" s="134"/>
      <c r="V128" s="134"/>
      <c r="W128" s="134"/>
      <c r="X128" s="134"/>
      <c r="Y128" s="134"/>
      <c r="Z128" s="134"/>
      <c r="AA128" s="134"/>
      <c r="AB128" s="134"/>
      <c r="AC128" s="134"/>
    </row>
    <row r="129" spans="1:29" s="1029" customFormat="1" ht="18" hidden="1" customHeight="1" thickBot="1" x14ac:dyDescent="0.25">
      <c r="A129" s="243"/>
      <c r="B129" s="243"/>
      <c r="C129" s="1377"/>
      <c r="D129" s="929"/>
      <c r="E129" s="41"/>
      <c r="F129" s="884"/>
      <c r="G129" s="237"/>
      <c r="H129" s="188"/>
      <c r="I129" s="238"/>
      <c r="J129" s="197"/>
      <c r="K129" s="218"/>
      <c r="L129" s="188"/>
      <c r="M129" s="1793"/>
      <c r="N129" s="1795"/>
      <c r="O129" s="1795"/>
      <c r="P129" s="1796"/>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6" t="s">
        <v>1385</v>
      </c>
      <c r="E130" s="1451" t="str">
        <f>IFERROR(IF(E127="Yes",IF(Welcome!$D$6="New",IF('Required Info to Submit'!F$14="","",'Required Info to Submit'!F$14),$E$123+1),""),"")</f>
        <v/>
      </c>
      <c r="F130" s="239"/>
      <c r="G130" s="194" t="s">
        <v>1387</v>
      </c>
      <c r="H130" s="188"/>
      <c r="I130" s="194" t="s">
        <v>1388</v>
      </c>
      <c r="J130" s="195"/>
      <c r="K130" s="194" t="s">
        <v>1389</v>
      </c>
      <c r="L130" s="188"/>
      <c r="M130" s="1795"/>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6" t="s">
        <v>1386</v>
      </c>
      <c r="E131" s="1451" t="str">
        <f>IFERROR(IF(E127="Yes",IF(Welcome!$D$6="New",IF($E$130="","",$E$130+370),IF(Welcome!$D$16=3,'Required Info to Submit'!F17,IF($E$130="","",$E$130+364))),""),"")</f>
        <v/>
      </c>
      <c r="F131" s="831" t="str">
        <f>'Incentives Worksheet'!G273</f>
        <v>Weekly Baseline</v>
      </c>
      <c r="G131" s="1519"/>
      <c r="H131" s="188"/>
      <c r="I131" s="982" t="str">
        <f>IF(E127="Yes",999999999.99,"")</f>
        <v/>
      </c>
      <c r="J131" s="229"/>
      <c r="K131" s="1514"/>
      <c r="L131" s="188"/>
      <c r="M131" s="1795"/>
      <c r="N131" s="197"/>
      <c r="O131" s="914">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8"/>
      <c r="E132" s="223"/>
      <c r="F132" s="481" t="s">
        <v>2089</v>
      </c>
      <c r="G132" s="1543">
        <f>$H$9/52</f>
        <v>0</v>
      </c>
      <c r="H132" s="223"/>
      <c r="I132" s="240"/>
      <c r="J132" s="223"/>
      <c r="K132" s="223"/>
      <c r="L132" s="223"/>
      <c r="M132" s="1797"/>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788" t="s">
        <v>1105</v>
      </c>
      <c r="E134" s="1788"/>
      <c r="F134" s="213"/>
      <c r="G134" s="235"/>
      <c r="H134" s="183"/>
      <c r="I134" s="236"/>
      <c r="J134" s="216"/>
      <c r="K134" s="217"/>
      <c r="L134" s="183"/>
      <c r="M134" s="217"/>
      <c r="N134" s="1793" t="str">
        <f>IF(COUNTIF($K$139,"&gt;.02")&gt;0,"***Warning:You have entered an Rate % of Sales above the recommended amount.Rate % of Sales should be between 0% and 2%***","")</f>
        <v/>
      </c>
      <c r="O134" s="1793"/>
      <c r="P134" s="1794"/>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2" t="s">
        <v>523</v>
      </c>
      <c r="E135" s="847" t="s">
        <v>648</v>
      </c>
      <c r="F135" s="239"/>
      <c r="G135" s="228" t="s">
        <v>1380</v>
      </c>
      <c r="H135" s="554"/>
      <c r="I135" s="228" t="s">
        <v>1381</v>
      </c>
      <c r="J135" s="41"/>
      <c r="K135" s="228" t="s">
        <v>833</v>
      </c>
      <c r="L135" s="884"/>
      <c r="M135" s="194" t="s">
        <v>1382</v>
      </c>
      <c r="N135" s="1795"/>
      <c r="O135" s="1795"/>
      <c r="P135" s="1796"/>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9" t="s">
        <v>1383</v>
      </c>
      <c r="E136" s="894" t="s">
        <v>1384</v>
      </c>
      <c r="F136" s="196"/>
      <c r="G136" s="979"/>
      <c r="H136" s="554"/>
      <c r="I136" s="979"/>
      <c r="J136" s="884"/>
      <c r="K136" s="1517"/>
      <c r="L136" s="884"/>
      <c r="M136" s="1541"/>
      <c r="N136" s="1795"/>
      <c r="O136" s="1795"/>
      <c r="P136" s="1796"/>
      <c r="Q136" s="138"/>
      <c r="R136" s="134"/>
      <c r="S136" s="594"/>
      <c r="T136" s="842"/>
      <c r="U136" s="134"/>
      <c r="V136" s="134"/>
      <c r="W136" s="134"/>
      <c r="X136" s="134"/>
      <c r="Y136" s="134"/>
      <c r="Z136" s="134"/>
      <c r="AA136" s="134"/>
      <c r="AB136" s="134"/>
      <c r="AC136" s="134"/>
    </row>
    <row r="137" spans="1:29" s="1029" customFormat="1" ht="18" hidden="1" customHeight="1" thickBot="1" x14ac:dyDescent="0.25">
      <c r="A137" s="243"/>
      <c r="B137" s="243"/>
      <c r="C137" s="1377"/>
      <c r="D137" s="929"/>
      <c r="E137" s="41"/>
      <c r="F137" s="884"/>
      <c r="G137" s="237"/>
      <c r="H137" s="188"/>
      <c r="I137" s="238"/>
      <c r="J137" s="197"/>
      <c r="K137" s="218"/>
      <c r="L137" s="188"/>
      <c r="M137" s="1793"/>
      <c r="N137" s="1795"/>
      <c r="O137" s="1795"/>
      <c r="P137" s="1796"/>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6" t="s">
        <v>1385</v>
      </c>
      <c r="E138" s="1451" t="str">
        <f>IFERROR(IF(E135="Yes",IF(Welcome!$D$6="New",IF('Required Info to Submit'!F$14="","",'Required Info to Submit'!F$14),$E$131+1),""),"")</f>
        <v/>
      </c>
      <c r="F138" s="239"/>
      <c r="G138" s="194" t="s">
        <v>1387</v>
      </c>
      <c r="H138" s="188"/>
      <c r="I138" s="194" t="s">
        <v>1388</v>
      </c>
      <c r="J138" s="195"/>
      <c r="K138" s="194" t="s">
        <v>1389</v>
      </c>
      <c r="L138" s="188"/>
      <c r="M138" s="1795"/>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6" t="s">
        <v>1386</v>
      </c>
      <c r="E139" s="1451" t="str">
        <f>IFERROR(IF($E$135="Yes",IF(Welcome!$D$6="New",IF($E$138="","",$E$138+370),IF(Welcome!$D$16=4,'Required Info to Submit'!F17,IF($E$138="","",$E$138+364))),""),"")</f>
        <v/>
      </c>
      <c r="F139" s="831" t="str">
        <f>'Incentives Worksheet'!G287</f>
        <v>Weekly Baseline</v>
      </c>
      <c r="G139" s="1519"/>
      <c r="H139" s="188"/>
      <c r="I139" s="982" t="str">
        <f>IF(E135="Yes",999999999.99,"")</f>
        <v/>
      </c>
      <c r="J139" s="229"/>
      <c r="K139" s="1514"/>
      <c r="L139" s="188"/>
      <c r="M139" s="1795"/>
      <c r="N139" s="197"/>
      <c r="O139" s="914">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8"/>
      <c r="E140" s="223"/>
      <c r="F140" s="481" t="s">
        <v>2089</v>
      </c>
      <c r="G140" s="1543">
        <f>$H$9/52</f>
        <v>0</v>
      </c>
      <c r="H140" s="223"/>
      <c r="I140" s="240"/>
      <c r="J140" s="223"/>
      <c r="K140" s="223"/>
      <c r="L140" s="223"/>
      <c r="M140" s="1797"/>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788" t="s">
        <v>1105</v>
      </c>
      <c r="E142" s="1788"/>
      <c r="F142" s="213"/>
      <c r="G142" s="235"/>
      <c r="H142" s="183"/>
      <c r="I142" s="236"/>
      <c r="J142" s="216"/>
      <c r="K142" s="217"/>
      <c r="L142" s="183"/>
      <c r="M142" s="217"/>
      <c r="N142" s="1793" t="str">
        <f>IF(COUNTIF($K$147,"&gt;.02")&gt;0,"***Warning:You have entered an Rate % of Sales above the recommended amount.Rate % of Sales should be between 0% and 2%***","")</f>
        <v/>
      </c>
      <c r="O142" s="1793"/>
      <c r="P142" s="1794"/>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2" t="s">
        <v>523</v>
      </c>
      <c r="E143" s="847" t="s">
        <v>648</v>
      </c>
      <c r="F143" s="239"/>
      <c r="G143" s="228" t="s">
        <v>1380</v>
      </c>
      <c r="H143" s="554"/>
      <c r="I143" s="228" t="s">
        <v>1381</v>
      </c>
      <c r="J143" s="41"/>
      <c r="K143" s="228" t="s">
        <v>833</v>
      </c>
      <c r="L143" s="884"/>
      <c r="M143" s="194" t="s">
        <v>1382</v>
      </c>
      <c r="N143" s="1795"/>
      <c r="O143" s="1795"/>
      <c r="P143" s="1796"/>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9" t="s">
        <v>1383</v>
      </c>
      <c r="E144" s="894" t="s">
        <v>1384</v>
      </c>
      <c r="F144" s="196"/>
      <c r="G144" s="979"/>
      <c r="H144" s="554"/>
      <c r="I144" s="979"/>
      <c r="J144" s="884"/>
      <c r="K144" s="1517"/>
      <c r="L144" s="884"/>
      <c r="M144" s="1541"/>
      <c r="N144" s="1795"/>
      <c r="O144" s="1795"/>
      <c r="P144" s="1796"/>
      <c r="Q144" s="138"/>
      <c r="R144" s="134"/>
      <c r="S144" s="594"/>
      <c r="T144" s="842"/>
      <c r="U144" s="134"/>
      <c r="V144" s="134"/>
      <c r="W144" s="134"/>
      <c r="X144" s="134"/>
      <c r="Y144" s="134"/>
      <c r="Z144" s="134"/>
      <c r="AA144" s="134"/>
      <c r="AB144" s="134"/>
      <c r="AC144" s="134"/>
    </row>
    <row r="145" spans="1:29" s="1029" customFormat="1" ht="18" hidden="1" customHeight="1" thickBot="1" x14ac:dyDescent="0.25">
      <c r="A145" s="243"/>
      <c r="B145" s="243"/>
      <c r="C145" s="1377"/>
      <c r="D145" s="929"/>
      <c r="E145" s="41"/>
      <c r="F145" s="884"/>
      <c r="G145" s="237"/>
      <c r="H145" s="188"/>
      <c r="I145" s="238"/>
      <c r="J145" s="197"/>
      <c r="K145" s="218"/>
      <c r="L145" s="188"/>
      <c r="M145" s="1793"/>
      <c r="N145" s="1795"/>
      <c r="O145" s="1795"/>
      <c r="P145" s="1796"/>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6" t="s">
        <v>1385</v>
      </c>
      <c r="E146" s="1451" t="str">
        <f>IFERROR(IF(E143="Yes",IF(Welcome!$D$6="New",IF('Required Info to Submit'!F$14="","",'Required Info to Submit'!F$14),$E$139+1),""),"")</f>
        <v/>
      </c>
      <c r="F146" s="239"/>
      <c r="G146" s="194" t="s">
        <v>1387</v>
      </c>
      <c r="H146" s="188"/>
      <c r="I146" s="194" t="s">
        <v>1388</v>
      </c>
      <c r="J146" s="195"/>
      <c r="K146" s="194" t="s">
        <v>1389</v>
      </c>
      <c r="L146" s="188"/>
      <c r="M146" s="1795"/>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6" t="s">
        <v>1386</v>
      </c>
      <c r="E147" s="1451" t="str">
        <f>IFERROR(IF(E143="Yes",IF(Welcome!$D$6="New",IF($E$146="","",$E$146+370),'Required Info to Submit'!F17),""),"")</f>
        <v/>
      </c>
      <c r="F147" s="831" t="str">
        <f>'Incentives Worksheet'!G301</f>
        <v>Weekly Baseline</v>
      </c>
      <c r="G147" s="1519"/>
      <c r="H147" s="188"/>
      <c r="I147" s="982" t="str">
        <f>IF(E143="Yes",999999999.99,"")</f>
        <v/>
      </c>
      <c r="J147" s="229"/>
      <c r="K147" s="1514"/>
      <c r="L147" s="188"/>
      <c r="M147" s="1795"/>
      <c r="N147" s="197"/>
      <c r="O147" s="914">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8"/>
      <c r="E148" s="223"/>
      <c r="F148" s="481" t="s">
        <v>2089</v>
      </c>
      <c r="G148" s="1543">
        <f>$H$9/52</f>
        <v>0</v>
      </c>
      <c r="H148" s="223"/>
      <c r="I148" s="240"/>
      <c r="J148" s="223"/>
      <c r="K148" s="223"/>
      <c r="L148" s="223"/>
      <c r="M148" s="1797"/>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788" t="s">
        <v>717</v>
      </c>
      <c r="E150" s="1788"/>
      <c r="F150" s="184"/>
      <c r="G150" s="235"/>
      <c r="H150" s="183"/>
      <c r="I150" s="236"/>
      <c r="J150" s="216"/>
      <c r="K150" s="217"/>
      <c r="L150" s="183"/>
      <c r="M150" s="217"/>
      <c r="N150" s="1793" t="str">
        <f>IF(COUNTIF($K$155,"&gt;.03")&gt;0,"***Warning:You have entered an Rate % of Sales above the recommended 3%***","")</f>
        <v/>
      </c>
      <c r="O150" s="1793"/>
      <c r="P150" s="1794"/>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2" t="s">
        <v>523</v>
      </c>
      <c r="E151" s="847" t="s">
        <v>648</v>
      </c>
      <c r="F151" s="239"/>
      <c r="G151" s="228" t="s">
        <v>1380</v>
      </c>
      <c r="H151" s="554"/>
      <c r="I151" s="228" t="s">
        <v>1381</v>
      </c>
      <c r="J151" s="41"/>
      <c r="K151" s="228" t="s">
        <v>833</v>
      </c>
      <c r="L151" s="145"/>
      <c r="M151" s="194" t="s">
        <v>1382</v>
      </c>
      <c r="N151" s="1795"/>
      <c r="O151" s="1795"/>
      <c r="P151" s="1796"/>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9" t="s">
        <v>1383</v>
      </c>
      <c r="E152" s="1512" t="s">
        <v>1384</v>
      </c>
      <c r="F152" s="239"/>
      <c r="G152" s="1517"/>
      <c r="H152" s="554"/>
      <c r="I152" s="1517"/>
      <c r="J152" s="145"/>
      <c r="K152" s="1517"/>
      <c r="L152" s="145"/>
      <c r="M152" s="1541"/>
      <c r="N152" s="1795"/>
      <c r="O152" s="1795"/>
      <c r="P152" s="1796"/>
      <c r="Q152" s="138"/>
      <c r="R152" s="134"/>
      <c r="S152" s="594"/>
      <c r="T152" s="842"/>
      <c r="U152" s="134"/>
      <c r="V152" s="134"/>
      <c r="W152" s="134"/>
      <c r="X152" s="134"/>
      <c r="Y152" s="134"/>
      <c r="Z152" s="134"/>
      <c r="AA152" s="134"/>
      <c r="AB152" s="134"/>
      <c r="AC152" s="134"/>
    </row>
    <row r="153" spans="1:29" ht="18" customHeight="1" thickBot="1" x14ac:dyDescent="0.3">
      <c r="A153" s="243"/>
      <c r="B153" s="243"/>
      <c r="C153" s="1377"/>
      <c r="D153" s="929"/>
      <c r="E153" s="41"/>
      <c r="F153" s="239"/>
      <c r="G153" s="237"/>
      <c r="H153" s="188"/>
      <c r="I153" s="238"/>
      <c r="J153" s="197"/>
      <c r="K153" s="218"/>
      <c r="L153" s="188"/>
      <c r="M153" s="1793"/>
      <c r="N153" s="1795"/>
      <c r="O153" s="1795"/>
      <c r="P153" s="1796"/>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6" t="s">
        <v>1385</v>
      </c>
      <c r="E154" s="1450" t="str">
        <f>IF(E151="Yes",IF(Welcome!$D$6="New",IF('Required Info to Submit'!F$14="","",'Required Info to Submit'!F$14),""),"")</f>
        <v/>
      </c>
      <c r="F154" s="239"/>
      <c r="G154" s="194" t="s">
        <v>1387</v>
      </c>
      <c r="H154" s="188"/>
      <c r="I154" s="194" t="s">
        <v>1388</v>
      </c>
      <c r="J154" s="195"/>
      <c r="K154" s="194" t="s">
        <v>1389</v>
      </c>
      <c r="L154" s="188"/>
      <c r="M154" s="1795"/>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6" t="s">
        <v>1386</v>
      </c>
      <c r="E155" s="1450" t="str">
        <f>IF(E151="Yes",IF(Welcome!$D$6="New",IF('Required Info to Submit'!F$17="","",'Required Info to Submit'!F$17),""),"")</f>
        <v/>
      </c>
      <c r="F155" s="831" t="s">
        <v>997</v>
      </c>
      <c r="G155" s="1535"/>
      <c r="H155" s="188"/>
      <c r="I155" s="913" t="str">
        <f>IF(E151="Yes",1,"")</f>
        <v/>
      </c>
      <c r="J155" s="229"/>
      <c r="K155" s="1514"/>
      <c r="L155" s="188"/>
      <c r="M155" s="1795"/>
      <c r="N155" s="218"/>
      <c r="O155" s="914">
        <f>IF(Welcome!D6="New",IF($E$151="Yes",K155*$H$10,0),IF(Incentives!E155&lt;Welcome!D12,0,IF($E$151="Yes",K155*$H$10,0)))</f>
        <v>0</v>
      </c>
      <c r="P155" s="221"/>
      <c r="Q155" s="138"/>
      <c r="R155" s="821"/>
      <c r="S155" s="595"/>
    </row>
    <row r="156" spans="1:29" ht="20.25" customHeight="1" x14ac:dyDescent="0.25">
      <c r="A156" s="245"/>
      <c r="B156" s="245"/>
      <c r="C156" s="1378"/>
      <c r="D156" s="928"/>
      <c r="E156" s="223"/>
      <c r="F156" s="223"/>
      <c r="G156" s="223"/>
      <c r="H156" s="223"/>
      <c r="I156" s="240"/>
      <c r="J156" s="223"/>
      <c r="K156" s="223"/>
      <c r="L156" s="223"/>
      <c r="M156" s="1797"/>
      <c r="N156" s="223"/>
      <c r="O156" s="223"/>
      <c r="P156" s="224"/>
      <c r="Q156" s="138"/>
      <c r="R156" s="821"/>
      <c r="S156" s="595"/>
    </row>
    <row r="157" spans="1:29" ht="10.15" customHeight="1" x14ac:dyDescent="0.25">
      <c r="A157" s="1597"/>
      <c r="I157" s="241"/>
      <c r="P157" s="242"/>
      <c r="Q157" s="138"/>
      <c r="R157" s="821"/>
      <c r="S157" s="595"/>
    </row>
    <row r="158" spans="1:29" s="822" customFormat="1" ht="20.25" customHeight="1" thickBot="1" x14ac:dyDescent="0.3">
      <c r="A158" s="248"/>
      <c r="B158" s="248"/>
      <c r="C158" s="446"/>
      <c r="D158" s="1788" t="s">
        <v>1095</v>
      </c>
      <c r="E158" s="1788"/>
      <c r="F158" s="213"/>
      <c r="G158" s="235"/>
      <c r="H158" s="183"/>
      <c r="I158" s="236"/>
      <c r="J158" s="216"/>
      <c r="K158" s="217"/>
      <c r="L158" s="183"/>
      <c r="M158" s="217"/>
      <c r="N158" s="179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93"/>
      <c r="P158" s="1794"/>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95"/>
      <c r="O159" s="1795"/>
      <c r="P159" s="1796"/>
      <c r="Q159" s="179"/>
      <c r="S159" s="596"/>
    </row>
    <row r="160" spans="1:29" s="822" customFormat="1" ht="18" customHeight="1" thickBot="1" x14ac:dyDescent="0.3">
      <c r="A160" s="243"/>
      <c r="B160" s="243"/>
      <c r="C160" s="439"/>
      <c r="D160" s="829" t="s">
        <v>1383</v>
      </c>
      <c r="E160" s="1512" t="s">
        <v>1384</v>
      </c>
      <c r="F160" s="660" t="s">
        <v>1095</v>
      </c>
      <c r="G160" s="1517" t="str">
        <f>IF(E160&lt;&gt;"Please Select","Program","")</f>
        <v/>
      </c>
      <c r="H160" s="554"/>
      <c r="I160" s="1517"/>
      <c r="J160" s="145"/>
      <c r="K160" s="1517" t="str">
        <f>IF(E160&lt;&gt;"Please Select","Corporate Office","")</f>
        <v/>
      </c>
      <c r="L160" s="145"/>
      <c r="M160" s="1538"/>
      <c r="N160" s="1795"/>
      <c r="O160" s="1795"/>
      <c r="P160" s="1796"/>
      <c r="Q160" s="179"/>
      <c r="S160" s="596"/>
    </row>
    <row r="161" spans="1:19" s="822" customFormat="1" ht="18" customHeight="1" thickBot="1" x14ac:dyDescent="0.3">
      <c r="A161" s="243"/>
      <c r="B161" s="243"/>
      <c r="C161" s="439"/>
      <c r="D161" s="7"/>
      <c r="E161" s="145"/>
      <c r="F161" s="145"/>
      <c r="G161" s="188"/>
      <c r="H161" s="188"/>
      <c r="I161" s="188"/>
      <c r="J161" s="188"/>
      <c r="K161" s="188"/>
      <c r="L161" s="188"/>
      <c r="M161" s="1783"/>
      <c r="N161" s="1795"/>
      <c r="O161" s="1795"/>
      <c r="P161" s="1796"/>
      <c r="Q161" s="179"/>
      <c r="S161" s="593" t="str">
        <f>IF($E161="NO","",IF($I160="Select Payment Method","X",""))</f>
        <v/>
      </c>
    </row>
    <row r="162" spans="1:19" s="822" customFormat="1" ht="18" customHeight="1" thickBot="1" x14ac:dyDescent="0.3">
      <c r="A162" s="243"/>
      <c r="B162" s="243"/>
      <c r="C162" s="439"/>
      <c r="D162" s="836" t="s">
        <v>1385</v>
      </c>
      <c r="E162" s="1450" t="str">
        <f>IF(E159="Yes",IF(Welcome!$D$6="New",IF('Required Info to Submit'!F$14="","",'Required Info to Submit'!F$14),""),"")</f>
        <v/>
      </c>
      <c r="F162" s="659"/>
      <c r="G162" s="228" t="s">
        <v>1396</v>
      </c>
      <c r="H162" s="188"/>
      <c r="I162" s="402"/>
      <c r="J162" s="195"/>
      <c r="K162" s="402"/>
      <c r="L162" s="188"/>
      <c r="M162" s="1785"/>
      <c r="N162" s="218"/>
      <c r="O162" s="6" t="s">
        <v>490</v>
      </c>
      <c r="P162" s="244"/>
      <c r="Q162" s="179"/>
      <c r="S162" s="596"/>
    </row>
    <row r="163" spans="1:19" s="822" customFormat="1" ht="18" customHeight="1" thickBot="1" x14ac:dyDescent="0.3">
      <c r="A163" s="243"/>
      <c r="B163" s="243"/>
      <c r="C163" s="439"/>
      <c r="D163" s="836" t="s">
        <v>1386</v>
      </c>
      <c r="E163" s="1450" t="str">
        <f>IF(E159="Yes",IF(Welcome!$D$6="New",IF('Required Info to Submit'!F$17="","",'Required Info to Submit'!F$17),""),"")</f>
        <v/>
      </c>
      <c r="F163" s="660" t="s">
        <v>1095</v>
      </c>
      <c r="G163" s="1519"/>
      <c r="H163" s="188"/>
      <c r="I163" s="238"/>
      <c r="J163" s="197"/>
      <c r="K163" s="1033"/>
      <c r="L163" s="188"/>
      <c r="M163" s="1785"/>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805"/>
      <c r="N164" s="202"/>
      <c r="O164" s="202"/>
      <c r="P164" s="250"/>
      <c r="Q164" s="251"/>
    </row>
    <row r="165" spans="1:19" s="176" customFormat="1" ht="9" customHeight="1" x14ac:dyDescent="0.25">
      <c r="C165" s="1376"/>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788" t="s">
        <v>1095</v>
      </c>
      <c r="E166" s="1788"/>
      <c r="F166" s="213"/>
      <c r="G166" s="235"/>
      <c r="H166" s="183"/>
      <c r="I166" s="236"/>
      <c r="J166" s="216"/>
      <c r="K166" s="217"/>
      <c r="L166" s="183"/>
      <c r="M166" s="217"/>
      <c r="N166" s="179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93"/>
      <c r="P166" s="1794"/>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95"/>
      <c r="O167" s="1795"/>
      <c r="P167" s="1796"/>
      <c r="Q167" s="179"/>
      <c r="S167" s="596"/>
    </row>
    <row r="168" spans="1:19" s="822" customFormat="1" ht="18" hidden="1" customHeight="1" thickBot="1" x14ac:dyDescent="0.3">
      <c r="A168" s="243"/>
      <c r="B168" s="243"/>
      <c r="C168" s="439"/>
      <c r="D168" s="829" t="s">
        <v>1383</v>
      </c>
      <c r="E168" s="1512" t="s">
        <v>1384</v>
      </c>
      <c r="F168" s="660" t="s">
        <v>1095</v>
      </c>
      <c r="G168" s="1517" t="str">
        <f>IF(E168&lt;&gt;"Please Select","Program","")</f>
        <v/>
      </c>
      <c r="H168" s="554"/>
      <c r="I168" s="1517"/>
      <c r="J168" s="145"/>
      <c r="K168" s="1517" t="str">
        <f>IF(E168&lt;&gt;"Please Select","Corporate Office","")</f>
        <v/>
      </c>
      <c r="L168" s="145"/>
      <c r="M168" s="1538"/>
      <c r="N168" s="1795"/>
      <c r="O168" s="1795"/>
      <c r="P168" s="1796"/>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783"/>
      <c r="N169" s="1795"/>
      <c r="O169" s="1795"/>
      <c r="P169" s="1796"/>
      <c r="Q169" s="179"/>
      <c r="S169" s="593" t="str">
        <f>IF($E169="NO","",IF($I168="Select Payment Method","X",""))</f>
        <v/>
      </c>
    </row>
    <row r="170" spans="1:19" s="822" customFormat="1" ht="18" hidden="1" customHeight="1" thickBot="1" x14ac:dyDescent="0.3">
      <c r="A170" s="243"/>
      <c r="B170" s="243"/>
      <c r="C170" s="439"/>
      <c r="D170" s="836" t="s">
        <v>1385</v>
      </c>
      <c r="E170" s="1450" t="str">
        <f>IF(E167="Yes",IF(Welcome!$D$6="New",IF('Required Info to Submit'!F$14="","",'Required Info to Submit'!F$14),""),"")</f>
        <v/>
      </c>
      <c r="F170" s="659"/>
      <c r="G170" s="228" t="s">
        <v>1396</v>
      </c>
      <c r="H170" s="188"/>
      <c r="I170" s="402"/>
      <c r="J170" s="195"/>
      <c r="K170" s="402"/>
      <c r="L170" s="188"/>
      <c r="M170" s="1785"/>
      <c r="N170" s="218"/>
      <c r="O170" s="6" t="s">
        <v>490</v>
      </c>
      <c r="P170" s="244"/>
      <c r="Q170" s="179"/>
      <c r="S170" s="596"/>
    </row>
    <row r="171" spans="1:19" s="822" customFormat="1" ht="18" hidden="1" customHeight="1" thickBot="1" x14ac:dyDescent="0.3">
      <c r="A171" s="243"/>
      <c r="B171" s="243"/>
      <c r="C171" s="439"/>
      <c r="D171" s="836" t="s">
        <v>1386</v>
      </c>
      <c r="E171" s="1450" t="str">
        <f>IF(E167="Yes",IF(Welcome!$D$6="New",IF('Required Info to Submit'!F$17="","",'Required Info to Submit'!F$17),""),"")</f>
        <v/>
      </c>
      <c r="F171" s="660" t="s">
        <v>1095</v>
      </c>
      <c r="G171" s="1519"/>
      <c r="H171" s="188"/>
      <c r="I171" s="238"/>
      <c r="J171" s="197"/>
      <c r="K171" s="1033"/>
      <c r="L171" s="188"/>
      <c r="M171" s="1785"/>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805"/>
      <c r="N172" s="202"/>
      <c r="O172" s="202"/>
      <c r="P172" s="250"/>
      <c r="Q172" s="251"/>
    </row>
    <row r="173" spans="1:19" s="822" customFormat="1" ht="10.15" hidden="1" customHeight="1" x14ac:dyDescent="0.25">
      <c r="A173" s="159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788" t="s">
        <v>999</v>
      </c>
      <c r="E174" s="1788"/>
      <c r="F174" s="1424"/>
      <c r="G174" s="1424"/>
      <c r="H174" s="1424"/>
      <c r="I174" s="1424"/>
      <c r="J174" s="184"/>
      <c r="K174" s="184"/>
      <c r="L174" s="184"/>
      <c r="M174" s="184"/>
      <c r="N174" s="184"/>
      <c r="O174" s="1783" t="str">
        <f>IF(AND(Welcome!$D$20&lt;&gt;"Yes",$E$175="Yes"),"Credit Card Payment on the Welcome Sheet must be ""YES""  to proceed with this incentive!","")</f>
        <v/>
      </c>
      <c r="P174" s="1784"/>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85"/>
      <c r="P175" s="1786"/>
      <c r="Q175" s="251"/>
    </row>
    <row r="176" spans="1:19" s="176" customFormat="1" ht="18" customHeight="1" thickBot="1" x14ac:dyDescent="0.3">
      <c r="A176" s="243"/>
      <c r="B176" s="243"/>
      <c r="C176" s="465"/>
      <c r="D176" s="829" t="s">
        <v>1383</v>
      </c>
      <c r="E176" s="1512" t="s">
        <v>1384</v>
      </c>
      <c r="F176" s="196"/>
      <c r="G176" s="1517"/>
      <c r="H176" s="554"/>
      <c r="I176" s="1517"/>
      <c r="J176" s="145"/>
      <c r="K176" s="1586"/>
      <c r="L176" s="145"/>
      <c r="M176" s="1541"/>
      <c r="N176" s="145"/>
      <c r="O176" s="1785"/>
      <c r="P176" s="1786"/>
      <c r="Q176" s="251"/>
    </row>
    <row r="177" spans="1:19" s="176" customFormat="1" ht="18" customHeight="1" thickBot="1" x14ac:dyDescent="0.3">
      <c r="A177" s="243"/>
      <c r="B177" s="243"/>
      <c r="C177" s="465"/>
      <c r="D177" s="7"/>
      <c r="E177" s="597"/>
      <c r="F177" s="843"/>
      <c r="G177" s="843"/>
      <c r="H177" s="145"/>
      <c r="I177" s="145"/>
      <c r="J177" s="145"/>
      <c r="K177" s="145"/>
      <c r="L177" s="145"/>
      <c r="M177" s="1783"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IF($D$334=0,"",IF($E177="NO","",IF($I176="Select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0" t="str">
        <f>IF(E175="Yes",IF(Welcome!$D$6="New",IF('Required Info to Submit'!F$14="","",'Required Info to Submit'!F$14),""),"")</f>
        <v/>
      </c>
      <c r="F178" s="239"/>
      <c r="G178" s="145"/>
      <c r="H178" s="145"/>
      <c r="I178" s="145"/>
      <c r="J178" s="145"/>
      <c r="K178" s="194" t="s">
        <v>1389</v>
      </c>
      <c r="L178" s="188"/>
      <c r="M178" s="1785"/>
      <c r="N178" s="145"/>
      <c r="O178" s="6" t="s">
        <v>490</v>
      </c>
      <c r="P178" s="612"/>
      <c r="Q178" s="251"/>
    </row>
    <row r="179" spans="1:19" s="176" customFormat="1" ht="18" customHeight="1" thickBot="1" x14ac:dyDescent="0.3">
      <c r="A179" s="243"/>
      <c r="B179" s="243"/>
      <c r="C179" s="465"/>
      <c r="D179" s="836" t="s">
        <v>1386</v>
      </c>
      <c r="E179" s="1450" t="str">
        <f>IF(E175="Yes",IF(Welcome!$D$6="New",IF('Required Info to Submit'!F$17="","",'Required Info to Submit'!F$17),""),"")</f>
        <v/>
      </c>
      <c r="F179" s="196"/>
      <c r="G179" s="1335"/>
      <c r="H179" s="145"/>
      <c r="I179" s="145"/>
      <c r="J179" s="145"/>
      <c r="K179" s="1514"/>
      <c r="L179" s="188"/>
      <c r="M179" s="1785"/>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805"/>
      <c r="N180" s="202"/>
      <c r="O180" s="202"/>
      <c r="P180" s="250"/>
      <c r="Q180" s="251"/>
    </row>
    <row r="181" spans="1:19" s="878" customFormat="1" ht="10.15" customHeight="1" x14ac:dyDescent="0.25">
      <c r="A181" s="159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88" t="s">
        <v>1474</v>
      </c>
      <c r="E182" s="1788"/>
      <c r="F182" s="213"/>
      <c r="G182" s="235"/>
      <c r="H182" s="183"/>
      <c r="I182" s="236"/>
      <c r="J182" s="216"/>
      <c r="K182" s="217"/>
      <c r="L182" s="183"/>
      <c r="M182" s="217"/>
      <c r="N182" s="182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23"/>
      <c r="P182" s="1824"/>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825"/>
      <c r="O183" s="1825"/>
      <c r="P183" s="1826"/>
      <c r="Q183" s="179"/>
      <c r="S183" s="596"/>
    </row>
    <row r="184" spans="1:19" s="878" customFormat="1" ht="18" customHeight="1" thickBot="1" x14ac:dyDescent="0.3">
      <c r="A184" s="243"/>
      <c r="B184" s="243"/>
      <c r="C184" s="439"/>
      <c r="D184" s="829" t="s">
        <v>1383</v>
      </c>
      <c r="E184" s="886" t="s">
        <v>1384</v>
      </c>
      <c r="F184" s="660" t="s">
        <v>1095</v>
      </c>
      <c r="G184" s="1517" t="str">
        <f>IF(E184&lt;&gt;"Please Select","Program","")</f>
        <v/>
      </c>
      <c r="H184" s="554"/>
      <c r="I184" s="1517"/>
      <c r="J184" s="145"/>
      <c r="K184" s="1517" t="str">
        <f>IF(E184&lt;&gt;"Please Select","Corporate Office","")</f>
        <v/>
      </c>
      <c r="L184" s="145"/>
      <c r="M184" s="1628"/>
      <c r="N184" s="1825"/>
      <c r="O184" s="1825"/>
      <c r="P184" s="1826"/>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825"/>
      <c r="O185" s="1825"/>
      <c r="P185" s="1826"/>
      <c r="Q185" s="179"/>
      <c r="S185" s="596"/>
    </row>
    <row r="186" spans="1:19" s="878" customFormat="1" ht="18" customHeight="1" thickBot="1" x14ac:dyDescent="0.3">
      <c r="A186" s="243"/>
      <c r="B186" s="243"/>
      <c r="C186" s="439"/>
      <c r="D186" s="836" t="s">
        <v>1385</v>
      </c>
      <c r="E186" s="1451"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1" t="str">
        <f>IF(E183="Yes",IF(Welcome!$D$6="New",IF('Required Info to Submit'!F$17="","",'Required Info to Submit'!F$17),""),"")</f>
        <v/>
      </c>
      <c r="F187" s="659"/>
      <c r="G187" s="1518">
        <f>IFERROR(I187+K187,0)</f>
        <v>0</v>
      </c>
      <c r="H187" s="188"/>
      <c r="I187" s="1518"/>
      <c r="J187" s="145"/>
      <c r="K187" s="1518"/>
      <c r="L187" s="145"/>
      <c r="M187" s="1518"/>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89" t="s">
        <v>1477</v>
      </c>
      <c r="E189" s="1790"/>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791" t="s">
        <v>1478</v>
      </c>
      <c r="E190" s="1792"/>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88" t="s">
        <v>1132</v>
      </c>
      <c r="E193" s="1788"/>
      <c r="F193" s="213"/>
      <c r="G193" s="235"/>
      <c r="H193" s="183"/>
      <c r="I193" s="236"/>
      <c r="J193" s="216"/>
      <c r="K193" s="217"/>
      <c r="L193" s="183"/>
      <c r="M193" s="217"/>
      <c r="N193" s="182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23"/>
      <c r="P193" s="1824"/>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825"/>
      <c r="O194" s="1825"/>
      <c r="P194" s="1826"/>
      <c r="Q194" s="179"/>
      <c r="S194" s="596"/>
    </row>
    <row r="195" spans="1:19" s="822" customFormat="1" ht="18" customHeight="1" thickBot="1" x14ac:dyDescent="0.3">
      <c r="A195" s="243"/>
      <c r="B195" s="243"/>
      <c r="C195" s="439"/>
      <c r="D195" s="829" t="s">
        <v>1383</v>
      </c>
      <c r="E195" s="1512" t="s">
        <v>1384</v>
      </c>
      <c r="F195" s="884"/>
      <c r="G195" s="983"/>
      <c r="H195" s="188"/>
      <c r="I195" s="1517"/>
      <c r="J195" s="884"/>
      <c r="K195" s="1517" t="str">
        <f>IF(E195&lt;&gt;"Please Select","Corporate Office","")</f>
        <v/>
      </c>
      <c r="L195" s="188"/>
      <c r="M195" s="1483"/>
      <c r="N195" s="1825"/>
      <c r="O195" s="1825"/>
      <c r="P195" s="1826"/>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825"/>
      <c r="O196" s="1825"/>
      <c r="P196" s="1826"/>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0" t="str">
        <f>IF(E194="Yes",IF(Welcome!$D$6="New",IF('Required Info to Submit'!F$14="","",'Required Info to Submit'!F$14),""),"")</f>
        <v/>
      </c>
      <c r="F197" s="659"/>
      <c r="G197" s="228" t="s">
        <v>1396</v>
      </c>
      <c r="H197" s="188"/>
      <c r="I197" s="194" t="s">
        <v>1482</v>
      </c>
      <c r="J197" s="1832"/>
      <c r="K197" s="194" t="s">
        <v>727</v>
      </c>
      <c r="L197" s="1832"/>
      <c r="M197" s="194" t="s">
        <v>1483</v>
      </c>
      <c r="N197" s="145"/>
      <c r="O197" s="6" t="s">
        <v>490</v>
      </c>
      <c r="P197" s="244"/>
      <c r="Q197" s="179"/>
      <c r="S197" s="596"/>
    </row>
    <row r="198" spans="1:19" s="822" customFormat="1" ht="18" customHeight="1" thickBot="1" x14ac:dyDescent="0.3">
      <c r="A198" s="243"/>
      <c r="B198" s="243"/>
      <c r="C198" s="439"/>
      <c r="D198" s="836" t="s">
        <v>1386</v>
      </c>
      <c r="E198" s="1450" t="str">
        <f>IF(E194="Yes",IF(Welcome!$D$6="New",IF('Required Info to Submit'!F$17="","",'Required Info to Submit'!F$17),""),"")</f>
        <v/>
      </c>
      <c r="F198" s="660" t="s">
        <v>877</v>
      </c>
      <c r="G198" s="917"/>
      <c r="H198" s="188"/>
      <c r="I198" s="919">
        <v>1</v>
      </c>
      <c r="J198" s="1833"/>
      <c r="K198" s="1518"/>
      <c r="L198" s="1840"/>
      <c r="M198" s="1518"/>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8"/>
      <c r="L199" s="890"/>
      <c r="M199" s="1518"/>
      <c r="N199" s="884"/>
      <c r="O199" s="1842"/>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8"/>
      <c r="L200" s="890"/>
      <c r="M200" s="1518"/>
      <c r="N200" s="884"/>
      <c r="O200" s="1843"/>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8"/>
      <c r="L201" s="890"/>
      <c r="M201" s="1518"/>
      <c r="N201" s="884"/>
      <c r="O201" s="1843"/>
      <c r="P201" s="244"/>
      <c r="Q201" s="179"/>
      <c r="S201" s="653"/>
    </row>
    <row r="202" spans="1:19" s="879" customFormat="1" ht="18" customHeight="1" x14ac:dyDescent="0.25">
      <c r="A202" s="243"/>
      <c r="B202" s="243"/>
      <c r="C202" s="439"/>
      <c r="D202" s="934"/>
      <c r="E202" s="662"/>
      <c r="F202" s="660"/>
      <c r="G202" s="555"/>
      <c r="H202" s="554"/>
      <c r="I202" s="919">
        <v>5</v>
      </c>
      <c r="J202" s="889"/>
      <c r="K202" s="1518"/>
      <c r="L202" s="890"/>
      <c r="M202" s="1518"/>
      <c r="N202" s="884"/>
      <c r="O202" s="1843"/>
      <c r="P202" s="244"/>
      <c r="Q202" s="179"/>
      <c r="S202" s="653"/>
    </row>
    <row r="203" spans="1:19" s="176" customFormat="1" ht="21" customHeight="1" x14ac:dyDescent="0.25">
      <c r="A203" s="245"/>
      <c r="B203" s="245"/>
      <c r="C203" s="661"/>
      <c r="D203" s="481"/>
      <c r="E203" s="202"/>
      <c r="F203" s="661"/>
      <c r="G203" s="661"/>
      <c r="H203" s="202"/>
      <c r="I203" s="887"/>
      <c r="J203" s="202"/>
      <c r="K203" s="1037">
        <f>SUM(K198:K202)</f>
        <v>0</v>
      </c>
      <c r="L203" s="202"/>
      <c r="M203" s="202"/>
      <c r="N203" s="202"/>
      <c r="O203" s="1844"/>
      <c r="P203" s="250"/>
      <c r="Q203" s="251"/>
    </row>
    <row r="204" spans="1:19" s="822" customFormat="1" ht="9" customHeight="1" x14ac:dyDescent="0.25">
      <c r="A204" s="159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88" t="s">
        <v>1132</v>
      </c>
      <c r="E205" s="1788"/>
      <c r="F205" s="213"/>
      <c r="G205" s="235"/>
      <c r="H205" s="183"/>
      <c r="I205" s="236"/>
      <c r="J205" s="216"/>
      <c r="K205" s="217"/>
      <c r="L205" s="183"/>
      <c r="M205" s="217"/>
      <c r="N205" s="182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23"/>
      <c r="P205" s="1824"/>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825"/>
      <c r="O206" s="1825"/>
      <c r="P206" s="1826"/>
      <c r="Q206" s="179"/>
      <c r="S206" s="596"/>
    </row>
    <row r="207" spans="1:19" s="822" customFormat="1" ht="18" hidden="1" customHeight="1" thickBot="1" x14ac:dyDescent="0.3">
      <c r="A207" s="243"/>
      <c r="B207" s="243"/>
      <c r="C207" s="439"/>
      <c r="D207" s="829" t="s">
        <v>1383</v>
      </c>
      <c r="E207" s="1333" t="s">
        <v>1384</v>
      </c>
      <c r="F207" s="660" t="s">
        <v>877</v>
      </c>
      <c r="G207" s="983"/>
      <c r="H207" s="188"/>
      <c r="I207" s="1336"/>
      <c r="J207" s="884"/>
      <c r="K207" s="1336" t="str">
        <f>IF($E$207&lt;&gt;"Please Select","Corporate Office","")</f>
        <v/>
      </c>
      <c r="L207" s="188"/>
      <c r="M207" s="1483"/>
      <c r="N207" s="1825"/>
      <c r="O207" s="1825"/>
      <c r="P207" s="1826"/>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825"/>
      <c r="O208" s="1825"/>
      <c r="P208" s="1826"/>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1" t="str">
        <f>IF(E206="Yes",IF(Welcome!$D$6="New",IF('Required Info to Submit'!F$14="","",'Required Info to Submit'!F$14),""),"")</f>
        <v/>
      </c>
      <c r="F209" s="659"/>
      <c r="G209" s="228" t="s">
        <v>1396</v>
      </c>
      <c r="H209" s="188"/>
      <c r="I209" s="194" t="s">
        <v>1482</v>
      </c>
      <c r="J209" s="1832"/>
      <c r="K209" s="194" t="s">
        <v>727</v>
      </c>
      <c r="L209" s="1832"/>
      <c r="M209" s="194" t="s">
        <v>1483</v>
      </c>
      <c r="N209" s="884"/>
      <c r="O209" s="6" t="s">
        <v>490</v>
      </c>
      <c r="P209" s="244"/>
      <c r="Q209" s="179"/>
      <c r="S209" s="596"/>
    </row>
    <row r="210" spans="1:19" s="822" customFormat="1" ht="18" hidden="1" customHeight="1" thickBot="1" x14ac:dyDescent="0.3">
      <c r="A210" s="243"/>
      <c r="B210" s="243"/>
      <c r="C210" s="439"/>
      <c r="D210" s="836" t="s">
        <v>1386</v>
      </c>
      <c r="E210" s="1451" t="str">
        <f>IF(E206="Yes",IF(Welcome!$D$6="New",IF('Required Info to Submit'!F$17="","",'Required Info to Submit'!F$17),""),"")</f>
        <v/>
      </c>
      <c r="F210" s="660" t="s">
        <v>877</v>
      </c>
      <c r="G210" s="1337"/>
      <c r="H210" s="188"/>
      <c r="I210" s="919">
        <v>1</v>
      </c>
      <c r="J210" s="1833"/>
      <c r="K210" s="1518"/>
      <c r="L210" s="1840"/>
      <c r="M210" s="1518"/>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8"/>
      <c r="L211" s="890"/>
      <c r="M211" s="1518"/>
      <c r="N211" s="884"/>
      <c r="O211" s="1842"/>
      <c r="P211" s="244"/>
      <c r="Q211" s="179"/>
    </row>
    <row r="212" spans="1:19" s="879" customFormat="1" ht="18" hidden="1" customHeight="1" x14ac:dyDescent="0.25">
      <c r="A212" s="243"/>
      <c r="B212" s="243"/>
      <c r="C212" s="439"/>
      <c r="D212" s="934"/>
      <c r="E212" s="662"/>
      <c r="F212" s="660"/>
      <c r="G212" s="194" t="s">
        <v>1389</v>
      </c>
      <c r="H212" s="554"/>
      <c r="I212" s="919">
        <v>3</v>
      </c>
      <c r="J212" s="889"/>
      <c r="K212" s="1518"/>
      <c r="L212" s="890"/>
      <c r="M212" s="1518"/>
      <c r="N212" s="884"/>
      <c r="O212" s="1843"/>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8"/>
      <c r="L213" s="890"/>
      <c r="M213" s="1518"/>
      <c r="N213" s="884"/>
      <c r="O213" s="1843"/>
      <c r="P213" s="244"/>
      <c r="Q213" s="179"/>
    </row>
    <row r="214" spans="1:19" s="879" customFormat="1" ht="18" hidden="1" customHeight="1" x14ac:dyDescent="0.25">
      <c r="A214" s="243"/>
      <c r="B214" s="243"/>
      <c r="C214" s="439"/>
      <c r="D214" s="934"/>
      <c r="E214" s="662"/>
      <c r="F214" s="660"/>
      <c r="G214" s="555"/>
      <c r="H214" s="554"/>
      <c r="I214" s="919">
        <v>5</v>
      </c>
      <c r="J214" s="889"/>
      <c r="K214" s="1518"/>
      <c r="L214" s="890"/>
      <c r="M214" s="1518"/>
      <c r="N214" s="884"/>
      <c r="O214" s="1843"/>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44"/>
      <c r="P215" s="250"/>
      <c r="Q215" s="251"/>
    </row>
    <row r="216" spans="1:19" s="822" customFormat="1" ht="10.15" hidden="1" customHeight="1" x14ac:dyDescent="0.25">
      <c r="A216" s="159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836" t="s">
        <v>1484</v>
      </c>
      <c r="E217" s="1836"/>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2" t="s">
        <v>1384</v>
      </c>
      <c r="F219" s="196"/>
      <c r="G219" s="843"/>
      <c r="H219" s="145"/>
      <c r="I219" s="1516"/>
      <c r="J219" s="884"/>
      <c r="K219" s="1517"/>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41"/>
      <c r="N220" s="145"/>
      <c r="O220" s="145"/>
      <c r="P220" s="612"/>
      <c r="Q220" s="251"/>
      <c r="S220" s="593" t="str">
        <f>IF($D$334=0,"",IF($E220="NO","",IF($I219="Select Payment Method","X","")))</f>
        <v/>
      </c>
    </row>
    <row r="221" spans="1:19" s="176" customFormat="1" ht="16.5" hidden="1" thickBot="1" x14ac:dyDescent="0.3">
      <c r="A221" s="243"/>
      <c r="B221" s="243"/>
      <c r="C221" s="465"/>
      <c r="D221" s="836" t="s">
        <v>1385</v>
      </c>
      <c r="E221" s="1450" t="str">
        <f>IF(E218="Yes",IF(Welcome!$D$6="New",IF('Required Info to Submit'!F$14="","",'Required Info to Submit'!F$14),""),"")</f>
        <v/>
      </c>
      <c r="F221" s="239"/>
      <c r="G221" s="884"/>
      <c r="H221" s="145"/>
      <c r="I221" s="884"/>
      <c r="J221" s="884"/>
      <c r="K221" s="194" t="s">
        <v>1389</v>
      </c>
      <c r="L221" s="188"/>
      <c r="M221" s="1841"/>
      <c r="N221" s="145"/>
      <c r="O221" s="1066"/>
      <c r="P221" s="612"/>
      <c r="Q221" s="251"/>
    </row>
    <row r="222" spans="1:19" s="176" customFormat="1" ht="18" hidden="1" customHeight="1" thickBot="1" x14ac:dyDescent="0.3">
      <c r="A222" s="243"/>
      <c r="B222" s="243"/>
      <c r="C222" s="465"/>
      <c r="D222" s="836" t="s">
        <v>1386</v>
      </c>
      <c r="E222" s="1450" t="str">
        <f>IF(E218="Yes",IF(Welcome!$D$6="New",IF('Required Info to Submit'!F$17="","",'Required Info to Submit'!F$17),""),"")</f>
        <v/>
      </c>
      <c r="F222" s="196"/>
      <c r="G222" s="884"/>
      <c r="H222" s="145"/>
      <c r="I222" s="884"/>
      <c r="J222" s="884"/>
      <c r="K222" s="1520"/>
      <c r="L222" s="893">
        <f>IF(G201&gt;1,1,G201)</f>
        <v>0</v>
      </c>
      <c r="M222" s="1841"/>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805"/>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836" t="s">
        <v>1776</v>
      </c>
      <c r="E225" s="1837"/>
      <c r="F225" s="892"/>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5"/>
    </row>
    <row r="227" spans="1:17" s="180" customFormat="1" ht="29.25" hidden="1" customHeight="1" thickBot="1" x14ac:dyDescent="0.3">
      <c r="A227" s="243"/>
      <c r="B227" s="243"/>
      <c r="C227" s="465"/>
      <c r="D227" s="829" t="s">
        <v>1383</v>
      </c>
      <c r="E227" s="1355" t="s">
        <v>1384</v>
      </c>
      <c r="F227" s="196"/>
      <c r="G227" s="1356" t="str">
        <f>IF(E226="Yes","Program","")</f>
        <v/>
      </c>
      <c r="H227" s="188"/>
      <c r="I227" s="1357"/>
      <c r="J227" s="884"/>
      <c r="K227" s="1356" t="str">
        <f>IF(E226="Yes","Corporate Office","")</f>
        <v/>
      </c>
      <c r="L227" s="188"/>
      <c r="M227" s="1358"/>
      <c r="N227" s="884"/>
      <c r="O227" s="884"/>
      <c r="P227" s="612"/>
      <c r="Q227" s="112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5"/>
    </row>
    <row r="229" spans="1:17" s="180" customFormat="1" ht="19.5" hidden="1" customHeight="1" thickBot="1" x14ac:dyDescent="0.3">
      <c r="A229" s="243"/>
      <c r="B229" s="243"/>
      <c r="C229" s="465"/>
      <c r="D229" s="836" t="s">
        <v>1385</v>
      </c>
      <c r="E229" s="1451" t="str">
        <f>IF(E226="Yes",IFERROR(VLOOKUP(G233,'Required Info to Submit'!$E$23:'Required Info to Submit'!$M$32,7, FALSE),""),"")</f>
        <v/>
      </c>
      <c r="F229" s="239"/>
      <c r="G229" s="228" t="s">
        <v>1396</v>
      </c>
      <c r="H229" s="188"/>
      <c r="I229" s="1359"/>
      <c r="J229" s="1359"/>
      <c r="K229" s="194" t="s">
        <v>1389</v>
      </c>
      <c r="L229" s="1359"/>
      <c r="M229" s="1838"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6" t="s">
        <v>1386</v>
      </c>
      <c r="E230" s="1451" t="str">
        <f>IF(E226="Yes",'Agreement Worksheet'!$K$5,"")</f>
        <v/>
      </c>
      <c r="F230" s="196"/>
      <c r="G230" s="1337" t="str">
        <f>IF(E226="Yes",IFERROR(K233*K230,""),"")</f>
        <v/>
      </c>
      <c r="H230" s="188"/>
      <c r="I230" s="1360"/>
      <c r="J230" s="1360"/>
      <c r="K230" s="1338" t="str">
        <f>IF(E226="Yes",IFERROR($K$222,""),"")</f>
        <v/>
      </c>
      <c r="L230" s="1359"/>
      <c r="M230" s="1838"/>
      <c r="N230" s="188"/>
      <c r="O230" s="914">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4"/>
      <c r="E231" s="884"/>
      <c r="F231" s="196"/>
      <c r="G231" s="1359"/>
      <c r="H231" s="1359"/>
      <c r="I231" s="1359"/>
      <c r="J231" s="1359"/>
      <c r="K231" s="1359"/>
      <c r="L231" s="1359"/>
      <c r="M231" s="1838"/>
      <c r="N231" s="1359"/>
      <c r="O231" s="1359"/>
      <c r="P231" s="612"/>
      <c r="Q231" s="1125"/>
    </row>
    <row r="232" spans="1:17" s="180" customFormat="1" ht="27" hidden="1" customHeight="1" thickBot="1" x14ac:dyDescent="0.3">
      <c r="A232" s="243"/>
      <c r="B232" s="243"/>
      <c r="C232" s="1596"/>
      <c r="D232" s="1361" t="s">
        <v>2005</v>
      </c>
      <c r="E232" s="1452" t="str">
        <f>IF(E226="Yes",IF(Welcome!D8&lt;&gt;"",Welcome!D8,""),"")</f>
        <v/>
      </c>
      <c r="F232" s="196"/>
      <c r="G232" s="228" t="s">
        <v>2006</v>
      </c>
      <c r="H232" s="1359"/>
      <c r="I232" s="228" t="s">
        <v>2007</v>
      </c>
      <c r="J232" s="1359"/>
      <c r="K232" s="228" t="s">
        <v>1483</v>
      </c>
      <c r="L232" s="1359"/>
      <c r="M232" s="1838"/>
      <c r="N232" s="1359"/>
      <c r="O232" s="1359"/>
      <c r="P232" s="612"/>
      <c r="Q232" s="1125"/>
    </row>
    <row r="233" spans="1:17" s="180" customFormat="1" ht="19.5" hidden="1" customHeight="1" thickBot="1" x14ac:dyDescent="0.3">
      <c r="A233" s="243"/>
      <c r="B233" s="243"/>
      <c r="C233" s="465"/>
      <c r="D233" s="1361" t="s">
        <v>2008</v>
      </c>
      <c r="E233" s="1392" t="str">
        <f>IFERROR(('Agreement Worksheet'!$K$5-E229)/7,"")</f>
        <v/>
      </c>
      <c r="F233" s="196"/>
      <c r="G233" s="1362"/>
      <c r="H233" s="1359"/>
      <c r="I233" s="1337" t="str">
        <f>IF(E226="Yes",IFERROR(VLOOKUP(G233,'Customer Inputs'!$G$6:'Customer Inputs'!$P$15,10),""),"")</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836" t="s">
        <v>1776</v>
      </c>
      <c r="E236" s="1837"/>
      <c r="F236" s="892"/>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5"/>
    </row>
    <row r="238" spans="1:17" s="180" customFormat="1" ht="31.5" hidden="1" customHeight="1" thickBot="1" x14ac:dyDescent="0.3">
      <c r="A238" s="243"/>
      <c r="B238" s="243"/>
      <c r="C238" s="465"/>
      <c r="D238" s="829" t="s">
        <v>1383</v>
      </c>
      <c r="E238" s="1355" t="s">
        <v>1384</v>
      </c>
      <c r="F238" s="196"/>
      <c r="G238" s="1356" t="str">
        <f>IF(E237="Yes","Program","")</f>
        <v/>
      </c>
      <c r="H238" s="188"/>
      <c r="I238" s="1357"/>
      <c r="J238" s="884"/>
      <c r="K238" s="1356" t="str">
        <f>IF(E237="Yes","Corporate Office","")</f>
        <v/>
      </c>
      <c r="L238" s="188"/>
      <c r="M238" s="1358"/>
      <c r="N238" s="884"/>
      <c r="O238" s="884"/>
      <c r="P238" s="612"/>
      <c r="Q238" s="112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5"/>
    </row>
    <row r="240" spans="1:17" s="180" customFormat="1" ht="19.5" hidden="1" customHeight="1" thickBot="1" x14ac:dyDescent="0.3">
      <c r="A240" s="243"/>
      <c r="B240" s="243"/>
      <c r="C240" s="465"/>
      <c r="D240" s="836" t="s">
        <v>1385</v>
      </c>
      <c r="E240" s="1451" t="str">
        <f>IF(E237="Yes",IFERROR(VLOOKUP(G244,'Required Info to Submit'!$E$23:'Required Info to Submit'!$M$32,7, FALSE),""),"")</f>
        <v/>
      </c>
      <c r="F240" s="239"/>
      <c r="G240" s="228" t="s">
        <v>1396</v>
      </c>
      <c r="H240" s="188"/>
      <c r="I240" s="1359"/>
      <c r="J240" s="1359"/>
      <c r="K240" s="194" t="s">
        <v>1389</v>
      </c>
      <c r="L240" s="1359"/>
      <c r="M240" s="1838"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6" t="s">
        <v>1386</v>
      </c>
      <c r="E241" s="1451" t="str">
        <f>IF(E237="Yes",'Agreement Worksheet'!$K$5,"")</f>
        <v/>
      </c>
      <c r="F241" s="196"/>
      <c r="G241" s="1337" t="str">
        <f>IF(E237="Yes",IFERROR(K244*K241,""),"")</f>
        <v/>
      </c>
      <c r="H241" s="188"/>
      <c r="I241" s="1360"/>
      <c r="J241" s="1360"/>
      <c r="K241" s="1338" t="str">
        <f>IF(E226="Yes",IFERROR($K$222,""),"")</f>
        <v/>
      </c>
      <c r="L241" s="1359"/>
      <c r="M241" s="1838"/>
      <c r="N241" s="188"/>
      <c r="O241" s="914">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4"/>
      <c r="E242" s="884"/>
      <c r="F242" s="196"/>
      <c r="G242" s="1359"/>
      <c r="H242" s="1359"/>
      <c r="I242" s="1359"/>
      <c r="J242" s="1359"/>
      <c r="K242" s="1359"/>
      <c r="L242" s="1359"/>
      <c r="M242" s="1838"/>
      <c r="N242" s="1359"/>
      <c r="O242" s="1359"/>
      <c r="P242" s="612"/>
      <c r="Q242" s="1125"/>
    </row>
    <row r="243" spans="1:17" s="180" customFormat="1" ht="27.75" hidden="1" customHeight="1" thickBot="1" x14ac:dyDescent="0.3">
      <c r="A243" s="243"/>
      <c r="B243" s="243"/>
      <c r="C243" s="465"/>
      <c r="D243" s="1361" t="s">
        <v>2005</v>
      </c>
      <c r="E243" s="1452" t="str">
        <f>IF(E237="Yes",IF(Welcome!D8&lt;&gt;"",Welcome!D8,""),"")</f>
        <v/>
      </c>
      <c r="F243" s="196"/>
      <c r="G243" s="228" t="s">
        <v>2006</v>
      </c>
      <c r="H243" s="1359"/>
      <c r="I243" s="228" t="s">
        <v>2007</v>
      </c>
      <c r="J243" s="1359"/>
      <c r="K243" s="228" t="s">
        <v>1483</v>
      </c>
      <c r="L243" s="1359"/>
      <c r="M243" s="1838"/>
      <c r="N243" s="1359"/>
      <c r="O243" s="1359"/>
      <c r="P243" s="612"/>
      <c r="Q243" s="1125"/>
    </row>
    <row r="244" spans="1:17" s="180" customFormat="1" ht="19.5" hidden="1" customHeight="1" thickBot="1" x14ac:dyDescent="0.3">
      <c r="A244" s="243"/>
      <c r="B244" s="243"/>
      <c r="C244" s="465"/>
      <c r="D244" s="1361" t="s">
        <v>2008</v>
      </c>
      <c r="E244" s="1392" t="str">
        <f>IFERROR(('Agreement Worksheet'!$K$5-E240)/7,"")</f>
        <v/>
      </c>
      <c r="F244" s="196"/>
      <c r="G244" s="1362"/>
      <c r="H244" s="1359"/>
      <c r="I244" s="1518" t="str">
        <f>IF(E237="Yes",IFERROR(VLOOKUP(G244,'Customer Inputs'!$G$6:'Customer Inputs'!$P$15,10),""),"")</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836" t="s">
        <v>1776</v>
      </c>
      <c r="E247" s="1837"/>
      <c r="F247" s="892"/>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5"/>
    </row>
    <row r="249" spans="1:17" s="180" customFormat="1" ht="35.25" hidden="1" customHeight="1" thickBot="1" x14ac:dyDescent="0.3">
      <c r="A249" s="243"/>
      <c r="B249" s="243"/>
      <c r="C249" s="465"/>
      <c r="D249" s="829" t="s">
        <v>1383</v>
      </c>
      <c r="E249" s="1355" t="s">
        <v>1384</v>
      </c>
      <c r="F249" s="196"/>
      <c r="G249" s="1356" t="str">
        <f>IF(E248="Yes","Program","")</f>
        <v/>
      </c>
      <c r="H249" s="188"/>
      <c r="I249" s="1357"/>
      <c r="J249" s="884"/>
      <c r="K249" s="1356" t="str">
        <f>IF(E248="Yes","Corporate Office","")</f>
        <v/>
      </c>
      <c r="L249" s="188"/>
      <c r="M249" s="1358"/>
      <c r="N249" s="884"/>
      <c r="O249" s="884"/>
      <c r="P249" s="612"/>
      <c r="Q249" s="112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5"/>
    </row>
    <row r="251" spans="1:17" s="180" customFormat="1" ht="19.5" hidden="1" customHeight="1" thickBot="1" x14ac:dyDescent="0.3">
      <c r="A251" s="243"/>
      <c r="B251" s="243"/>
      <c r="C251" s="465"/>
      <c r="D251" s="836" t="s">
        <v>1385</v>
      </c>
      <c r="E251" s="1451" t="str">
        <f>IF(E248="Yes",IFERROR(VLOOKUP(G255,'Required Info to Submit'!$E$23:'Required Info to Submit'!$M$32,7, FALSE),""),"")</f>
        <v/>
      </c>
      <c r="F251" s="239"/>
      <c r="G251" s="228" t="s">
        <v>1396</v>
      </c>
      <c r="H251" s="188"/>
      <c r="I251" s="1359"/>
      <c r="J251" s="1359"/>
      <c r="K251" s="194" t="s">
        <v>1389</v>
      </c>
      <c r="L251" s="1359"/>
      <c r="M251" s="1838"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6" t="s">
        <v>1386</v>
      </c>
      <c r="E252" s="1451" t="str">
        <f>IF(E248="Yes",'Agreement Worksheet'!$K$5,"")</f>
        <v/>
      </c>
      <c r="F252" s="196"/>
      <c r="G252" s="1337" t="str">
        <f>IF(E248="Yes",IFERROR(K255*K252,""),"")</f>
        <v/>
      </c>
      <c r="H252" s="188"/>
      <c r="I252" s="1360"/>
      <c r="J252" s="1360"/>
      <c r="K252" s="1338" t="str">
        <f>IF(E226="Yes",IFERROR($K$222,""),"")</f>
        <v/>
      </c>
      <c r="L252" s="1359"/>
      <c r="M252" s="1838"/>
      <c r="N252" s="188"/>
      <c r="O252" s="914">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4"/>
      <c r="E253" s="884"/>
      <c r="F253" s="196"/>
      <c r="G253" s="1359"/>
      <c r="H253" s="1359"/>
      <c r="I253" s="1359"/>
      <c r="J253" s="1359"/>
      <c r="K253" s="1359"/>
      <c r="L253" s="1359"/>
      <c r="M253" s="1838"/>
      <c r="N253" s="1359"/>
      <c r="O253" s="1359"/>
      <c r="P253" s="612"/>
      <c r="Q253" s="1125"/>
    </row>
    <row r="254" spans="1:17" s="180" customFormat="1" ht="31.5" hidden="1" customHeight="1" thickBot="1" x14ac:dyDescent="0.3">
      <c r="A254" s="243"/>
      <c r="B254" s="243"/>
      <c r="C254" s="465"/>
      <c r="D254" s="1361" t="s">
        <v>2005</v>
      </c>
      <c r="E254" s="1452" t="str">
        <f>IF(E248="Yes",IF(Welcome!D8&lt;&gt;"",Welcome!D8,""),"")</f>
        <v/>
      </c>
      <c r="F254" s="196"/>
      <c r="G254" s="228" t="s">
        <v>2006</v>
      </c>
      <c r="H254" s="1359"/>
      <c r="I254" s="228" t="s">
        <v>2007</v>
      </c>
      <c r="J254" s="1359"/>
      <c r="K254" s="228" t="s">
        <v>1483</v>
      </c>
      <c r="L254" s="1359"/>
      <c r="M254" s="1838"/>
      <c r="N254" s="1359"/>
      <c r="O254" s="1359"/>
      <c r="P254" s="612"/>
      <c r="Q254" s="1125"/>
    </row>
    <row r="255" spans="1:17" s="180" customFormat="1" ht="19.5" hidden="1" customHeight="1" thickBot="1" x14ac:dyDescent="0.3">
      <c r="A255" s="243"/>
      <c r="B255" s="243"/>
      <c r="C255" s="465"/>
      <c r="D255" s="1361" t="s">
        <v>2008</v>
      </c>
      <c r="E255" s="1392" t="str">
        <f>IFERROR(('Agreement Worksheet'!$K$5-E251)/7,"")</f>
        <v/>
      </c>
      <c r="F255" s="196"/>
      <c r="G255" s="1362"/>
      <c r="H255" s="1359"/>
      <c r="I255" s="1518" t="str">
        <f>IF(E248="Yes",IFERROR(VLOOKUP(G255,'Customer Inputs'!$G$6:'Customer Inputs'!$P$15,10),""),"")</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836" t="s">
        <v>1776</v>
      </c>
      <c r="E258" s="1837"/>
      <c r="F258" s="892"/>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5"/>
    </row>
    <row r="260" spans="1:17" s="180" customFormat="1" ht="34.5" hidden="1" customHeight="1" thickBot="1" x14ac:dyDescent="0.3">
      <c r="A260" s="243"/>
      <c r="B260" s="243"/>
      <c r="C260" s="465"/>
      <c r="D260" s="829" t="s">
        <v>1383</v>
      </c>
      <c r="E260" s="1355" t="s">
        <v>1384</v>
      </c>
      <c r="F260" s="196"/>
      <c r="G260" s="1356" t="str">
        <f>IF(E259="Yes","Program","")</f>
        <v/>
      </c>
      <c r="H260" s="188"/>
      <c r="I260" s="1357"/>
      <c r="J260" s="884"/>
      <c r="K260" s="1356" t="str">
        <f>IF(E259="Yes","Corporate Office","")</f>
        <v/>
      </c>
      <c r="L260" s="188"/>
      <c r="M260" s="1358"/>
      <c r="N260" s="884"/>
      <c r="O260" s="884"/>
      <c r="P260" s="612"/>
      <c r="Q260" s="112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5"/>
    </row>
    <row r="262" spans="1:17" s="180" customFormat="1" ht="19.5" hidden="1" customHeight="1" thickBot="1" x14ac:dyDescent="0.3">
      <c r="A262" s="243"/>
      <c r="B262" s="243"/>
      <c r="C262" s="465"/>
      <c r="D262" s="836" t="s">
        <v>1385</v>
      </c>
      <c r="E262" s="1451" t="str">
        <f>IF(E259="Yes",IFERROR(VLOOKUP(G266,'Required Info to Submit'!$E$23:'Required Info to Submit'!$M$32,7, FALSE),""),"")</f>
        <v/>
      </c>
      <c r="F262" s="239"/>
      <c r="G262" s="228" t="s">
        <v>1396</v>
      </c>
      <c r="H262" s="188"/>
      <c r="I262" s="1359"/>
      <c r="J262" s="1359"/>
      <c r="K262" s="194" t="s">
        <v>1389</v>
      </c>
      <c r="L262" s="1359"/>
      <c r="M262" s="1838"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6" t="s">
        <v>1386</v>
      </c>
      <c r="E263" s="1451" t="str">
        <f>IF(E259="Yes",'Agreement Worksheet'!$K$5,"")</f>
        <v/>
      </c>
      <c r="F263" s="196"/>
      <c r="G263" s="1337" t="str">
        <f>IF(E259="Yes",IFERROR(K266*K263,""),"")</f>
        <v/>
      </c>
      <c r="H263" s="188"/>
      <c r="I263" s="1360"/>
      <c r="J263" s="1360"/>
      <c r="K263" s="1338" t="str">
        <f>IF(E226="Yes",IFERROR($K$222,""),"")</f>
        <v/>
      </c>
      <c r="L263" s="1359"/>
      <c r="M263" s="1838"/>
      <c r="N263" s="188"/>
      <c r="O263" s="914">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4"/>
      <c r="E264" s="884"/>
      <c r="F264" s="196"/>
      <c r="G264" s="1359"/>
      <c r="H264" s="1359"/>
      <c r="I264" s="1359"/>
      <c r="J264" s="1359"/>
      <c r="K264" s="1359"/>
      <c r="L264" s="1359"/>
      <c r="M264" s="1838"/>
      <c r="N264" s="1359"/>
      <c r="O264" s="1359"/>
      <c r="P264" s="612"/>
      <c r="Q264" s="1125"/>
    </row>
    <row r="265" spans="1:17" s="180" customFormat="1" ht="27" hidden="1" customHeight="1" thickBot="1" x14ac:dyDescent="0.3">
      <c r="A265" s="243"/>
      <c r="B265" s="243"/>
      <c r="C265" s="465"/>
      <c r="D265" s="1361" t="s">
        <v>2005</v>
      </c>
      <c r="E265" s="1452" t="str">
        <f>IF(E259="Yes",IF(Welcome!D8&lt;&gt;"",Welcome!D8,""),"")</f>
        <v/>
      </c>
      <c r="F265" s="196"/>
      <c r="G265" s="228" t="s">
        <v>2006</v>
      </c>
      <c r="H265" s="1359"/>
      <c r="I265" s="228" t="s">
        <v>2007</v>
      </c>
      <c r="J265" s="1359"/>
      <c r="K265" s="228" t="s">
        <v>1483</v>
      </c>
      <c r="L265" s="1359"/>
      <c r="M265" s="1838"/>
      <c r="N265" s="1359"/>
      <c r="O265" s="1359"/>
      <c r="P265" s="612"/>
      <c r="Q265" s="1125"/>
    </row>
    <row r="266" spans="1:17" s="180" customFormat="1" ht="19.5" hidden="1" customHeight="1" thickBot="1" x14ac:dyDescent="0.3">
      <c r="A266" s="243"/>
      <c r="B266" s="243"/>
      <c r="C266" s="465"/>
      <c r="D266" s="1361" t="s">
        <v>2008</v>
      </c>
      <c r="E266" s="1392" t="str">
        <f>IFERROR(('Agreement Worksheet'!$K$5-E262)/7,"")</f>
        <v/>
      </c>
      <c r="F266" s="196"/>
      <c r="G266" s="1362"/>
      <c r="H266" s="1359"/>
      <c r="I266" s="1518" t="str">
        <f>IF(E259="Yes",IFERROR(VLOOKUP(G266,'Customer Inputs'!$G$6:'Customer Inputs'!$P$15,10),""),"")</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836" t="s">
        <v>1776</v>
      </c>
      <c r="E269" s="1837"/>
      <c r="F269" s="892"/>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5"/>
    </row>
    <row r="271" spans="1:17" s="180" customFormat="1" ht="36.75" hidden="1" customHeight="1" thickBot="1" x14ac:dyDescent="0.3">
      <c r="A271" s="243"/>
      <c r="B271" s="243"/>
      <c r="C271" s="465"/>
      <c r="D271" s="829" t="s">
        <v>1383</v>
      </c>
      <c r="E271" s="1355" t="s">
        <v>1384</v>
      </c>
      <c r="F271" s="196"/>
      <c r="G271" s="1356" t="str">
        <f>IF(E270="Yes","Program","")</f>
        <v/>
      </c>
      <c r="H271" s="188"/>
      <c r="I271" s="1357"/>
      <c r="J271" s="884"/>
      <c r="K271" s="1356" t="str">
        <f>IF(E270="Yes","Corporate Office","")</f>
        <v/>
      </c>
      <c r="L271" s="188"/>
      <c r="M271" s="1358"/>
      <c r="N271" s="884"/>
      <c r="O271" s="884"/>
      <c r="P271" s="612"/>
      <c r="Q271" s="112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5"/>
    </row>
    <row r="273" spans="1:17" s="180" customFormat="1" ht="19.5" hidden="1" customHeight="1" thickBot="1" x14ac:dyDescent="0.3">
      <c r="A273" s="243"/>
      <c r="B273" s="243"/>
      <c r="C273" s="465"/>
      <c r="D273" s="836" t="s">
        <v>1385</v>
      </c>
      <c r="E273" s="1451" t="str">
        <f>IF(E270="Yes",IFERROR(VLOOKUP(G277,'Required Info to Submit'!$E$23:'Required Info to Submit'!$M$32,7, FALSE),""),"")</f>
        <v/>
      </c>
      <c r="F273" s="239"/>
      <c r="G273" s="228" t="s">
        <v>1396</v>
      </c>
      <c r="H273" s="188"/>
      <c r="I273" s="1359"/>
      <c r="J273" s="1359"/>
      <c r="K273" s="194" t="s">
        <v>1389</v>
      </c>
      <c r="L273" s="1359"/>
      <c r="M273" s="1838"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6" t="s">
        <v>1386</v>
      </c>
      <c r="E274" s="1451" t="str">
        <f>IF(E270="Yes",'Agreement Worksheet'!$K$5,"")</f>
        <v/>
      </c>
      <c r="F274" s="196"/>
      <c r="G274" s="1337" t="str">
        <f>IF(E270="Yes",IFERROR(K277*K274,""),"")</f>
        <v/>
      </c>
      <c r="H274" s="188"/>
      <c r="I274" s="1360"/>
      <c r="J274" s="1360"/>
      <c r="K274" s="1338" t="str">
        <f>IF(E226="Yes",IFERROR($K$222,""),"")</f>
        <v/>
      </c>
      <c r="L274" s="1359"/>
      <c r="M274" s="1838"/>
      <c r="N274" s="188"/>
      <c r="O274" s="914">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4"/>
      <c r="E275" s="884"/>
      <c r="F275" s="196"/>
      <c r="G275" s="1359"/>
      <c r="H275" s="1359"/>
      <c r="I275" s="1359"/>
      <c r="J275" s="1359"/>
      <c r="K275" s="1359"/>
      <c r="L275" s="1359"/>
      <c r="M275" s="1838"/>
      <c r="N275" s="1359"/>
      <c r="O275" s="1359"/>
      <c r="P275" s="612"/>
      <c r="Q275" s="1125"/>
    </row>
    <row r="276" spans="1:17" s="180" customFormat="1" ht="29.25" hidden="1" customHeight="1" thickBot="1" x14ac:dyDescent="0.3">
      <c r="A276" s="243"/>
      <c r="B276" s="243"/>
      <c r="C276" s="465"/>
      <c r="D276" s="1361" t="s">
        <v>2005</v>
      </c>
      <c r="E276" s="1452" t="str">
        <f>IF(E270="Yes",IF(Welcome!D8&lt;&gt;"",Welcome!D8,""),"")</f>
        <v/>
      </c>
      <c r="F276" s="196"/>
      <c r="G276" s="228" t="s">
        <v>2006</v>
      </c>
      <c r="H276" s="1359"/>
      <c r="I276" s="228" t="s">
        <v>2007</v>
      </c>
      <c r="J276" s="1359"/>
      <c r="K276" s="228" t="s">
        <v>1483</v>
      </c>
      <c r="L276" s="1359"/>
      <c r="M276" s="1838"/>
      <c r="N276" s="1359"/>
      <c r="O276" s="1359"/>
      <c r="P276" s="612"/>
      <c r="Q276" s="1125"/>
    </row>
    <row r="277" spans="1:17" s="180" customFormat="1" ht="19.5" hidden="1" customHeight="1" thickBot="1" x14ac:dyDescent="0.3">
      <c r="A277" s="243"/>
      <c r="B277" s="243"/>
      <c r="C277" s="465"/>
      <c r="D277" s="1361" t="s">
        <v>2008</v>
      </c>
      <c r="E277" s="1392" t="str">
        <f>IFERROR(('Agreement Worksheet'!$K$5-E273)/7,"")</f>
        <v/>
      </c>
      <c r="F277" s="196"/>
      <c r="G277" s="1362"/>
      <c r="H277" s="1359"/>
      <c r="I277" s="1518" t="str">
        <f>IF(E270="Yes",IFERROR(VLOOKUP(G277,'Customer Inputs'!$G$6:'Customer Inputs'!$P$15,10),""),"")</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836" t="s">
        <v>1776</v>
      </c>
      <c r="E280" s="1837"/>
      <c r="F280" s="892"/>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5"/>
    </row>
    <row r="282" spans="1:17" s="180" customFormat="1" ht="31.5" hidden="1" customHeight="1" thickBot="1" x14ac:dyDescent="0.3">
      <c r="A282" s="243"/>
      <c r="B282" s="243"/>
      <c r="C282" s="465"/>
      <c r="D282" s="829" t="s">
        <v>1383</v>
      </c>
      <c r="E282" s="1355" t="s">
        <v>1384</v>
      </c>
      <c r="F282" s="196"/>
      <c r="G282" s="1356" t="str">
        <f>IF(E281="Yes","Program","")</f>
        <v/>
      </c>
      <c r="H282" s="188"/>
      <c r="I282" s="1357"/>
      <c r="J282" s="884"/>
      <c r="K282" s="1356" t="str">
        <f>IF(E281="Yes","Corporate Office","")</f>
        <v/>
      </c>
      <c r="L282" s="188"/>
      <c r="M282" s="1358"/>
      <c r="N282" s="884"/>
      <c r="O282" s="884"/>
      <c r="P282" s="612"/>
      <c r="Q282" s="112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5"/>
    </row>
    <row r="284" spans="1:17" s="180" customFormat="1" ht="19.5" hidden="1" customHeight="1" thickBot="1" x14ac:dyDescent="0.3">
      <c r="A284" s="243"/>
      <c r="B284" s="243"/>
      <c r="C284" s="465"/>
      <c r="D284" s="836" t="s">
        <v>1385</v>
      </c>
      <c r="E284" s="1451" t="str">
        <f>IF(E281="Yes",IFERROR(VLOOKUP(G288,'Required Info to Submit'!$E$23:'Required Info to Submit'!$M$32,7, FALSE),""),"")</f>
        <v/>
      </c>
      <c r="F284" s="239"/>
      <c r="G284" s="228" t="s">
        <v>1396</v>
      </c>
      <c r="H284" s="188"/>
      <c r="I284" s="1359"/>
      <c r="J284" s="1359"/>
      <c r="K284" s="194" t="s">
        <v>1389</v>
      </c>
      <c r="L284" s="1359"/>
      <c r="M284" s="1838"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6" t="s">
        <v>1386</v>
      </c>
      <c r="E285" s="1451" t="str">
        <f>IF(E281="Yes",'Agreement Worksheet'!$K$5,"")</f>
        <v/>
      </c>
      <c r="F285" s="196"/>
      <c r="G285" s="1337" t="str">
        <f>IF(E281="Yes",IFERROR(K288*K285,""),"")</f>
        <v/>
      </c>
      <c r="H285" s="188"/>
      <c r="I285" s="1360"/>
      <c r="J285" s="1360"/>
      <c r="K285" s="1338" t="str">
        <f>IF(E226="Yes",IFERROR($K$222,""),"")</f>
        <v/>
      </c>
      <c r="L285" s="1359"/>
      <c r="M285" s="1838"/>
      <c r="N285" s="188"/>
      <c r="O285" s="914">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4"/>
      <c r="E286" s="884"/>
      <c r="F286" s="196"/>
      <c r="G286" s="1359"/>
      <c r="H286" s="1359"/>
      <c r="I286" s="1359"/>
      <c r="J286" s="1359"/>
      <c r="K286" s="1359"/>
      <c r="L286" s="1359"/>
      <c r="M286" s="1838"/>
      <c r="N286" s="1359"/>
      <c r="O286" s="1359"/>
      <c r="P286" s="612"/>
      <c r="Q286" s="1125"/>
    </row>
    <row r="287" spans="1:17" s="180" customFormat="1" ht="30.75" hidden="1" customHeight="1" thickBot="1" x14ac:dyDescent="0.3">
      <c r="A287" s="243"/>
      <c r="B287" s="243"/>
      <c r="C287" s="465"/>
      <c r="D287" s="1361" t="s">
        <v>2005</v>
      </c>
      <c r="E287" s="1452" t="str">
        <f>IF(E281="Yes",IF(Welcome!D8&lt;&gt;"",Welcome!D8,""),"")</f>
        <v/>
      </c>
      <c r="F287" s="196"/>
      <c r="G287" s="228" t="s">
        <v>2006</v>
      </c>
      <c r="H287" s="1359"/>
      <c r="I287" s="228" t="s">
        <v>2007</v>
      </c>
      <c r="J287" s="1359"/>
      <c r="K287" s="228" t="s">
        <v>1483</v>
      </c>
      <c r="L287" s="1359"/>
      <c r="M287" s="1838"/>
      <c r="N287" s="1359"/>
      <c r="O287" s="1359"/>
      <c r="P287" s="612"/>
      <c r="Q287" s="1125"/>
    </row>
    <row r="288" spans="1:17" s="180" customFormat="1" ht="19.5" hidden="1" customHeight="1" thickBot="1" x14ac:dyDescent="0.3">
      <c r="A288" s="243"/>
      <c r="B288" s="243"/>
      <c r="C288" s="465"/>
      <c r="D288" s="1361" t="s">
        <v>2008</v>
      </c>
      <c r="E288" s="1392" t="str">
        <f>IFERROR(('Agreement Worksheet'!$K$5-E284)/7,"")</f>
        <v/>
      </c>
      <c r="F288" s="196"/>
      <c r="G288" s="1362"/>
      <c r="H288" s="1359"/>
      <c r="I288" s="1518" t="str">
        <f>IF(E281="Yes",IFERROR(VLOOKUP(G288,'Customer Inputs'!$G$6:'Customer Inputs'!$P$15,10),""),"")</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836" t="s">
        <v>1776</v>
      </c>
      <c r="E291" s="1837"/>
      <c r="F291" s="892"/>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5"/>
    </row>
    <row r="293" spans="1:17" s="180" customFormat="1" ht="31.5" hidden="1" customHeight="1" thickBot="1" x14ac:dyDescent="0.3">
      <c r="A293" s="243"/>
      <c r="B293" s="243"/>
      <c r="C293" s="465"/>
      <c r="D293" s="829" t="s">
        <v>1383</v>
      </c>
      <c r="E293" s="1355" t="s">
        <v>1384</v>
      </c>
      <c r="F293" s="196"/>
      <c r="G293" s="1356" t="str">
        <f>IF(E292="Yes","Program","")</f>
        <v/>
      </c>
      <c r="H293" s="188"/>
      <c r="I293" s="1357"/>
      <c r="J293" s="884"/>
      <c r="K293" s="1356" t="str">
        <f>IF(E292="Yes","Corporate Office","")</f>
        <v/>
      </c>
      <c r="L293" s="188"/>
      <c r="M293" s="1358"/>
      <c r="N293" s="884"/>
      <c r="O293" s="884"/>
      <c r="P293" s="612"/>
      <c r="Q293" s="112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5"/>
    </row>
    <row r="295" spans="1:17" s="180" customFormat="1" ht="19.5" hidden="1" customHeight="1" thickBot="1" x14ac:dyDescent="0.3">
      <c r="A295" s="243"/>
      <c r="B295" s="243"/>
      <c r="C295" s="465"/>
      <c r="D295" s="836" t="s">
        <v>1385</v>
      </c>
      <c r="E295" s="1451" t="str">
        <f>IF(E292="Yes",IFERROR(VLOOKUP(G299,'Required Info to Submit'!$E$23:'Required Info to Submit'!$M$32,7, FALSE),""),"")</f>
        <v/>
      </c>
      <c r="F295" s="239"/>
      <c r="G295" s="228" t="s">
        <v>1396</v>
      </c>
      <c r="H295" s="188"/>
      <c r="I295" s="1359"/>
      <c r="J295" s="1359"/>
      <c r="K295" s="194" t="s">
        <v>1389</v>
      </c>
      <c r="L295" s="1359"/>
      <c r="M295" s="1838"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6" t="s">
        <v>1386</v>
      </c>
      <c r="E296" s="1451" t="str">
        <f>IF(E292="Yes",'Agreement Worksheet'!$K$5,"")</f>
        <v/>
      </c>
      <c r="F296" s="196"/>
      <c r="G296" s="1337" t="str">
        <f>IF(E292="Yes",IFERROR(K299*K296,""),"")</f>
        <v/>
      </c>
      <c r="H296" s="188"/>
      <c r="I296" s="1360"/>
      <c r="J296" s="1360"/>
      <c r="K296" s="1338" t="str">
        <f>IF(E226="Yes",IFERROR($K$222,""),"")</f>
        <v/>
      </c>
      <c r="L296" s="1359"/>
      <c r="M296" s="1838"/>
      <c r="N296" s="188"/>
      <c r="O296" s="914">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4"/>
      <c r="E297" s="884"/>
      <c r="F297" s="196"/>
      <c r="G297" s="1359"/>
      <c r="H297" s="1359"/>
      <c r="I297" s="1359"/>
      <c r="J297" s="1359"/>
      <c r="K297" s="1359"/>
      <c r="L297" s="1359"/>
      <c r="M297" s="1838"/>
      <c r="N297" s="1359"/>
      <c r="O297" s="1359"/>
      <c r="P297" s="612"/>
      <c r="Q297" s="1125"/>
    </row>
    <row r="298" spans="1:17" s="180" customFormat="1" ht="31.5" hidden="1" customHeight="1" thickBot="1" x14ac:dyDescent="0.3">
      <c r="A298" s="243"/>
      <c r="B298" s="243"/>
      <c r="C298" s="465"/>
      <c r="D298" s="1361" t="s">
        <v>2005</v>
      </c>
      <c r="E298" s="1452" t="str">
        <f>IF(E292="Yes",IF(Welcome!D8&lt;&gt;"",Welcome!D8,""),"")</f>
        <v/>
      </c>
      <c r="F298" s="196"/>
      <c r="G298" s="228" t="s">
        <v>2006</v>
      </c>
      <c r="H298" s="1359"/>
      <c r="I298" s="228" t="s">
        <v>2007</v>
      </c>
      <c r="J298" s="1359"/>
      <c r="K298" s="228" t="s">
        <v>1483</v>
      </c>
      <c r="L298" s="1359"/>
      <c r="M298" s="1838"/>
      <c r="N298" s="1359"/>
      <c r="O298" s="1359"/>
      <c r="P298" s="612"/>
      <c r="Q298" s="1125"/>
    </row>
    <row r="299" spans="1:17" s="180" customFormat="1" ht="19.5" hidden="1" customHeight="1" thickBot="1" x14ac:dyDescent="0.3">
      <c r="A299" s="243"/>
      <c r="B299" s="243"/>
      <c r="C299" s="465"/>
      <c r="D299" s="1361" t="s">
        <v>2008</v>
      </c>
      <c r="E299" s="1392" t="str">
        <f>IFERROR(('Agreement Worksheet'!$K$5-E295)/7,"")</f>
        <v/>
      </c>
      <c r="F299" s="196"/>
      <c r="G299" s="1362"/>
      <c r="H299" s="1359"/>
      <c r="I299" s="1518" t="str">
        <f>IF(E292="Yes",IFERROR(VLOOKUP(G299,'Customer Inputs'!$G$6:'Customer Inputs'!$P$15,10),""),"")</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836" t="s">
        <v>1776</v>
      </c>
      <c r="E302" s="1837"/>
      <c r="F302" s="892"/>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5"/>
    </row>
    <row r="304" spans="1:17" s="180" customFormat="1" ht="33.75" hidden="1" customHeight="1" thickBot="1" x14ac:dyDescent="0.3">
      <c r="A304" s="243"/>
      <c r="B304" s="243"/>
      <c r="C304" s="465"/>
      <c r="D304" s="829" t="s">
        <v>1383</v>
      </c>
      <c r="E304" s="1355" t="s">
        <v>1384</v>
      </c>
      <c r="F304" s="196"/>
      <c r="G304" s="1356" t="str">
        <f>IF(E303="Yes","Program","")</f>
        <v/>
      </c>
      <c r="H304" s="188"/>
      <c r="I304" s="1357"/>
      <c r="J304" s="884"/>
      <c r="K304" s="1356" t="str">
        <f>IF(E303="Yes","Corporate Office","")</f>
        <v/>
      </c>
      <c r="L304" s="188"/>
      <c r="M304" s="1358"/>
      <c r="N304" s="884"/>
      <c r="O304" s="884"/>
      <c r="P304" s="612"/>
      <c r="Q304" s="112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5"/>
    </row>
    <row r="306" spans="1:17" s="180" customFormat="1" ht="19.5" hidden="1" customHeight="1" thickBot="1" x14ac:dyDescent="0.3">
      <c r="A306" s="243"/>
      <c r="B306" s="243"/>
      <c r="C306" s="465"/>
      <c r="D306" s="836" t="s">
        <v>1385</v>
      </c>
      <c r="E306" s="1451" t="str">
        <f>IF(E303="Yes",IFERROR(VLOOKUP(G310,'Required Info to Submit'!$E$23:'Required Info to Submit'!$M$32,7, FALSE),""),"")</f>
        <v/>
      </c>
      <c r="F306" s="239"/>
      <c r="G306" s="228" t="s">
        <v>1396</v>
      </c>
      <c r="H306" s="188"/>
      <c r="I306" s="1359"/>
      <c r="J306" s="1359"/>
      <c r="K306" s="194" t="s">
        <v>1389</v>
      </c>
      <c r="L306" s="1359"/>
      <c r="M306" s="1838"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6" t="s">
        <v>1386</v>
      </c>
      <c r="E307" s="1451" t="str">
        <f>IF(E303="Yes",'Agreement Worksheet'!$K$5,"")</f>
        <v/>
      </c>
      <c r="F307" s="196"/>
      <c r="G307" s="1337" t="str">
        <f>IF(E303="Yes",IFERROR(K310*K307,""),"")</f>
        <v/>
      </c>
      <c r="H307" s="188"/>
      <c r="I307" s="1360"/>
      <c r="J307" s="1360"/>
      <c r="K307" s="1338" t="str">
        <f>IF(E226="Yes",IFERROR($K$222,""),"")</f>
        <v/>
      </c>
      <c r="L307" s="1359"/>
      <c r="M307" s="1838"/>
      <c r="N307" s="188"/>
      <c r="O307" s="914">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4"/>
      <c r="E308" s="884"/>
      <c r="F308" s="196"/>
      <c r="G308" s="1359"/>
      <c r="H308" s="1359"/>
      <c r="I308" s="1359"/>
      <c r="J308" s="1359"/>
      <c r="K308" s="1359"/>
      <c r="L308" s="1359"/>
      <c r="M308" s="1838"/>
      <c r="N308" s="1359"/>
      <c r="O308" s="1359"/>
      <c r="P308" s="612"/>
      <c r="Q308" s="1125"/>
    </row>
    <row r="309" spans="1:17" s="180" customFormat="1" ht="29.25" hidden="1" customHeight="1" thickBot="1" x14ac:dyDescent="0.3">
      <c r="A309" s="243"/>
      <c r="B309" s="243"/>
      <c r="C309" s="465"/>
      <c r="D309" s="1361" t="s">
        <v>2005</v>
      </c>
      <c r="E309" s="1452" t="str">
        <f>IF(E303="Yes",IF(Welcome!D8&lt;&gt;"",Welcome!D8,""),"")</f>
        <v/>
      </c>
      <c r="F309" s="196"/>
      <c r="G309" s="228" t="s">
        <v>2006</v>
      </c>
      <c r="H309" s="1359"/>
      <c r="I309" s="228" t="s">
        <v>2007</v>
      </c>
      <c r="J309" s="1359"/>
      <c r="K309" s="228" t="s">
        <v>1483</v>
      </c>
      <c r="L309" s="1359"/>
      <c r="M309" s="1838"/>
      <c r="N309" s="1359"/>
      <c r="O309" s="1359"/>
      <c r="P309" s="612"/>
      <c r="Q309" s="1125"/>
    </row>
    <row r="310" spans="1:17" s="180" customFormat="1" ht="19.5" hidden="1" customHeight="1" thickBot="1" x14ac:dyDescent="0.3">
      <c r="A310" s="243"/>
      <c r="B310" s="243"/>
      <c r="C310" s="465"/>
      <c r="D310" s="1361" t="s">
        <v>2008</v>
      </c>
      <c r="E310" s="1392" t="str">
        <f>IFERROR(('Agreement Worksheet'!$K$5-E306)/7,"")</f>
        <v/>
      </c>
      <c r="F310" s="196"/>
      <c r="G310" s="1362"/>
      <c r="H310" s="1359"/>
      <c r="I310" s="1518" t="str">
        <f>IF(E303="Yes",IFERROR(VLOOKUP(G310,'Customer Inputs'!$G$6:'Customer Inputs'!$P$15,10),""),"")</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836" t="s">
        <v>1776</v>
      </c>
      <c r="E313" s="1837"/>
      <c r="F313" s="892"/>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5"/>
    </row>
    <row r="315" spans="1:17" s="180" customFormat="1" ht="29.25" hidden="1" customHeight="1" thickBot="1" x14ac:dyDescent="0.3">
      <c r="A315" s="243"/>
      <c r="B315" s="243"/>
      <c r="C315" s="465"/>
      <c r="D315" s="829" t="s">
        <v>1383</v>
      </c>
      <c r="E315" s="1355" t="s">
        <v>1384</v>
      </c>
      <c r="F315" s="196"/>
      <c r="G315" s="1356" t="str">
        <f>IF(E314="Yes","Program","")</f>
        <v/>
      </c>
      <c r="H315" s="188"/>
      <c r="I315" s="1357"/>
      <c r="J315" s="884"/>
      <c r="K315" s="1356" t="str">
        <f>IF(E314="Yes","Corporate Office","")</f>
        <v/>
      </c>
      <c r="L315" s="188"/>
      <c r="M315" s="1358"/>
      <c r="N315" s="884"/>
      <c r="O315" s="884"/>
      <c r="P315" s="612"/>
      <c r="Q315" s="112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5"/>
    </row>
    <row r="317" spans="1:17" s="180" customFormat="1" ht="19.5" hidden="1" customHeight="1" thickBot="1" x14ac:dyDescent="0.3">
      <c r="A317" s="243"/>
      <c r="B317" s="243"/>
      <c r="C317" s="465"/>
      <c r="D317" s="836" t="s">
        <v>1385</v>
      </c>
      <c r="E317" s="1451" t="str">
        <f>IF(E314="Yes",IFERROR(VLOOKUP(G321,'Required Info to Submit'!$E$23:'Required Info to Submit'!$M$32,7, FALSE),""),"")</f>
        <v/>
      </c>
      <c r="F317" s="239"/>
      <c r="G317" s="228" t="s">
        <v>1396</v>
      </c>
      <c r="H317" s="188"/>
      <c r="I317" s="1359"/>
      <c r="J317" s="1359"/>
      <c r="K317" s="194" t="s">
        <v>1389</v>
      </c>
      <c r="L317" s="1359"/>
      <c r="M317" s="1838"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6" t="s">
        <v>1386</v>
      </c>
      <c r="E318" s="1451" t="str">
        <f>IF(E314="Yes",'Agreement Worksheet'!$K$5,"")</f>
        <v/>
      </c>
      <c r="F318" s="196"/>
      <c r="G318" s="1337" t="str">
        <f>IF(E314="Yes",IFERROR(K321*K318,""),"")</f>
        <v/>
      </c>
      <c r="H318" s="188"/>
      <c r="I318" s="1360"/>
      <c r="J318" s="1360"/>
      <c r="K318" s="1338" t="str">
        <f>IF(E226="Yes",IFERROR($K$222,""),"")</f>
        <v/>
      </c>
      <c r="L318" s="1359"/>
      <c r="M318" s="1838"/>
      <c r="N318" s="188"/>
      <c r="O318" s="914">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4"/>
      <c r="E319" s="884"/>
      <c r="F319" s="196"/>
      <c r="G319" s="1359"/>
      <c r="H319" s="1359"/>
      <c r="I319" s="1359"/>
      <c r="J319" s="1359"/>
      <c r="K319" s="1359"/>
      <c r="L319" s="1359"/>
      <c r="M319" s="1838"/>
      <c r="N319" s="1359"/>
      <c r="O319" s="1359"/>
      <c r="P319" s="612"/>
      <c r="Q319" s="1125"/>
    </row>
    <row r="320" spans="1:17" s="180" customFormat="1" ht="27" hidden="1" customHeight="1" thickBot="1" x14ac:dyDescent="0.3">
      <c r="A320" s="243"/>
      <c r="B320" s="243"/>
      <c r="C320" s="465"/>
      <c r="D320" s="1361" t="s">
        <v>2005</v>
      </c>
      <c r="E320" s="1452" t="str">
        <f>IF(E314="Yes",IF(Welcome!D8&lt;&gt;"",Welcome!D8,""),"")</f>
        <v/>
      </c>
      <c r="F320" s="196"/>
      <c r="G320" s="228" t="s">
        <v>2006</v>
      </c>
      <c r="H320" s="1359"/>
      <c r="I320" s="228" t="s">
        <v>2007</v>
      </c>
      <c r="J320" s="1359"/>
      <c r="K320" s="228" t="s">
        <v>1483</v>
      </c>
      <c r="L320" s="1359"/>
      <c r="M320" s="1838"/>
      <c r="N320" s="1359"/>
      <c r="O320" s="1359"/>
      <c r="P320" s="612"/>
      <c r="Q320" s="1125"/>
    </row>
    <row r="321" spans="1:22" s="180" customFormat="1" ht="19.5" hidden="1" customHeight="1" thickBot="1" x14ac:dyDescent="0.3">
      <c r="A321" s="243"/>
      <c r="B321" s="243"/>
      <c r="C321" s="465"/>
      <c r="D321" s="1361" t="s">
        <v>2008</v>
      </c>
      <c r="E321" s="1392" t="str">
        <f>IFERROR(('Agreement Worksheet'!$K$5-E317)/7,"")</f>
        <v/>
      </c>
      <c r="F321" s="196"/>
      <c r="G321" s="1362"/>
      <c r="H321" s="1359"/>
      <c r="I321" s="1518" t="str">
        <f>IF(E314="Yes",IFERROR(VLOOKUP(G321,'Customer Inputs'!$G$6:'Customer Inputs'!$P$15,10),""),"")</f>
        <v/>
      </c>
      <c r="J321" s="1359"/>
      <c r="K321" s="1337" t="str">
        <f>IFERROR((I321/52)*E321,"")</f>
        <v/>
      </c>
      <c r="L321" s="1359"/>
      <c r="M321" s="1359"/>
      <c r="N321" s="1359"/>
      <c r="O321" s="1359"/>
      <c r="P321" s="612"/>
      <c r="Q321" s="1125"/>
    </row>
    <row r="322" spans="1:22"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22" s="180" customFormat="1" ht="30.75" customHeight="1" x14ac:dyDescent="0.25">
      <c r="C323" s="1376"/>
      <c r="Q323" s="1125"/>
    </row>
    <row r="324" spans="1:22" s="176" customFormat="1" ht="33" hidden="1" customHeight="1" thickBot="1" x14ac:dyDescent="0.3">
      <c r="A324" s="1645"/>
      <c r="B324" s="1645"/>
      <c r="C324" s="1646"/>
      <c r="D324" s="1839" t="s">
        <v>2143</v>
      </c>
      <c r="E324" s="1839"/>
      <c r="F324" s="1647"/>
      <c r="G324" s="1647"/>
      <c r="H324" s="1647"/>
      <c r="I324" s="1647"/>
      <c r="J324" s="1648"/>
      <c r="K324" s="1648"/>
      <c r="L324" s="1648"/>
      <c r="M324" s="1648"/>
      <c r="N324" s="1648"/>
      <c r="O324" s="1649"/>
      <c r="P324" s="1643"/>
      <c r="Q324" s="251"/>
    </row>
    <row r="325" spans="1:22" s="176" customFormat="1" ht="18" hidden="1" customHeight="1" thickBot="1" x14ac:dyDescent="0.3">
      <c r="A325" s="1650"/>
      <c r="B325" s="1650"/>
      <c r="C325" s="1651"/>
      <c r="D325" s="1652" t="s">
        <v>523</v>
      </c>
      <c r="E325" s="847" t="s">
        <v>648</v>
      </c>
      <c r="F325" s="1653"/>
      <c r="G325" s="1629" t="s">
        <v>1380</v>
      </c>
      <c r="H325" s="986"/>
      <c r="I325" s="1629" t="s">
        <v>1381</v>
      </c>
      <c r="J325" s="1654"/>
      <c r="K325" s="1629" t="s">
        <v>833</v>
      </c>
      <c r="L325" s="1335"/>
      <c r="M325" s="953" t="s">
        <v>1382</v>
      </c>
      <c r="N325" s="1335"/>
      <c r="O325" s="1655"/>
      <c r="P325" s="1644"/>
      <c r="Q325" s="251"/>
    </row>
    <row r="326" spans="1:22" s="176" customFormat="1" ht="18" hidden="1" customHeight="1" thickBot="1" x14ac:dyDescent="0.3">
      <c r="A326" s="1650"/>
      <c r="B326" s="1650"/>
      <c r="C326" s="1651"/>
      <c r="D326" s="1656" t="s">
        <v>1383</v>
      </c>
      <c r="E326" s="1370" t="s">
        <v>1384</v>
      </c>
      <c r="F326" s="1657"/>
      <c r="G326" s="1517"/>
      <c r="H326" s="622"/>
      <c r="I326" s="1517"/>
      <c r="J326" s="884"/>
      <c r="K326" s="1586"/>
      <c r="L326" s="884"/>
      <c r="M326" s="1541"/>
      <c r="N326" s="1335"/>
      <c r="O326" s="1655"/>
      <c r="P326" s="1644"/>
      <c r="Q326" s="251"/>
    </row>
    <row r="327" spans="1:22" s="176" customFormat="1" ht="18" hidden="1" customHeight="1" thickBot="1" x14ac:dyDescent="0.3">
      <c r="A327" s="1650"/>
      <c r="B327" s="1650"/>
      <c r="C327" s="1651"/>
      <c r="D327" s="1658"/>
      <c r="E327" s="1659"/>
      <c r="F327" s="1660"/>
      <c r="G327" s="1660"/>
      <c r="H327" s="1335"/>
      <c r="I327" s="1335"/>
      <c r="J327" s="1335"/>
      <c r="K327" s="1335"/>
      <c r="L327" s="1335"/>
      <c r="M327" s="1649"/>
      <c r="N327" s="1335"/>
      <c r="O327" s="1335"/>
      <c r="P327" s="612"/>
      <c r="Q327" s="251"/>
      <c r="S327" s="593" t="str">
        <f>IF($D$334=0,"",IF($E327="NO","",IF($I326="Select Payment Method","X","")))</f>
        <v/>
      </c>
    </row>
    <row r="328" spans="1:22" s="176" customFormat="1" ht="18" hidden="1" customHeight="1" thickBot="1" x14ac:dyDescent="0.3">
      <c r="A328" s="1650"/>
      <c r="B328" s="1650"/>
      <c r="C328" s="1651" t="str" cm="1">
        <f t="array" aca="1" ref="C328" ca="1">IF(INDIRECT("'Incentives'!C"&amp;'Configurable Tab'!C168+1) = "Yes",IF(INDIRECT("'Incentives'!E"&amp;'Configurable Tab'!C168+5)&lt;Welcome!$D$12,"Yes",IF(INDIRECT("'Incentives'!E"&amp;'Configurable Tab'!C168+5)='Required Info to Submit'!$F$17,"No","")),"")</f>
        <v/>
      </c>
      <c r="D328" s="1661" t="s">
        <v>1385</v>
      </c>
      <c r="E328" s="1450" t="str">
        <f>IF(E325="Yes",IF(Welcome!$D$6="New",IF('Required Info to Submit'!F$14="","",'Required Info to Submit'!F$14),""),"")</f>
        <v/>
      </c>
      <c r="F328" s="1653"/>
      <c r="G328" s="1335"/>
      <c r="H328" s="1335"/>
      <c r="I328" s="1335"/>
      <c r="J328" s="1335"/>
      <c r="K328" s="953" t="s">
        <v>1389</v>
      </c>
      <c r="L328" s="1662"/>
      <c r="M328" s="1655"/>
      <c r="N328" s="1335"/>
      <c r="O328" s="1655"/>
      <c r="P328" s="612"/>
      <c r="Q328" s="251"/>
    </row>
    <row r="329" spans="1:22" s="176" customFormat="1" ht="18" hidden="1" customHeight="1" thickBot="1" x14ac:dyDescent="0.3">
      <c r="A329" s="1650"/>
      <c r="B329" s="1650"/>
      <c r="C329" s="1651"/>
      <c r="D329" s="1661" t="s">
        <v>1386</v>
      </c>
      <c r="E329" s="1450" t="str">
        <f>IF(E325="Yes",IF(Welcome!$D$6="New",IF('Required Info to Submit'!F$17="","",'Required Info to Submit'!F$17),""),"")</f>
        <v/>
      </c>
      <c r="F329" s="1657"/>
      <c r="G329" s="1335"/>
      <c r="H329" s="1335"/>
      <c r="I329" s="1335"/>
      <c r="J329" s="1335"/>
      <c r="K329" s="997"/>
      <c r="L329" s="1662"/>
      <c r="M329" s="1655"/>
      <c r="N329" s="1335"/>
      <c r="O329" s="1655"/>
      <c r="P329" s="612"/>
      <c r="Q329" s="251"/>
    </row>
    <row r="330" spans="1:22" s="176" customFormat="1" ht="27" hidden="1" customHeight="1" x14ac:dyDescent="0.25">
      <c r="A330" s="1663"/>
      <c r="B330" s="1663"/>
      <c r="C330" s="1664"/>
      <c r="D330" s="1665"/>
      <c r="E330" s="1666"/>
      <c r="F330" s="1666"/>
      <c r="G330" s="1667"/>
      <c r="H330" s="1666"/>
      <c r="I330" s="1666"/>
      <c r="J330" s="1666"/>
      <c r="K330" s="1666"/>
      <c r="L330" s="1666"/>
      <c r="M330" s="1668"/>
      <c r="N330" s="1666"/>
      <c r="O330" s="1666"/>
      <c r="P330" s="250"/>
      <c r="Q330" s="251"/>
    </row>
    <row r="331" spans="1:22" s="180" customFormat="1" ht="15.75" thickBot="1" x14ac:dyDescent="0.3">
      <c r="C331" s="1376"/>
      <c r="K331" s="1669"/>
      <c r="Q331" s="1125"/>
    </row>
    <row r="332" spans="1:22" s="176" customFormat="1" ht="24" customHeight="1" thickBot="1" x14ac:dyDescent="0.3">
      <c r="C332" s="1376"/>
      <c r="D332" s="455"/>
      <c r="E332" s="180"/>
      <c r="F332" s="180"/>
      <c r="G332" s="180"/>
      <c r="H332" s="180"/>
      <c r="I332" s="180"/>
      <c r="J332" s="180"/>
      <c r="K332" s="180"/>
      <c r="L332" s="180"/>
      <c r="M332" s="845"/>
      <c r="N332" s="253" t="s">
        <v>1728</v>
      </c>
      <c r="O332" s="1067"/>
      <c r="P332" s="180"/>
      <c r="Q332" s="251"/>
      <c r="R332" s="180"/>
      <c r="S332" s="180"/>
      <c r="T332" s="180"/>
    </row>
    <row r="333" spans="1:22" s="176" customFormat="1" ht="24" customHeight="1" thickBot="1" x14ac:dyDescent="0.3">
      <c r="C333" s="1376"/>
      <c r="D333" s="455"/>
      <c r="E333" s="180"/>
      <c r="F333" s="180"/>
      <c r="G333" s="180"/>
      <c r="H333" s="180"/>
      <c r="I333" s="180"/>
      <c r="J333" s="180"/>
      <c r="K333" s="180"/>
      <c r="L333" s="180"/>
      <c r="M333" s="845"/>
      <c r="N333" s="180"/>
      <c r="O333" s="180"/>
      <c r="P333" s="180"/>
      <c r="Q333" s="251"/>
      <c r="R333" s="180"/>
      <c r="S333" s="180"/>
      <c r="T333" s="180"/>
    </row>
    <row r="334" spans="1:22" s="252" customFormat="1" ht="24" customHeight="1" thickBot="1" x14ac:dyDescent="0.35">
      <c r="C334" s="1381"/>
      <c r="D334" s="930">
        <f>'Customer Inputs'!$K$17</f>
        <v>0</v>
      </c>
      <c r="M334" s="846"/>
      <c r="N334" s="253" t="s">
        <v>226</v>
      </c>
      <c r="O334" s="1058">
        <f>IFERROR(O19+O33+O47+O61+O75+O89+O103+O115+O123+O131+O139+O147+O155+O163+O171+O179+O187+O198+O210+O230+O241+O252+O263+O274+O285+O296+O307+O318+O332,0)</f>
        <v>0</v>
      </c>
      <c r="Q334" s="254"/>
      <c r="T334" s="328"/>
      <c r="U334" s="328"/>
      <c r="V334" s="329"/>
    </row>
    <row r="335" spans="1:22" s="252" customFormat="1" ht="27.6" customHeight="1" thickBot="1" x14ac:dyDescent="0.35">
      <c r="C335" s="1381"/>
      <c r="D335" s="931"/>
      <c r="L335" s="253"/>
      <c r="M335" s="591" t="str">
        <f>IF(M337&gt;0,"**Select Payment Method Above**","")</f>
        <v/>
      </c>
      <c r="N335" s="591"/>
      <c r="O335" s="591"/>
      <c r="P335" s="400" t="s">
        <v>202</v>
      </c>
      <c r="Q335" s="254"/>
    </row>
    <row r="336" spans="1:22" ht="24" customHeight="1" thickBot="1" x14ac:dyDescent="0.3">
      <c r="N336" s="253" t="s">
        <v>227</v>
      </c>
      <c r="O336" s="1059">
        <f>IFERROR($O$334/'PIM Model'!$G$31,0)</f>
        <v>0</v>
      </c>
      <c r="P336" s="401">
        <v>0.05</v>
      </c>
      <c r="Q336" s="138"/>
      <c r="R336" s="821"/>
    </row>
    <row r="337" spans="1:18" ht="24" customHeight="1" thickBot="1" x14ac:dyDescent="0.3">
      <c r="A337" s="256"/>
      <c r="B337" s="256"/>
      <c r="C337" s="1382"/>
      <c r="D337" s="932"/>
      <c r="E337" s="256"/>
      <c r="F337" s="256"/>
      <c r="G337" s="256"/>
      <c r="H337" s="256"/>
      <c r="I337" s="256"/>
      <c r="J337" s="256"/>
      <c r="K337" s="256"/>
      <c r="L337" s="566"/>
      <c r="M337" s="592">
        <f>COUNTIF($S$14:$S$223,"X")</f>
        <v>0</v>
      </c>
      <c r="N337" s="592"/>
      <c r="O337" s="592"/>
      <c r="P337" s="567"/>
      <c r="Q337" s="257"/>
      <c r="R337" s="821"/>
    </row>
    <row r="338" spans="1:18" ht="48.6" customHeight="1" x14ac:dyDescent="0.25">
      <c r="C338" s="1834"/>
      <c r="D338" s="1834"/>
      <c r="I338" s="565"/>
      <c r="L338" s="822"/>
      <c r="M338" s="1835"/>
      <c r="N338" s="1835"/>
      <c r="O338" s="1835"/>
      <c r="P338" s="1835"/>
      <c r="R338" s="821"/>
    </row>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sheetData>
  <sheetProtection algorithmName="SHA-512" hashValue="71vJUe02IZrqvVcFmMUlQSGTmoiaYpzvgQLCbHME79VDHiF8MNQzCgOlCzVQnPUSFUZMozJ94rEDGUuNuoj6Tg==" saltValue="HYN0pwOrTM/g+YhobnW1Hg==" spinCount="100000" sheet="1" objects="1" scenarios="1"/>
  <mergeCells count="107">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8:D338"/>
    <mergeCell ref="M338:P338"/>
    <mergeCell ref="D269:E269"/>
    <mergeCell ref="D280:E280"/>
    <mergeCell ref="D291:E291"/>
    <mergeCell ref="D302:E302"/>
    <mergeCell ref="M273:M276"/>
    <mergeCell ref="M284:M287"/>
    <mergeCell ref="M295:M298"/>
    <mergeCell ref="M306:M309"/>
    <mergeCell ref="M317:M320"/>
    <mergeCell ref="D313:E313"/>
    <mergeCell ref="D324:E324"/>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36">
    <cfRule type="expression" dxfId="1116" priority="1034">
      <formula>$M$337&gt;0</formula>
    </cfRule>
    <cfRule type="cellIs" dxfId="1115" priority="1037" operator="lessThan">
      <formula>$P$336</formula>
    </cfRule>
    <cfRule type="cellIs" dxfId="1114" priority="1038" operator="greaterThan">
      <formula>$P$336</formula>
    </cfRule>
  </conditionalFormatting>
  <conditionalFormatting sqref="I14">
    <cfRule type="expression" dxfId="1113" priority="553">
      <formula>AND($C$13="Yes",$C$16="No")</formula>
    </cfRule>
    <cfRule type="expression" dxfId="1112" priority="1036">
      <formula>AND($C$13&lt;&gt;"Yes",$E$14&lt;&gt;"Please Select")</formula>
    </cfRule>
  </conditionalFormatting>
  <conditionalFormatting sqref="G61 K61">
    <cfRule type="expression" dxfId="1111" priority="1035">
      <formula>AND($C$55&lt;&gt;"Yes",OR($E56="DS Tiered Average Invoice Dollar Qualifier",$E56="DS Threshold Average Invoice Dollar Qualifier"))</formula>
    </cfRule>
  </conditionalFormatting>
  <conditionalFormatting sqref="G14">
    <cfRule type="expression" dxfId="1110" priority="554">
      <formula>AND($C$13="Yes",$C$16="No")</formula>
    </cfRule>
    <cfRule type="expression" dxfId="1109" priority="1032">
      <formula>AND($C$13&lt;&gt;"Yes",$E$14&lt;&gt;"Please Select")</formula>
    </cfRule>
  </conditionalFormatting>
  <conditionalFormatting sqref="G17">
    <cfRule type="expression" dxfId="1108" priority="1025">
      <formula>$E$15="YES"</formula>
    </cfRule>
  </conditionalFormatting>
  <conditionalFormatting sqref="G31">
    <cfRule type="expression" dxfId="1107" priority="1024">
      <formula>$E$15="YES"</formula>
    </cfRule>
  </conditionalFormatting>
  <conditionalFormatting sqref="G45">
    <cfRule type="expression" dxfId="1106" priority="1022">
      <formula>$E$15="YES"</formula>
    </cfRule>
  </conditionalFormatting>
  <conditionalFormatting sqref="E14">
    <cfRule type="expression" dxfId="1105" priority="1020">
      <formula>OR(AND($C$13&lt;&gt;"Yes",$E$13="No"),$C$13="Yes")</formula>
    </cfRule>
    <cfRule type="expression" dxfId="1104" priority="1021">
      <formula>AND($E$13="Yes",$C$13&lt;&gt;"Yes")</formula>
    </cfRule>
  </conditionalFormatting>
  <conditionalFormatting sqref="E28">
    <cfRule type="expression" dxfId="1103" priority="1018">
      <formula>OR($C$27="Yes",AND($E$27="No",$C$27&lt;&gt;"Yes"))</formula>
    </cfRule>
    <cfRule type="expression" dxfId="1102" priority="1019">
      <formula>AND($C$27&lt;&gt;"Yes",$E$27="Yes")</formula>
    </cfRule>
  </conditionalFormatting>
  <conditionalFormatting sqref="E42">
    <cfRule type="expression" dxfId="1101" priority="1016">
      <formula>OR($C$41="Yes",AND($E$41="No",$C$41&lt;&gt;"Yes"))</formula>
    </cfRule>
    <cfRule type="expression" dxfId="1100" priority="1017">
      <formula>AND($E$41="Yes",$C$41&lt;&gt;"Yes")</formula>
    </cfRule>
  </conditionalFormatting>
  <conditionalFormatting sqref="M14">
    <cfRule type="expression" dxfId="1099" priority="144">
      <formula>AND($K14="Corporate Office",$C13="Yes",$C16="No")</formula>
    </cfRule>
    <cfRule type="expression" dxfId="1098" priority="1013">
      <formula>OR(AND($K14&lt;&gt;"Corporate Office",$C13&lt;&gt;"Yes"),AND($C13="Yes",$C16&lt;&gt;"No"))</formula>
    </cfRule>
    <cfRule type="expression" dxfId="1097" priority="1014">
      <formula>$I14="Check"</formula>
    </cfRule>
    <cfRule type="expression" dxfId="1096" priority="1015">
      <formula>AND($I14="Credit Memo",$K14="Corporate Office",$C13&lt;&gt;"Yes")</formula>
    </cfRule>
  </conditionalFormatting>
  <conditionalFormatting sqref="E56">
    <cfRule type="expression" dxfId="1095" priority="1004">
      <formula>AND($C$55&lt;&gt;"Yes",$E$55="Yes")</formula>
    </cfRule>
    <cfRule type="expression" dxfId="1094" priority="1005">
      <formula>OR(AND($C$55&lt;&gt;"Yes",$E$55="No"),$C$55="Yes")</formula>
    </cfRule>
  </conditionalFormatting>
  <conditionalFormatting sqref="E70">
    <cfRule type="expression" dxfId="1093" priority="1002">
      <formula>AND($C$69&lt;&gt;"Yes",$E$69="Yes")</formula>
    </cfRule>
    <cfRule type="expression" dxfId="1092" priority="1003">
      <formula>OR(AND($E$69="No",$C$69&lt;&gt;"Yes"),$C$69="Yes")</formula>
    </cfRule>
  </conditionalFormatting>
  <conditionalFormatting sqref="K14">
    <cfRule type="expression" dxfId="1091" priority="552">
      <formula>AND($C13="Yes",AND($C16="No",$I14&lt;&gt;"Check"))</formula>
    </cfRule>
    <cfRule type="expression" dxfId="1090" priority="1001">
      <formula>AND($E14&lt;&gt;"Please Select",$I14&lt;&gt;"Check",$C$13&lt;&gt;"Yes")</formula>
    </cfRule>
  </conditionalFormatting>
  <conditionalFormatting sqref="I56">
    <cfRule type="expression" dxfId="1089" priority="564">
      <formula>AND($C$55="Yes",$C$58="No")</formula>
    </cfRule>
    <cfRule type="expression" dxfId="1088" priority="1000">
      <formula>AND($C$55&lt;&gt;"Yes",$E$56&lt;&gt;"Please Select")</formula>
    </cfRule>
  </conditionalFormatting>
  <conditionalFormatting sqref="G56">
    <cfRule type="expression" dxfId="1087" priority="565">
      <formula>AND($C$55="Yes",$C$58="No")</formula>
    </cfRule>
    <cfRule type="expression" dxfId="1086" priority="998">
      <formula>AND($C$55&lt;&gt;"Yes",$E$56&lt;&gt;"Please Select")</formula>
    </cfRule>
  </conditionalFormatting>
  <conditionalFormatting sqref="I28">
    <cfRule type="expression" dxfId="1085" priority="547">
      <formula>AND($C$27="Yes",$C$30="No")</formula>
    </cfRule>
    <cfRule type="expression" dxfId="1084" priority="997">
      <formula>AND($C$27&lt;&gt;"Yes",$E$28&lt;&gt;"Please Select")</formula>
    </cfRule>
  </conditionalFormatting>
  <conditionalFormatting sqref="G28">
    <cfRule type="expression" dxfId="1083" priority="548">
      <formula>AND($C$27="Yes",$C$30="No")</formula>
    </cfRule>
    <cfRule type="expression" dxfId="1082" priority="996">
      <formula>AND($C$27&lt;&gt;"Yes",$E$28&lt;&gt;"Please Select")</formula>
    </cfRule>
  </conditionalFormatting>
  <conditionalFormatting sqref="I42">
    <cfRule type="expression" dxfId="1081" priority="544">
      <formula>AND($C$41="Yes",$C$44="No")</formula>
    </cfRule>
    <cfRule type="expression" dxfId="1080" priority="994">
      <formula>AND($C$41&lt;&gt;"Yes",$E$42&lt;&gt;"Please Select")</formula>
    </cfRule>
  </conditionalFormatting>
  <conditionalFormatting sqref="G42">
    <cfRule type="expression" dxfId="1079" priority="545">
      <formula>AND($C$41="Yes",$C$44="No")</formula>
    </cfRule>
    <cfRule type="expression" dxfId="1078" priority="993">
      <formula>AND($C$41&lt;&gt;"Yes",$E$42&lt;&gt;"Please Select")</formula>
    </cfRule>
  </conditionalFormatting>
  <conditionalFormatting sqref="I70">
    <cfRule type="expression" dxfId="1077" priority="559">
      <formula>AND($C$69="Yes",$C$72="No")</formula>
    </cfRule>
    <cfRule type="expression" dxfId="1076" priority="991">
      <formula>AND($C$69&lt;&gt;"Yes",$E$70&lt;&gt;"Please Select")</formula>
    </cfRule>
  </conditionalFormatting>
  <conditionalFormatting sqref="I84">
    <cfRule type="expression" dxfId="1075" priority="578">
      <formula>AND($C$83="Yes",$C$86="No")</formula>
    </cfRule>
    <cfRule type="expression" dxfId="1074" priority="977">
      <formula>AND($C$83&lt;&gt;"Yes",$E$84&lt;&gt;"Please Select")</formula>
    </cfRule>
  </conditionalFormatting>
  <conditionalFormatting sqref="G84">
    <cfRule type="expression" dxfId="1073" priority="579">
      <formula>AND($C$83="Yes",$C$86="No")</formula>
    </cfRule>
    <cfRule type="expression" dxfId="1072" priority="975">
      <formula>AND($C$83&lt;&gt;"Yes",$E$84&lt;&gt;"Please Select")</formula>
    </cfRule>
  </conditionalFormatting>
  <conditionalFormatting sqref="I98">
    <cfRule type="expression" dxfId="1071" priority="571">
      <formula>AND($C$97="Yes",$C$100="No")</formula>
    </cfRule>
    <cfRule type="expression" dxfId="1070" priority="971">
      <formula>AND($C$97&lt;&gt;"Yes",$E$98&lt;&gt;"Please Select")</formula>
    </cfRule>
  </conditionalFormatting>
  <conditionalFormatting sqref="G98">
    <cfRule type="expression" dxfId="1069" priority="572">
      <formula>AND($C$97="Yes",$C$100="No")</formula>
    </cfRule>
    <cfRule type="expression" dxfId="1068" priority="969">
      <formula>AND($C$97&lt;&gt;"Yes",$E$98&lt;&gt;"Please Select")</formula>
    </cfRule>
  </conditionalFormatting>
  <conditionalFormatting sqref="E98">
    <cfRule type="expression" dxfId="1067" priority="964">
      <formula>AND($C$97&lt;&gt;"Yes",$E$97="Yes")</formula>
    </cfRule>
    <cfRule type="expression" dxfId="1066" priority="965">
      <formula>OR(AND($C$97&lt;&gt;"Yes",$E$97="No"),$C$97="Yes")</formula>
    </cfRule>
  </conditionalFormatting>
  <conditionalFormatting sqref="E84">
    <cfRule type="expression" dxfId="1065" priority="962">
      <formula>AND($C$83&lt;&gt;"Yes",$E$83="Yes")</formula>
    </cfRule>
    <cfRule type="expression" dxfId="1064" priority="963">
      <formula>OR($C$83="Yes",AND($C$83&lt;&gt;"Yes",$E$83="No"))</formula>
    </cfRule>
  </conditionalFormatting>
  <conditionalFormatting sqref="G33">
    <cfRule type="expression" dxfId="1063" priority="542">
      <formula>AND(OR($E28="Volume Incentive Threshold",$E28="Volume Incentive Tiered",$C$27="Yes"),$C$30="No")</formula>
    </cfRule>
    <cfRule type="expression" dxfId="1062" priority="961">
      <formula>AND(OR($E28="Volume Incentive Threshold",$E28="Volume Incentive Tiered"),$C$27&lt;&gt;"Yes")</formula>
    </cfRule>
  </conditionalFormatting>
  <conditionalFormatting sqref="G47">
    <cfRule type="expression" dxfId="1061" priority="537">
      <formula>AND(OR($E42="Volume Incentive Threshold",$E42="Volume Incentive Tiered"),$C$41="Yes",$C$44="No")</formula>
    </cfRule>
    <cfRule type="expression" dxfId="1060" priority="959">
      <formula>AND(OR($E42="Volume Incentive Threshold",$E42="Volume Incentive Tiered"),$C$41&lt;&gt;"Yes")</formula>
    </cfRule>
  </conditionalFormatting>
  <conditionalFormatting sqref="G19">
    <cfRule type="expression" dxfId="1059" priority="551">
      <formula>AND(OR($E14="Volume Incentive Threshold",$E14="Volume Incentive Tiered"),$C$13="Yes",$C$16="No")</formula>
    </cfRule>
    <cfRule type="expression" dxfId="1058" priority="957">
      <formula>AND($C$13&lt;&gt;"Yes",OR($E14="Volume Incentive Threshold",$E14="Volume Incentive Tiered"))</formula>
    </cfRule>
  </conditionalFormatting>
  <conditionalFormatting sqref="G20 K20">
    <cfRule type="expression" dxfId="1057" priority="549">
      <formula>AND($C$13="Yes",$C$16="No",$E14="Volume Incentive Tiered")</formula>
    </cfRule>
    <cfRule type="expression" dxfId="1056" priority="956">
      <formula>AND($C$13&lt;&gt;"Yes",$E14="Volume Incentive Tiered")</formula>
    </cfRule>
  </conditionalFormatting>
  <conditionalFormatting sqref="G62 K62">
    <cfRule type="expression" dxfId="1055" priority="561">
      <formula>AND($E56="DS Tiered Average Invoice Dollar Qualifier",$C$55="Yes",$C$58="No")</formula>
    </cfRule>
    <cfRule type="expression" dxfId="1054" priority="955">
      <formula>AND($C$55&lt;&gt;"Yes",$E56="DS Tiered Average Invoice Dollar Qualifier")</formula>
    </cfRule>
  </conditionalFormatting>
  <conditionalFormatting sqref="G89">
    <cfRule type="expression" dxfId="1053" priority="576">
      <formula>AND($C$8="Yes",$C$86="No",OR($E$84="EB Threshold Percent Qualifier",$E$84="EB Tiered Percent Qualifier"))</formula>
    </cfRule>
    <cfRule type="expression" dxfId="1052" priority="952">
      <formula>AND(OR($E$84="EB Threshold Percent Qualifier",$E$84="EB Tiered Percent Qualifier"),$C$83&lt;&gt;"Yes")</formula>
    </cfRule>
  </conditionalFormatting>
  <conditionalFormatting sqref="K90">
    <cfRule type="expression" dxfId="1051" priority="573">
      <formula>AND($C$83="Yes",$C$86="No",$E84="EB Tiered Percent Qualifier")</formula>
    </cfRule>
    <cfRule type="expression" dxfId="1050" priority="951">
      <formula>AND($C$83&lt;&gt;"Yes",$E84="EB Tiered Percent Qualifier")</formula>
    </cfRule>
  </conditionalFormatting>
  <conditionalFormatting sqref="G103">
    <cfRule type="expression" dxfId="1049" priority="569">
      <formula>AND($C$97="Yes",$C$100="No",OR($E$98="EB Threshold Percent Qualifier",$E$98="EB Tiered Percent Qualifier"))</formula>
    </cfRule>
    <cfRule type="expression" dxfId="1048" priority="950">
      <formula>AND(OR($E$98="EB Threshold Percent Qualifier",$E$98="EB Tiered Percent Qualifier"),$C$97&lt;&gt;"Yes")</formula>
    </cfRule>
  </conditionalFormatting>
  <conditionalFormatting sqref="I112">
    <cfRule type="expression" dxfId="1047" priority="614">
      <formula>AND($C$111="Yes",$C$114="No")</formula>
    </cfRule>
    <cfRule type="expression" dxfId="1046" priority="946">
      <formula>AND($E$112&lt;&gt;"Please Select",$C$111&lt;&gt;"Yes")</formula>
    </cfRule>
  </conditionalFormatting>
  <conditionalFormatting sqref="G112">
    <cfRule type="expression" dxfId="1045" priority="615">
      <formula>AND($C$111="Yes",$C$114="No")</formula>
    </cfRule>
    <cfRule type="expression" dxfId="1044" priority="944">
      <formula>AND($E$112&lt;&gt;"Please Select",$C$111&lt;&gt;"Yes")</formula>
    </cfRule>
  </conditionalFormatting>
  <conditionalFormatting sqref="E112">
    <cfRule type="expression" dxfId="1043" priority="940">
      <formula>AND($C$111&lt;&gt;"Yes",$E$111="Yes")</formula>
    </cfRule>
  </conditionalFormatting>
  <conditionalFormatting sqref="G115">
    <cfRule type="expression" dxfId="1042" priority="612">
      <formula>AND($C$111="Yes",$C$114="No")</formula>
    </cfRule>
    <cfRule type="expression" dxfId="1041" priority="939">
      <formula>AND($C$111&lt;&gt;"Yes",$E$112="Growth Incentive Single Rate")</formula>
    </cfRule>
  </conditionalFormatting>
  <conditionalFormatting sqref="K115">
    <cfRule type="expression" dxfId="1040" priority="611">
      <formula>AND($C$111="Yes",$C$114="No")</formula>
    </cfRule>
    <cfRule type="expression" dxfId="1039" priority="938">
      <formula>AND($E$112&lt;&gt;"Please Select",$C$111&lt;&gt;"Yes")</formula>
    </cfRule>
  </conditionalFormatting>
  <conditionalFormatting sqref="I152">
    <cfRule type="expression" dxfId="1038" priority="589">
      <formula>AND($C$151="Yes",$C$154="No")</formula>
    </cfRule>
    <cfRule type="expression" dxfId="1037" priority="937">
      <formula>AND($E$152&lt;&gt;"Please Select",$C$151&lt;&gt;"Yes")</formula>
    </cfRule>
  </conditionalFormatting>
  <conditionalFormatting sqref="G152">
    <cfRule type="expression" dxfId="1036" priority="590">
      <formula>AND($C$151="Yes",$C$154="No")</formula>
    </cfRule>
    <cfRule type="expression" dxfId="1035" priority="935">
      <formula>AND($E$152&lt;&gt;"Please Select",$C$151&lt;&gt;"Yes")</formula>
    </cfRule>
  </conditionalFormatting>
  <conditionalFormatting sqref="G155">
    <cfRule type="expression" dxfId="1034" priority="587">
      <formula>AND($C$151="Yes",$C$154="No")</formula>
    </cfRule>
    <cfRule type="expression" dxfId="1033" priority="931">
      <formula>AND($E$152="E-Commerce Incentive Threshold",$C$151&lt;&gt;"Yes")</formula>
    </cfRule>
  </conditionalFormatting>
  <conditionalFormatting sqref="E152">
    <cfRule type="expression" dxfId="1032" priority="929">
      <formula>AND($C$151&lt;&gt;"Yes",$E$151="Yes")</formula>
    </cfRule>
  </conditionalFormatting>
  <conditionalFormatting sqref="I160">
    <cfRule type="expression" dxfId="1031" priority="928">
      <formula>AND($E$160&lt;&gt;"Please Select",$C$159&lt;&gt;"Yes")</formula>
    </cfRule>
  </conditionalFormatting>
  <conditionalFormatting sqref="M160">
    <cfRule type="expression" dxfId="1030" priority="925">
      <formula>OR(AND($K160&lt;&gt;"Corporate Office",$C159&lt;&gt;"Yes"),$C159="Yes")</formula>
    </cfRule>
    <cfRule type="expression" dxfId="1029" priority="926">
      <formula>$I160="Check"</formula>
    </cfRule>
    <cfRule type="expression" dxfId="1028" priority="927">
      <formula>AND($I160="Credit Memo",$K160="Corporate Office",$C159&lt;&gt;"Yes")</formula>
    </cfRule>
  </conditionalFormatting>
  <conditionalFormatting sqref="E160">
    <cfRule type="expression" dxfId="1027" priority="924">
      <formula>AND($E$159="Yes",$C$159&lt;&gt;"Yes")</formula>
    </cfRule>
  </conditionalFormatting>
  <conditionalFormatting sqref="G163">
    <cfRule type="expression" dxfId="1026" priority="923">
      <formula>AND($C$159&lt;&gt;"Yes",$E$160&lt;&gt;"Please Select")</formula>
    </cfRule>
  </conditionalFormatting>
  <conditionalFormatting sqref="E168">
    <cfRule type="expression" dxfId="1025" priority="922">
      <formula>AND($E$167="Yes",$C$167&lt;&gt;"Yes")</formula>
    </cfRule>
  </conditionalFormatting>
  <conditionalFormatting sqref="I168">
    <cfRule type="expression" dxfId="1024" priority="921">
      <formula>AND($E$168&lt;&gt;"Please Select",$C$167&lt;&gt;"Yes")</formula>
    </cfRule>
  </conditionalFormatting>
  <conditionalFormatting sqref="G171">
    <cfRule type="expression" dxfId="1023" priority="917">
      <formula>AND($C$167&lt;&gt;"Yes",$E$168&lt;&gt;"Please Select")</formula>
    </cfRule>
  </conditionalFormatting>
  <conditionalFormatting sqref="I176">
    <cfRule type="expression" dxfId="1022" priority="915">
      <formula>AND($C$175&lt;&gt;"Yes",$E$176&lt;&gt;"Please Select")</formula>
    </cfRule>
  </conditionalFormatting>
  <conditionalFormatting sqref="G176">
    <cfRule type="expression" dxfId="1021" priority="913">
      <formula>AND($E$176&lt;&gt;"Please Select",$C$175&lt;&gt;"Yes")</formula>
    </cfRule>
  </conditionalFormatting>
  <conditionalFormatting sqref="M176">
    <cfRule type="expression" dxfId="1020" priority="95">
      <formula>AND($K$176="Corporate Office",$C$175="Yes",$C$178="No")</formula>
    </cfRule>
    <cfRule type="expression" dxfId="1019" priority="910">
      <formula>OR(AND($K$176&lt;&gt;"Corporate Office",$C$175&lt;&gt;"Yes"),AND($C$175="Yes",$C$178&lt;&gt;"No"))</formula>
    </cfRule>
    <cfRule type="expression" dxfId="1018" priority="911">
      <formula>AND($I$176="Check",$C$175&lt;&gt;"Yes")</formula>
    </cfRule>
    <cfRule type="expression" dxfId="1017" priority="912">
      <formula>AND($I$176="Credit Memo",$K$176="Corporate Office",$C$175&lt;&gt;"Yes")</formula>
    </cfRule>
  </conditionalFormatting>
  <conditionalFormatting sqref="E176">
    <cfRule type="expression" dxfId="1016" priority="909">
      <formula>AND($E$175="Yes",$C$175&lt;&gt;"Yes")</formula>
    </cfRule>
  </conditionalFormatting>
  <conditionalFormatting sqref="K155">
    <cfRule type="expression" dxfId="1015" priority="586">
      <formula>AND($C$151="Yes",$C$154="No")</formula>
    </cfRule>
    <cfRule type="expression" dxfId="1014" priority="907">
      <formula>AND($E$152&lt;&gt;"Please Select",$C$151&lt;&gt;"Yes")</formula>
    </cfRule>
  </conditionalFormatting>
  <conditionalFormatting sqref="K179">
    <cfRule type="expression" dxfId="1013" priority="906">
      <formula>AND($C$175&lt;&gt;"Yes",$E$176&lt;&gt;"Please Select")</formula>
    </cfRule>
  </conditionalFormatting>
  <conditionalFormatting sqref="I184">
    <cfRule type="expression" dxfId="1012" priority="900">
      <formula>AND($C$183&lt;&gt;"Yes",$E184&lt;&gt;"Please Select")</formula>
    </cfRule>
  </conditionalFormatting>
  <conditionalFormatting sqref="M184">
    <cfRule type="expression" dxfId="1011" priority="897">
      <formula>OR(AND($K184&lt;&gt;"Corporate Office",$C$183&lt;&gt;"Yes"),$C$183="Yes")</formula>
    </cfRule>
    <cfRule type="expression" dxfId="1010" priority="898">
      <formula>AND($I184="Check")</formula>
    </cfRule>
    <cfRule type="expression" dxfId="1009" priority="899">
      <formula>AND($I184="Credit Memo",$K184="Corporate Office",$C$183&lt;&gt;"Yes")</formula>
    </cfRule>
  </conditionalFormatting>
  <conditionalFormatting sqref="E184">
    <cfRule type="expression" dxfId="1008" priority="896">
      <formula>AND($C$183&lt;&gt;"Yes",$E$183="Yes")</formula>
    </cfRule>
  </conditionalFormatting>
  <conditionalFormatting sqref="G190">
    <cfRule type="expression" dxfId="1007" priority="895">
      <formula>AND($C$183&lt;&gt;"Yes",$E184&lt;&gt;"Please Select")</formula>
    </cfRule>
  </conditionalFormatting>
  <conditionalFormatting sqref="I190">
    <cfRule type="expression" dxfId="1006" priority="891">
      <formula>AND($C$183&lt;&gt;"Yes",COUNT(SEARCH("ICM", $G190))=1)</formula>
    </cfRule>
    <cfRule type="expression" dxfId="1005" priority="894">
      <formula>AND($C$183&lt;&gt;"Yes",$E184&lt;&gt;"Please Select")</formula>
    </cfRule>
  </conditionalFormatting>
  <conditionalFormatting sqref="K187">
    <cfRule type="expression" dxfId="1004" priority="890">
      <formula>AND($E184 = "Prepaid Rollover",$C$183&lt;&gt;"Yes")</formula>
    </cfRule>
  </conditionalFormatting>
  <conditionalFormatting sqref="M190">
    <cfRule type="expression" dxfId="1003" priority="888">
      <formula>AND($C$183&lt;&gt;"Yes",$E184&lt;&gt;"Please Select")</formula>
    </cfRule>
  </conditionalFormatting>
  <conditionalFormatting sqref="M187">
    <cfRule type="expression" dxfId="1002" priority="887">
      <formula>AND($E184&lt;&gt;"Please Select",$C$183&lt;&gt;"Yes")</formula>
    </cfRule>
  </conditionalFormatting>
  <conditionalFormatting sqref="K190">
    <cfRule type="expression" dxfId="1001" priority="886">
      <formula>AND($C$183&lt;&gt;"Yes",$E184&lt;&gt;"Please Select")</formula>
    </cfRule>
  </conditionalFormatting>
  <conditionalFormatting sqref="N182:P185">
    <cfRule type="expression" dxfId="1000" priority="884">
      <formula>AND($G$187&lt;100000,$G187&gt;=10000)</formula>
    </cfRule>
    <cfRule type="expression" dxfId="999" priority="885">
      <formula>$G187&gt;=100000</formula>
    </cfRule>
  </conditionalFormatting>
  <conditionalFormatting sqref="O190">
    <cfRule type="expression" dxfId="998" priority="883">
      <formula>AND($E184&lt;&gt;"Please Select",$C$183&lt;&gt;"Yes")</formula>
    </cfRule>
  </conditionalFormatting>
  <conditionalFormatting sqref="G195">
    <cfRule type="expression" dxfId="997" priority="864">
      <formula>AND($C$194&lt;&gt;"Yes",$E195="Prepay Multi Yr Under")</formula>
    </cfRule>
  </conditionalFormatting>
  <conditionalFormatting sqref="G207">
    <cfRule type="expression" dxfId="996" priority="863">
      <formula>AND($C$206&lt;&gt;"Yes",$E207="Prepay Multi Yr Under")</formula>
    </cfRule>
  </conditionalFormatting>
  <conditionalFormatting sqref="I195">
    <cfRule type="expression" dxfId="995" priority="862">
      <formula>AND($C$194&lt;&gt;"Yes",$E195&lt;&gt;"Please Select")</formula>
    </cfRule>
  </conditionalFormatting>
  <conditionalFormatting sqref="I207">
    <cfRule type="expression" dxfId="994" priority="861">
      <formula>AND($C$206&lt;&gt;"Yes",$E207&lt;&gt;"Please Select")</formula>
    </cfRule>
  </conditionalFormatting>
  <conditionalFormatting sqref="M195">
    <cfRule type="expression" dxfId="993" priority="94">
      <formula>OR(AND($K195&lt;&gt;"Corporate Office",$C194&lt;&gt;"Yes"),$C194="Yes")</formula>
    </cfRule>
    <cfRule type="expression" dxfId="992" priority="858">
      <formula>$I195="Check"</formula>
    </cfRule>
    <cfRule type="expression" dxfId="991" priority="859">
      <formula>AND($K195="Corporate Office",$I195="Check",$C194&lt;&gt;"Yes")</formula>
    </cfRule>
    <cfRule type="expression" dxfId="990" priority="860">
      <formula>AND($I195="Credit Memo",$K195="Corporate Office",$C194&lt;&gt;"Yes")</formula>
    </cfRule>
  </conditionalFormatting>
  <conditionalFormatting sqref="N193:P196">
    <cfRule type="expression" dxfId="989" priority="853">
      <formula>AND($G$198&lt;100000,$G198&gt;=10000)</formula>
    </cfRule>
    <cfRule type="expression" dxfId="988" priority="854">
      <formula>$G198&gt;=100000</formula>
    </cfRule>
  </conditionalFormatting>
  <conditionalFormatting sqref="N205:P208">
    <cfRule type="expression" dxfId="987" priority="851">
      <formula>AND($G$210&lt;100000,$G210&gt;=10000)</formula>
    </cfRule>
    <cfRule type="expression" dxfId="986" priority="852">
      <formula>$G210&gt;=100000</formula>
    </cfRule>
  </conditionalFormatting>
  <conditionalFormatting sqref="I219">
    <cfRule type="expression" dxfId="985" priority="823">
      <formula>AND($C$218&lt;&gt;"Yes",$E219&lt;&gt;"Please Select")</formula>
    </cfRule>
  </conditionalFormatting>
  <conditionalFormatting sqref="E219">
    <cfRule type="expression" dxfId="984" priority="822">
      <formula>AND($C$218&lt;&gt;"Yes",$E$218="Yes")</formula>
    </cfRule>
  </conditionalFormatting>
  <conditionalFormatting sqref="K222">
    <cfRule type="expression" dxfId="983" priority="820">
      <formula>AND($C$218&lt;&gt;"Yes",$E$219&lt;&gt;"Please Select")</formula>
    </cfRule>
  </conditionalFormatting>
  <conditionalFormatting sqref="E195">
    <cfRule type="expression" dxfId="982" priority="800">
      <formula>AND($C$194&lt;&gt;"Yes",$E$194="Yes")</formula>
    </cfRule>
  </conditionalFormatting>
  <conditionalFormatting sqref="K21:K23 G21:G23">
    <cfRule type="expression" dxfId="981" priority="799">
      <formula>OR(AND($E$14="Volume Incentive Tiered",$C$13&lt;&gt;"Yes"),AND($C$13="Yes",$C$16="No",$E$14="Volume Incentive Tiered"))</formula>
    </cfRule>
  </conditionalFormatting>
  <conditionalFormatting sqref="K63:K65">
    <cfRule type="expression" dxfId="980" priority="788">
      <formula>OR(AND($E$56="DS Tiered Average Invoice Dollar Qualifier",$C$55&lt;&gt;"Yes"),AND($C$55="Yes",$C$58="No",$E$56="DS Tiered Average Invoice Dollar Qualifier"))</formula>
    </cfRule>
  </conditionalFormatting>
  <conditionalFormatting sqref="K91:K93">
    <cfRule type="expression" dxfId="979" priority="787">
      <formula>OR(AND($C$83&lt;&gt;"Yes",$E$84="EB Tiered Percent Qualifier"),AND($C$83="Yes",$C$86="No",,$E$84="EB Tiered Percent Qualifier"))</formula>
    </cfRule>
  </conditionalFormatting>
  <conditionalFormatting sqref="K77:K79">
    <cfRule type="expression" dxfId="978" priority="777">
      <formula>OR(AND($E$70="DS Tiered Average Invoice Dollar Qualifier",$C$69&lt;&gt;"Yes"),AND($C$69="Yes",$C$58="72",$E$70="DS Tiered Average Invoice Dollar Qualifier"))</formula>
    </cfRule>
  </conditionalFormatting>
  <conditionalFormatting sqref="K104">
    <cfRule type="expression" dxfId="977" priority="567">
      <formula>AND($C$97="Yes",$C$100="No",$E98="EB Tiered Percent Qualifier")</formula>
    </cfRule>
    <cfRule type="expression" dxfId="976" priority="775">
      <formula>AND($E98="EB Tiered Percent Qualifier",$C$97&lt;&gt;"Yes")</formula>
    </cfRule>
  </conditionalFormatting>
  <conditionalFormatting sqref="K105:K107">
    <cfRule type="expression" dxfId="975" priority="774">
      <formula>OR(AND($C$97&lt;&gt;"Yes",$E$98="EB Tiered Percent Qualifier"),AND($C$97="Yes",$C$100="No",$E$98="EB Tiered Percent Qualifier"))</formula>
    </cfRule>
  </conditionalFormatting>
  <conditionalFormatting sqref="T12:T14">
    <cfRule type="cellIs" dxfId="974" priority="773" operator="equal">
      <formula>"Yes"</formula>
    </cfRule>
  </conditionalFormatting>
  <conditionalFormatting sqref="K19">
    <cfRule type="expression" dxfId="973" priority="550">
      <formula>AND($C$13="Yes",$C$16="No")</formula>
    </cfRule>
    <cfRule type="expression" dxfId="972" priority="770">
      <formula>AND($E$14&lt;&gt;"Please Select",$C$13&lt;&gt;"Yes")</formula>
    </cfRule>
  </conditionalFormatting>
  <conditionalFormatting sqref="K33">
    <cfRule type="expression" dxfId="971" priority="541">
      <formula>AND($C$27="Yes",$C$30="No")</formula>
    </cfRule>
    <cfRule type="expression" dxfId="970" priority="769">
      <formula>AND($C$27&lt;&gt;"Yes",$E$28&lt;&gt;"Please Select")</formula>
    </cfRule>
  </conditionalFormatting>
  <conditionalFormatting sqref="K47">
    <cfRule type="expression" dxfId="969" priority="536">
      <formula>AND($C$41="Yes",$C$44="No")</formula>
    </cfRule>
    <cfRule type="expression" dxfId="968" priority="768">
      <formula>AND($C$41&lt;&gt;"Yes",$E$42&lt;&gt;"Please Select")</formula>
    </cfRule>
  </conditionalFormatting>
  <conditionalFormatting sqref="K89">
    <cfRule type="expression" dxfId="967" priority="574">
      <formula>AND($C$83="Yes",$C$86="No")</formula>
    </cfRule>
    <cfRule type="expression" dxfId="966" priority="767">
      <formula>AND($C$83&lt;&gt;"Yes",$E$84&lt;&gt;"Please Select")</formula>
    </cfRule>
  </conditionalFormatting>
  <conditionalFormatting sqref="K103">
    <cfRule type="expression" dxfId="965" priority="566">
      <formula>AND($C$97="Yes",$C$100="No")</formula>
    </cfRule>
    <cfRule type="expression" dxfId="964" priority="766">
      <formula>AND($C$97&lt;&gt;"Yes",$E$98&lt;&gt;"Please Select")</formula>
    </cfRule>
  </conditionalFormatting>
  <conditionalFormatting sqref="K176">
    <cfRule type="expression" dxfId="963" priority="145">
      <formula>AND($C175="Yes",AND($C178="No",$I176&lt;&gt;"Check"))</formula>
    </cfRule>
    <cfRule type="expression" dxfId="962" priority="749">
      <formula>AND($E176&lt;&gt;"Please Select",$I176&lt;&gt;"Check",$C$175&lt;&gt;"Yes")</formula>
    </cfRule>
  </conditionalFormatting>
  <conditionalFormatting sqref="I187">
    <cfRule type="expression" dxfId="961" priority="728">
      <formula>AND($C$183&lt;&gt;"Yes",$E$184&lt;&gt;"Please Select")</formula>
    </cfRule>
  </conditionalFormatting>
  <conditionalFormatting sqref="G198">
    <cfRule type="expression" dxfId="960" priority="726">
      <formula>AND($C$194&lt;&gt;"Yes",$E$195="Prepaid Single Payment")</formula>
    </cfRule>
  </conditionalFormatting>
  <conditionalFormatting sqref="G210">
    <cfRule type="expression" dxfId="959" priority="725">
      <formula>AND($C$206&lt;&gt;"Yes",$E$207="Prepaid Single Payment")</formula>
    </cfRule>
  </conditionalFormatting>
  <conditionalFormatting sqref="G105:G107">
    <cfRule type="expression" dxfId="958" priority="724">
      <formula>OR(AND($C$97&lt;&gt;"Yes",$E$98="EB Tiered Percent Qualifier"),AND($C$97="Yes",$C$100="No",$E$98="EB Tiered Percent Qualifier"))</formula>
    </cfRule>
  </conditionalFormatting>
  <conditionalFormatting sqref="G91:G93">
    <cfRule type="expression" dxfId="957" priority="723">
      <formula>OR(AND($C$83&lt;&gt;"Yes",$E$84="EB Tiered Percent Qualifier"),AND($C$83="Yes",$C$86="No",$E$84="EB Tiered Percent Qualifier"))</formula>
    </cfRule>
  </conditionalFormatting>
  <conditionalFormatting sqref="G90">
    <cfRule type="expression" dxfId="956" priority="575">
      <formula>AND($C$83="Yes",$C$86="No",$E$84="EB Tiered Percent Qualifier")</formula>
    </cfRule>
    <cfRule type="expression" dxfId="955" priority="722">
      <formula>AND($C$83&lt;&gt;"Yes",$E$84="EB Tiered Percent Qualifier")</formula>
    </cfRule>
  </conditionalFormatting>
  <conditionalFormatting sqref="G104">
    <cfRule type="expression" dxfId="954" priority="568">
      <formula>AND($E$98="EB Tiered Percent Qualifier",$C$97="Yes",$C$100="No")</formula>
    </cfRule>
    <cfRule type="expression" dxfId="953" priority="721">
      <formula>AND($C$97&lt;&gt;"Yes",$E$98="EB Tiered Percent Qualifier")</formula>
    </cfRule>
  </conditionalFormatting>
  <conditionalFormatting sqref="I89:I93">
    <cfRule type="cellIs" dxfId="952" priority="720" operator="equal">
      <formula>0</formula>
    </cfRule>
  </conditionalFormatting>
  <conditionalFormatting sqref="I103:I107">
    <cfRule type="cellIs" dxfId="951" priority="719" operator="equal">
      <formula>0</formula>
    </cfRule>
  </conditionalFormatting>
  <conditionalFormatting sqref="K198:K202">
    <cfRule type="expression" dxfId="950" priority="708">
      <formula>OR(AND($C$194&lt;&gt;"Yes",$E$195="Prepaid Single Payment"),$C$194="Yes")</formula>
    </cfRule>
  </conditionalFormatting>
  <conditionalFormatting sqref="K210:K214">
    <cfRule type="expression" dxfId="949" priority="707">
      <formula>AND($C$206&lt;&gt;"Yes",$E$207="Prepaid Single Payment")</formula>
    </cfRule>
  </conditionalFormatting>
  <conditionalFormatting sqref="E207">
    <cfRule type="expression" dxfId="948" priority="706">
      <formula>AND($E$206="Yes",$C$206&lt;&gt;"Yes")</formula>
    </cfRule>
  </conditionalFormatting>
  <conditionalFormatting sqref="I120">
    <cfRule type="expression" dxfId="947" priority="609">
      <formula>AND($C$119="Yes",$C$122="No")</formula>
    </cfRule>
    <cfRule type="expression" dxfId="946" priority="704">
      <formula>AND($C$119&lt;&gt;"Yes",$E$120&lt;&gt;"Please Select")</formula>
    </cfRule>
  </conditionalFormatting>
  <conditionalFormatting sqref="G120">
    <cfRule type="expression" dxfId="945" priority="610">
      <formula>AND($C$119="Yes",$C$122="No")</formula>
    </cfRule>
    <cfRule type="expression" dxfId="944" priority="703">
      <formula>AND($C$119&lt;&gt;"Yes",$E$120&lt;&gt;"Please Select")</formula>
    </cfRule>
  </conditionalFormatting>
  <conditionalFormatting sqref="E120">
    <cfRule type="expression" dxfId="943" priority="699">
      <formula>AND($C$119&lt;&gt;"Yes",$E$119="Yes")</formula>
    </cfRule>
  </conditionalFormatting>
  <conditionalFormatting sqref="G123">
    <cfRule type="expression" dxfId="942" priority="607">
      <formula>AND($C$119="Yes",$C$122="No")</formula>
    </cfRule>
    <cfRule type="expression" dxfId="941" priority="698">
      <formula>AND($C$119&lt;&gt;"Yes",$E$120="Growth Incentive Single Rate")</formula>
    </cfRule>
  </conditionalFormatting>
  <conditionalFormatting sqref="K123">
    <cfRule type="expression" dxfId="940" priority="606">
      <formula>AND($C$119="Yes",$C$122="No")</formula>
    </cfRule>
    <cfRule type="expression" dxfId="939" priority="697">
      <formula>AND($C$119&lt;&gt;"Yes",$E$120&lt;&gt;"Please Select")</formula>
    </cfRule>
  </conditionalFormatting>
  <conditionalFormatting sqref="I128">
    <cfRule type="expression" dxfId="938" priority="604">
      <formula>AND($C$127="Yes",$C$130="No")</formula>
    </cfRule>
    <cfRule type="expression" dxfId="937" priority="695">
      <formula>AND($E$128&lt;&gt;"Please Select",$C$127&lt;&gt;"Yes")</formula>
    </cfRule>
  </conditionalFormatting>
  <conditionalFormatting sqref="G128">
    <cfRule type="expression" dxfId="936" priority="605">
      <formula>AND($C$127="Yes",$C$130="No")</formula>
    </cfRule>
    <cfRule type="expression" dxfId="935" priority="694">
      <formula>AND($E$128&lt;&gt;"Please Select",$C$127&lt;&gt;"Yes")</formula>
    </cfRule>
  </conditionalFormatting>
  <conditionalFormatting sqref="E128">
    <cfRule type="expression" dxfId="934" priority="690">
      <formula>AND($C$135&lt;&gt;"Yes",$E$127="Yes")</formula>
    </cfRule>
  </conditionalFormatting>
  <conditionalFormatting sqref="G131">
    <cfRule type="expression" dxfId="933" priority="601">
      <formula>AND($C$127="Yes",$C$130="No")</formula>
    </cfRule>
    <cfRule type="expression" dxfId="932" priority="689">
      <formula>AND($E$128="Growth Incentive Single Rate",$C$127&lt;&gt;"Yes")</formula>
    </cfRule>
  </conditionalFormatting>
  <conditionalFormatting sqref="K131">
    <cfRule type="expression" dxfId="931" priority="600">
      <formula>AND($C$127="Yes",$C$130="No")</formula>
    </cfRule>
    <cfRule type="expression" dxfId="930" priority="688">
      <formula>AND($E$128&lt;&gt;"Please Select",$C$127&lt;&gt;"Yes")</formula>
    </cfRule>
  </conditionalFormatting>
  <conditionalFormatting sqref="I144">
    <cfRule type="expression" dxfId="929" priority="594">
      <formula>AND($C$143="Yes",$C$146="No")</formula>
    </cfRule>
    <cfRule type="expression" dxfId="928" priority="686">
      <formula>AND($E$144&lt;&gt;"Please Select",$C$143&lt;&gt;"Yes")</formula>
    </cfRule>
  </conditionalFormatting>
  <conditionalFormatting sqref="G144">
    <cfRule type="expression" dxfId="927" priority="595">
      <formula>AND($C$143="Yes",$C$146="No")</formula>
    </cfRule>
    <cfRule type="expression" dxfId="926" priority="685">
      <formula>AND($E$144&lt;&gt;"Please Select",$C$143&lt;&gt;"Yes")</formula>
    </cfRule>
  </conditionalFormatting>
  <conditionalFormatting sqref="E144">
    <cfRule type="expression" dxfId="925" priority="681">
      <formula>AND($E$143="Yes",$C$143&lt;&gt;"Yes")</formula>
    </cfRule>
  </conditionalFormatting>
  <conditionalFormatting sqref="G147">
    <cfRule type="expression" dxfId="924" priority="592">
      <formula>AND($C$143="Yes",$C$146="No")</formula>
    </cfRule>
    <cfRule type="expression" dxfId="923" priority="680">
      <formula>AND($E$144="Growth Incentive Single Rate",$C$143&lt;&gt;"Yes")</formula>
    </cfRule>
  </conditionalFormatting>
  <conditionalFormatting sqref="K147">
    <cfRule type="expression" dxfId="922" priority="591">
      <formula>AND($C$143="Yes",$C$146="No")</formula>
    </cfRule>
    <cfRule type="expression" dxfId="921" priority="679">
      <formula>AND($E$144&lt;&gt;"Please Select",$C$143&lt;&gt;"Yes")</formula>
    </cfRule>
  </conditionalFormatting>
  <conditionalFormatting sqref="I136">
    <cfRule type="expression" dxfId="920" priority="598">
      <formula>AND($C$135="Yes",$C$138="No")</formula>
    </cfRule>
    <cfRule type="expression" dxfId="919" priority="677">
      <formula>AND($E$136&lt;&gt;"Please Select",$C$135&lt;&gt;"Yes")</formula>
    </cfRule>
  </conditionalFormatting>
  <conditionalFormatting sqref="G136">
    <cfRule type="expression" dxfId="918" priority="599">
      <formula>AND($C$135="Yes",$C$138="No")</formula>
    </cfRule>
    <cfRule type="expression" dxfId="917" priority="676">
      <formula>AND($C$135&lt;&gt;"Yes",$E$136&lt;&gt;"Please Select")</formula>
    </cfRule>
  </conditionalFormatting>
  <conditionalFormatting sqref="E136">
    <cfRule type="expression" dxfId="916" priority="672">
      <formula>AND($E$135="Yes",$C$135&lt;&gt;"Yes")</formula>
    </cfRule>
  </conditionalFormatting>
  <conditionalFormatting sqref="G139">
    <cfRule type="expression" dxfId="915" priority="602">
      <formula>AND($C$135="Yes",$C$138="No")</formula>
    </cfRule>
    <cfRule type="expression" dxfId="914" priority="671">
      <formula>AND($E$136="Growth Incentive Single Rate",$C$135&lt;&gt;"Yes")</formula>
    </cfRule>
  </conditionalFormatting>
  <conditionalFormatting sqref="K139">
    <cfRule type="expression" dxfId="913" priority="596">
      <formula>AND($C$135="Yes",$C$138="No")</formula>
    </cfRule>
    <cfRule type="expression" dxfId="912" priority="670">
      <formula>AND($E$136&lt;&gt;"Please Select",$C$135&lt;&gt;"Yes")</formula>
    </cfRule>
  </conditionalFormatting>
  <conditionalFormatting sqref="K223">
    <cfRule type="cellIs" dxfId="911" priority="666" operator="equal">
      <formula>"Rate cannot be greater than the Prepaid Rate % of Sales"</formula>
    </cfRule>
    <cfRule type="cellIs" dxfId="910" priority="668" operator="equal">
      <formula>"Recommended New Customer Location Incentive is 1%"</formula>
    </cfRule>
  </conditionalFormatting>
  <conditionalFormatting sqref="G70">
    <cfRule type="expression" dxfId="909" priority="560">
      <formula>AND($C$69="Yes",$C$72="No")</formula>
    </cfRule>
    <cfRule type="expression" dxfId="908" priority="623">
      <formula>AND($C$69&lt;&gt;"Yes",$E$70&lt;&gt;"Please Select")</formula>
    </cfRule>
  </conditionalFormatting>
  <conditionalFormatting sqref="G63:G65">
    <cfRule type="expression" dxfId="907" priority="620">
      <formula>OR(AND($E$56="DS Tiered Average Invoice Dollar Qualifier",$C$55&lt;&gt;"Yes"),AND($C$55="Yes",$C$58="No",$E$56="DS Tiered Average Invoice Dollar Qualifier"))</formula>
    </cfRule>
  </conditionalFormatting>
  <conditionalFormatting sqref="G77:G79">
    <cfRule type="expression" dxfId="906" priority="619">
      <formula>OR(AND($E$70="DS Tiered Average Invoice Dollar Qualifier",$C$69&lt;&gt;"Yes"),AND($C$69="Yes",$C$58="72",$E$70="DS Tiered Average Invoice Dollar Qualifier"))</formula>
    </cfRule>
  </conditionalFormatting>
  <conditionalFormatting sqref="D8:D9">
    <cfRule type="expression" dxfId="905" priority="618">
      <formula>$D$10=""</formula>
    </cfRule>
  </conditionalFormatting>
  <conditionalFormatting sqref="E8:E9">
    <cfRule type="expression" dxfId="904" priority="616">
      <formula>$D$10=""</formula>
    </cfRule>
  </conditionalFormatting>
  <conditionalFormatting sqref="G61">
    <cfRule type="expression" dxfId="903" priority="562">
      <formula>AND(OR($E56="DS Tiered Average Invoice Dollar Qualifier",$E56="DS Threshold Average Invoice Dollar Qualifier"),$C$55="Yes",$C$58="No")</formula>
    </cfRule>
  </conditionalFormatting>
  <conditionalFormatting sqref="G75 K75">
    <cfRule type="expression" dxfId="902" priority="556">
      <formula>AND(OR($E70="DS Tiered Average Invoice Dollar Qualifier",$E70="DS Threshold Average Invoice Dollar Qualifier"),$C$69="Yes",$C$72="No")</formula>
    </cfRule>
    <cfRule type="expression" dxfId="901" priority="622">
      <formula>AND(OR($E70="DS Tiered Average Invoice Dollar Qualifier",$E70="DS Threshold Average Invoice Dollar Qualifier"),$C$69&lt;&gt;"Yes")</formula>
    </cfRule>
  </conditionalFormatting>
  <conditionalFormatting sqref="G76 K76">
    <cfRule type="expression" dxfId="900" priority="555">
      <formula>AND($C$69="Yes",$C$72="No",$E70="DS Tiered Average Invoice Dollar Qualifier")</formula>
    </cfRule>
    <cfRule type="expression" dxfId="899" priority="621">
      <formula>AND($C$69&lt;&gt;"Yes",$E70="DS Tiered Average Invoice Dollar Qualifier")</formula>
    </cfRule>
  </conditionalFormatting>
  <conditionalFormatting sqref="G34 K34">
    <cfRule type="expression" dxfId="898" priority="540">
      <formula>AND($E28="Volume Incentive Tiered",$C$27="Yes",$C$30="No")</formula>
    </cfRule>
    <cfRule type="expression" dxfId="897" priority="960">
      <formula>AND($E28="Volume Incentive Tiered",$C$27&lt;&gt;"Yes")</formula>
    </cfRule>
  </conditionalFormatting>
  <conditionalFormatting sqref="G35:G37 K35:K37">
    <cfRule type="expression" dxfId="896" priority="539">
      <formula>OR(AND($E$28="Volume Incentive Tiered",$C$27&lt;&gt;"Yes"),AND($C$27="Yes",$C$30="No",$E$28="Volume Incentive Tiered"))</formula>
    </cfRule>
  </conditionalFormatting>
  <conditionalFormatting sqref="G48 K48">
    <cfRule type="expression" dxfId="895" priority="535">
      <formula>AND($E42="Volume Incentive Tiered",$C$41="Yes",$C$44="No")</formula>
    </cfRule>
    <cfRule type="expression" dxfId="894" priority="958">
      <formula>AND($E42="Volume Incentive Tiered",$C$41&lt;&gt;"Yes")</formula>
    </cfRule>
  </conditionalFormatting>
  <conditionalFormatting sqref="G49:G51 K49:K51">
    <cfRule type="expression" dxfId="893" priority="534">
      <formula>OR(AND($E$42="Volume Incentive Tiered",$C$41&lt;&gt;"Yes"),AND($C$41="Yes",$C$44="No",$E$42="Volume Incentive Tiered"))</formula>
    </cfRule>
  </conditionalFormatting>
  <conditionalFormatting sqref="K61">
    <cfRule type="expression" dxfId="892" priority="533">
      <formula>AND($C$55="Yes",$C$58="No",OR($E56="DS Tiered Average Invoice Dollar Qualifier",$E56="DS Threshold Average Invoice Dollar Qualifier"))</formula>
    </cfRule>
  </conditionalFormatting>
  <conditionalFormatting sqref="K234">
    <cfRule type="cellIs" dxfId="891" priority="531" operator="equal">
      <formula>"Rate cannot be greater than the Prepaid Rate % of Sales"</formula>
    </cfRule>
    <cfRule type="cellIs" dxfId="890" priority="532" operator="equal">
      <formula>"Recommended NCI is 1%"</formula>
    </cfRule>
  </conditionalFormatting>
  <conditionalFormatting sqref="E226">
    <cfRule type="expression" dxfId="889" priority="526">
      <formula>$C$229="Yes"</formula>
    </cfRule>
  </conditionalFormatting>
  <conditionalFormatting sqref="E227">
    <cfRule type="expression" dxfId="888" priority="523">
      <formula>OR($E$226="No",$C$229="Yes")</formula>
    </cfRule>
    <cfRule type="expression" dxfId="887" priority="524">
      <formula>$C$229=""</formula>
    </cfRule>
  </conditionalFormatting>
  <conditionalFormatting sqref="M227">
    <cfRule type="expression" dxfId="886" priority="518">
      <formula>$E$226="No"</formula>
    </cfRule>
    <cfRule type="expression" dxfId="885" priority="521">
      <formula>AND($C$229&lt;&gt;"Yes",$I227="Credit Memo",$K227="Corporate Office")</formula>
    </cfRule>
    <cfRule type="expression" dxfId="884" priority="522">
      <formula>AND($C$229&lt;&gt;"Yes",$K227="Corporate Office",$I227="Check")</formula>
    </cfRule>
  </conditionalFormatting>
  <conditionalFormatting sqref="G233">
    <cfRule type="expression" dxfId="883" priority="519">
      <formula>OR($C$229="Yes",$E$226="No")</formula>
    </cfRule>
    <cfRule type="expression" dxfId="882" priority="520">
      <formula>$E$226="Yes"</formula>
    </cfRule>
  </conditionalFormatting>
  <conditionalFormatting sqref="K245">
    <cfRule type="cellIs" dxfId="881" priority="381" operator="equal">
      <formula>"Rate cannot be greater than the Prepaid Rate % of Sales"</formula>
    </cfRule>
    <cfRule type="cellIs" dxfId="880" priority="382" operator="equal">
      <formula>"Recommended NCI is 1%"</formula>
    </cfRule>
  </conditionalFormatting>
  <conditionalFormatting sqref="E237">
    <cfRule type="expression" dxfId="879" priority="375">
      <formula>$C$240=""</formula>
    </cfRule>
    <cfRule type="expression" dxfId="878" priority="376">
      <formula>$C$240="Yes"</formula>
    </cfRule>
  </conditionalFormatting>
  <conditionalFormatting sqref="E238">
    <cfRule type="expression" dxfId="877" priority="373">
      <formula>OR($E$237="No",$C$240="Yes")</formula>
    </cfRule>
    <cfRule type="expression" dxfId="876" priority="374">
      <formula>$C$240=""</formula>
    </cfRule>
  </conditionalFormatting>
  <conditionalFormatting sqref="M238">
    <cfRule type="expression" dxfId="875" priority="368">
      <formula>$E$237="No"</formula>
    </cfRule>
    <cfRule type="expression" dxfId="874" priority="371">
      <formula>AND($C$240&lt;&gt;"Yes",$I238="Credit Memo",$K238="Corporate Office")</formula>
    </cfRule>
    <cfRule type="expression" dxfId="873" priority="372">
      <formula>AND($C$240&lt;&gt;"Yes",$K238="Corporate Office",$I238="Check")</formula>
    </cfRule>
  </conditionalFormatting>
  <conditionalFormatting sqref="G244">
    <cfRule type="expression" dxfId="872" priority="369">
      <formula>OR($C$240="Yes",$E$237="No")</formula>
    </cfRule>
    <cfRule type="expression" dxfId="871" priority="370">
      <formula>$E$237="Yes"</formula>
    </cfRule>
  </conditionalFormatting>
  <conditionalFormatting sqref="K256">
    <cfRule type="cellIs" dxfId="870" priority="366" operator="equal">
      <formula>"Rate cannot be greater than the Prepaid Rate % of Sales"</formula>
    </cfRule>
    <cfRule type="cellIs" dxfId="869" priority="367" operator="equal">
      <formula>"Recommended NCI is 1%"</formula>
    </cfRule>
  </conditionalFormatting>
  <conditionalFormatting sqref="E248">
    <cfRule type="expression" dxfId="868" priority="361">
      <formula>$C$251="Yes"</formula>
    </cfRule>
  </conditionalFormatting>
  <conditionalFormatting sqref="E249">
    <cfRule type="expression" dxfId="867" priority="358">
      <formula>OR($E$248="No",$C$251="Yes")</formula>
    </cfRule>
    <cfRule type="expression" dxfId="866" priority="359">
      <formula>$C$251=""</formula>
    </cfRule>
  </conditionalFormatting>
  <conditionalFormatting sqref="M249">
    <cfRule type="expression" dxfId="865" priority="353">
      <formula>$E$248="No"</formula>
    </cfRule>
    <cfRule type="expression" dxfId="864" priority="356">
      <formula>AND($C$251&lt;&gt;"Yes",$I249="Credit Memo",$K249="Corporate Office")</formula>
    </cfRule>
    <cfRule type="expression" dxfId="863" priority="357">
      <formula>AND($C$251&lt;&gt;"Yes",$K249="Corporate Office",$I249="Check")</formula>
    </cfRule>
  </conditionalFormatting>
  <conditionalFormatting sqref="G255">
    <cfRule type="expression" dxfId="862" priority="354">
      <formula>OR($C$251="Yes",$E$248="No")</formula>
    </cfRule>
    <cfRule type="expression" dxfId="861" priority="355">
      <formula>$E$248="Yes"</formula>
    </cfRule>
  </conditionalFormatting>
  <conditionalFormatting sqref="K267">
    <cfRule type="cellIs" dxfId="860" priority="351" operator="equal">
      <formula>"Rate cannot be greater than the Prepaid Rate % of Sales"</formula>
    </cfRule>
    <cfRule type="cellIs" dxfId="859" priority="352" operator="equal">
      <formula>"Recommended NCI is 1%"</formula>
    </cfRule>
  </conditionalFormatting>
  <conditionalFormatting sqref="E259">
    <cfRule type="expression" dxfId="858" priority="346">
      <formula>$C$262="Yes"</formula>
    </cfRule>
  </conditionalFormatting>
  <conditionalFormatting sqref="E260">
    <cfRule type="expression" dxfId="857" priority="343">
      <formula>OR($E$259="No",$C$262="Yes")</formula>
    </cfRule>
    <cfRule type="expression" dxfId="856" priority="344">
      <formula>$C$262=""</formula>
    </cfRule>
  </conditionalFormatting>
  <conditionalFormatting sqref="M260">
    <cfRule type="expression" dxfId="855" priority="338">
      <formula>$E$259="No"</formula>
    </cfRule>
    <cfRule type="expression" dxfId="854" priority="341">
      <formula>AND($C$262&lt;&gt;"Yes",$I260="Credit Memo",$K260="Corporate Office")</formula>
    </cfRule>
    <cfRule type="expression" dxfId="853" priority="342">
      <formula>AND($C$262&lt;&gt;"Yes",$K260="Corporate Office",$I260="Check")</formula>
    </cfRule>
  </conditionalFormatting>
  <conditionalFormatting sqref="G266">
    <cfRule type="expression" dxfId="852" priority="339">
      <formula>OR($C$262="Yes",$E$259="No")</formula>
    </cfRule>
    <cfRule type="expression" dxfId="851" priority="340">
      <formula>$E$259="Yes"</formula>
    </cfRule>
  </conditionalFormatting>
  <conditionalFormatting sqref="K278">
    <cfRule type="cellIs" dxfId="850" priority="336" operator="equal">
      <formula>"Rate cannot be greater than the Prepaid Rate % of Sales"</formula>
    </cfRule>
    <cfRule type="cellIs" dxfId="849" priority="337" operator="equal">
      <formula>"Recommended NCI is 1%"</formula>
    </cfRule>
  </conditionalFormatting>
  <conditionalFormatting sqref="E270">
    <cfRule type="expression" dxfId="848" priority="331">
      <formula>$C$273="Yes"</formula>
    </cfRule>
  </conditionalFormatting>
  <conditionalFormatting sqref="E271">
    <cfRule type="expression" dxfId="847" priority="328">
      <formula>OR($E$270="No",$C$273="Yes")</formula>
    </cfRule>
    <cfRule type="expression" dxfId="846" priority="329">
      <formula>$C$273=""</formula>
    </cfRule>
  </conditionalFormatting>
  <conditionalFormatting sqref="M271">
    <cfRule type="expression" dxfId="845" priority="323">
      <formula>$E$270="No"</formula>
    </cfRule>
    <cfRule type="expression" dxfId="844" priority="326">
      <formula>AND($C$273&lt;&gt;"Yes",$I271="Credit Memo",$K271="Corporate Office")</formula>
    </cfRule>
    <cfRule type="expression" dxfId="843" priority="327">
      <formula>AND($C$273&lt;&gt;"Yes",$K271="Corporate Office",$I271="Check")</formula>
    </cfRule>
  </conditionalFormatting>
  <conditionalFormatting sqref="G277">
    <cfRule type="expression" dxfId="842" priority="324">
      <formula>OR($C$273="Yes",$E$270="No")</formula>
    </cfRule>
    <cfRule type="expression" dxfId="841" priority="325">
      <formula>$E$270="Yes"</formula>
    </cfRule>
  </conditionalFormatting>
  <conditionalFormatting sqref="K289">
    <cfRule type="cellIs" dxfId="840" priority="321" operator="equal">
      <formula>"Rate cannot be greater than the Prepaid Rate % of Sales"</formula>
    </cfRule>
    <cfRule type="cellIs" dxfId="839" priority="322" operator="equal">
      <formula>"Recommended NCI is 1%"</formula>
    </cfRule>
  </conditionalFormatting>
  <conditionalFormatting sqref="E281">
    <cfRule type="expression" dxfId="838" priority="316">
      <formula>$C$284="Yes"</formula>
    </cfRule>
  </conditionalFormatting>
  <conditionalFormatting sqref="E282">
    <cfRule type="expression" dxfId="837" priority="313">
      <formula>OR($E$281="No",$C$284="Yes")</formula>
    </cfRule>
    <cfRule type="expression" dxfId="836" priority="314">
      <formula>$C$284=""</formula>
    </cfRule>
  </conditionalFormatting>
  <conditionalFormatting sqref="M282">
    <cfRule type="expression" dxfId="835" priority="308">
      <formula>$E$281="No"</formula>
    </cfRule>
    <cfRule type="expression" dxfId="834" priority="311">
      <formula>AND($C$284&lt;&gt;"Yes",$I282="Credit Memo",$K282="Corporate Office")</formula>
    </cfRule>
    <cfRule type="expression" dxfId="833" priority="312">
      <formula>AND($C$284&lt;&gt;"Yes",$K282="Corporate Office",$I282="Check")</formula>
    </cfRule>
  </conditionalFormatting>
  <conditionalFormatting sqref="G288">
    <cfRule type="expression" dxfId="832" priority="309">
      <formula>OR($C$284="Yes",$E$281="No")</formula>
    </cfRule>
    <cfRule type="expression" dxfId="831" priority="310">
      <formula>$E$281="Yes"</formula>
    </cfRule>
  </conditionalFormatting>
  <conditionalFormatting sqref="K300">
    <cfRule type="cellIs" dxfId="830" priority="306" operator="equal">
      <formula>"Rate cannot be greater than the Prepaid Rate % of Sales"</formula>
    </cfRule>
    <cfRule type="cellIs" dxfId="829" priority="307" operator="equal">
      <formula>"Recommended NCI is 1%"</formula>
    </cfRule>
  </conditionalFormatting>
  <conditionalFormatting sqref="E292">
    <cfRule type="expression" dxfId="828" priority="301">
      <formula>$C$295="Yes"</formula>
    </cfRule>
  </conditionalFormatting>
  <conditionalFormatting sqref="E293">
    <cfRule type="expression" dxfId="827" priority="298">
      <formula>OR($E$292="No",$C$295="Yes")</formula>
    </cfRule>
    <cfRule type="expression" dxfId="826" priority="299">
      <formula>$C$295=""</formula>
    </cfRule>
  </conditionalFormatting>
  <conditionalFormatting sqref="M293">
    <cfRule type="expression" dxfId="825" priority="293">
      <formula>$E$292="No"</formula>
    </cfRule>
    <cfRule type="expression" dxfId="824" priority="296">
      <formula>AND($C$295&lt;&gt;"Yes",$I293="Credit Memo",$K293="Corporate Office")</formula>
    </cfRule>
    <cfRule type="expression" dxfId="823" priority="297">
      <formula>AND($C$295&lt;&gt;"Yes",$K293="Corporate Office",$I293="Check")</formula>
    </cfRule>
  </conditionalFormatting>
  <conditionalFormatting sqref="G299">
    <cfRule type="expression" dxfId="822" priority="294">
      <formula>OR($C$295="Yes",$E$292="No")</formula>
    </cfRule>
    <cfRule type="expression" dxfId="821" priority="295">
      <formula>$E$292="Yes"</formula>
    </cfRule>
  </conditionalFormatting>
  <conditionalFormatting sqref="K311">
    <cfRule type="cellIs" dxfId="820" priority="291" operator="equal">
      <formula>"Rate cannot be greater than the Prepaid Rate % of Sales"</formula>
    </cfRule>
    <cfRule type="cellIs" dxfId="819" priority="292" operator="equal">
      <formula>"Recommended NCI is 1%"</formula>
    </cfRule>
  </conditionalFormatting>
  <conditionalFormatting sqref="E303">
    <cfRule type="expression" dxfId="818" priority="286">
      <formula>$C$306="Yes"</formula>
    </cfRule>
  </conditionalFormatting>
  <conditionalFormatting sqref="E304">
    <cfRule type="expression" dxfId="817" priority="283">
      <formula>OR($E$303="No",$C$306="Yes")</formula>
    </cfRule>
    <cfRule type="expression" dxfId="816" priority="284">
      <formula>$C$306=""</formula>
    </cfRule>
  </conditionalFormatting>
  <conditionalFormatting sqref="M304">
    <cfRule type="expression" dxfId="815" priority="278">
      <formula>$E$303="No"</formula>
    </cfRule>
    <cfRule type="expression" dxfId="814" priority="281">
      <formula>AND($C$306&lt;&gt;"Yes",$I304="Credit Memo",$K304="Corporate Office")</formula>
    </cfRule>
    <cfRule type="expression" dxfId="813" priority="282">
      <formula>AND($C$306&lt;&gt;"Yes",$K304="Corporate Office",$I304="Check")</formula>
    </cfRule>
  </conditionalFormatting>
  <conditionalFormatting sqref="G310">
    <cfRule type="expression" dxfId="812" priority="279">
      <formula>OR($C$306="Yes",$E$303="No")</formula>
    </cfRule>
    <cfRule type="expression" dxfId="811" priority="280">
      <formula>$E$303="Yes"</formula>
    </cfRule>
  </conditionalFormatting>
  <conditionalFormatting sqref="K322">
    <cfRule type="cellIs" dxfId="810" priority="276" operator="equal">
      <formula>"Rate cannot be greater than the Prepaid Rate % of Sales"</formula>
    </cfRule>
    <cfRule type="cellIs" dxfId="809" priority="277" operator="equal">
      <formula>"Recommended NCI is 1%"</formula>
    </cfRule>
  </conditionalFormatting>
  <conditionalFormatting sqref="E314">
    <cfRule type="expression" dxfId="808" priority="271">
      <formula>$C$317="Yes"</formula>
    </cfRule>
  </conditionalFormatting>
  <conditionalFormatting sqref="E315">
    <cfRule type="expression" dxfId="807" priority="268">
      <formula>OR($E$314="No",$C$317="Yes")</formula>
    </cfRule>
    <cfRule type="expression" dxfId="806" priority="269">
      <formula>$C$317=""</formula>
    </cfRule>
  </conditionalFormatting>
  <conditionalFormatting sqref="M315">
    <cfRule type="expression" dxfId="805" priority="263">
      <formula>$E$314="No"</formula>
    </cfRule>
    <cfRule type="expression" dxfId="804" priority="266">
      <formula>AND($C$317&lt;&gt;"Yes",$I315="Credit Memo",$K315="Corporate Office")</formula>
    </cfRule>
    <cfRule type="expression" dxfId="803" priority="267">
      <formula>AND($C$317&lt;&gt;"Yes",$K315="Corporate Office",$I315="Check")</formula>
    </cfRule>
  </conditionalFormatting>
  <conditionalFormatting sqref="G321">
    <cfRule type="expression" dxfId="802" priority="264">
      <formula>OR($C$317="Yes",$E$314="No")</formula>
    </cfRule>
    <cfRule type="expression" dxfId="801" priority="265">
      <formula>$E$314="Yes"</formula>
    </cfRule>
  </conditionalFormatting>
  <conditionalFormatting sqref="O12:P16">
    <cfRule type="notContainsBlanks" dxfId="800" priority="203">
      <formula>LEN(TRIM(O12))&gt;0</formula>
    </cfRule>
  </conditionalFormatting>
  <conditionalFormatting sqref="O54:P58">
    <cfRule type="notContainsBlanks" dxfId="799" priority="202">
      <formula>LEN(TRIM(O54))&gt;0</formula>
    </cfRule>
  </conditionalFormatting>
  <conditionalFormatting sqref="O82:P86">
    <cfRule type="notContainsBlanks" dxfId="798" priority="201">
      <formula>LEN(TRIM(O82))&gt;0</formula>
    </cfRule>
  </conditionalFormatting>
  <conditionalFormatting sqref="O26:P30">
    <cfRule type="notContainsBlanks" dxfId="797" priority="200">
      <formula>LEN(TRIM(O26))&gt;0</formula>
    </cfRule>
  </conditionalFormatting>
  <conditionalFormatting sqref="O40:P44">
    <cfRule type="notContainsBlanks" dxfId="796" priority="199">
      <formula>LEN(TRIM(O40))&gt;0</formula>
    </cfRule>
  </conditionalFormatting>
  <conditionalFormatting sqref="O68:P72">
    <cfRule type="notContainsBlanks" dxfId="795" priority="198">
      <formula>LEN(TRIM(O68))&gt;0</formula>
    </cfRule>
  </conditionalFormatting>
  <conditionalFormatting sqref="O96:P100">
    <cfRule type="notContainsBlanks" dxfId="794" priority="197">
      <formula>LEN(TRIM(O96))&gt;0</formula>
    </cfRule>
  </conditionalFormatting>
  <conditionalFormatting sqref="N110:P113">
    <cfRule type="notContainsBlanks" dxfId="793" priority="196">
      <formula>LEN(TRIM(N110))&gt;0</formula>
    </cfRule>
  </conditionalFormatting>
  <conditionalFormatting sqref="N150:P153">
    <cfRule type="notContainsBlanks" dxfId="792" priority="195">
      <formula>LEN(TRIM(N150))&gt;0</formula>
    </cfRule>
  </conditionalFormatting>
  <conditionalFormatting sqref="N118:P121">
    <cfRule type="notContainsBlanks" dxfId="791" priority="194">
      <formula>LEN(TRIM(N118))&gt;0</formula>
    </cfRule>
  </conditionalFormatting>
  <conditionalFormatting sqref="N134:P137">
    <cfRule type="notContainsBlanks" dxfId="790" priority="193">
      <formula>LEN(TRIM(N134))&gt;0</formula>
    </cfRule>
  </conditionalFormatting>
  <conditionalFormatting sqref="N126:P129">
    <cfRule type="notContainsBlanks" dxfId="789" priority="192">
      <formula>LEN(TRIM(N126))&gt;0</formula>
    </cfRule>
  </conditionalFormatting>
  <conditionalFormatting sqref="N142:P145">
    <cfRule type="notContainsBlanks" dxfId="788" priority="191">
      <formula>LEN(TRIM(N142))&gt;0</formula>
    </cfRule>
  </conditionalFormatting>
  <conditionalFormatting sqref="O174:P176">
    <cfRule type="notContainsBlanks" dxfId="787" priority="190">
      <formula>LEN(TRIM(O174))&gt;0</formula>
    </cfRule>
  </conditionalFormatting>
  <conditionalFormatting sqref="N158:P161">
    <cfRule type="expression" dxfId="786" priority="188">
      <formula>$G163&gt;=100000</formula>
    </cfRule>
    <cfRule type="expression" dxfId="785" priority="189">
      <formula>AND($G$163&lt;100000,$G163&gt;=10000)</formula>
    </cfRule>
  </conditionalFormatting>
  <conditionalFormatting sqref="N166:P169">
    <cfRule type="expression" dxfId="784" priority="186">
      <formula>$G171&gt;=100000</formula>
    </cfRule>
    <cfRule type="expression" dxfId="783" priority="187">
      <formula>AND($G$163&lt;100000,$G171&gt;=10000)</formula>
    </cfRule>
  </conditionalFormatting>
  <conditionalFormatting sqref="K28">
    <cfRule type="expression" dxfId="782" priority="184">
      <formula>AND($C27="Yes",AND($C30="No",$I28&lt;&gt;"Check"))</formula>
    </cfRule>
    <cfRule type="expression" dxfId="781" priority="185">
      <formula>AND($E28&lt;&gt;"Please Select",$I28&lt;&gt;"Check",$C$13&lt;&gt;"Yes")</formula>
    </cfRule>
  </conditionalFormatting>
  <conditionalFormatting sqref="K42">
    <cfRule type="expression" dxfId="780" priority="180">
      <formula>AND($C41="Yes",AND($C44="No",$I42&lt;&gt;"Check"))</formula>
    </cfRule>
    <cfRule type="expression" dxfId="779" priority="181">
      <formula>AND($E42&lt;&gt;"Please Select",$I42&lt;&gt;"Check",$C$13&lt;&gt;"Yes")</formula>
    </cfRule>
  </conditionalFormatting>
  <conditionalFormatting sqref="K56">
    <cfRule type="expression" dxfId="778" priority="178">
      <formula>AND($C55="Yes",AND($C58="No",$I56&lt;&gt;"Check"))</formula>
    </cfRule>
    <cfRule type="expression" dxfId="777" priority="179">
      <formula>AND($E56&lt;&gt;"Please Select",$I56&lt;&gt;"Check",$C$13&lt;&gt;"Yes")</formula>
    </cfRule>
  </conditionalFormatting>
  <conditionalFormatting sqref="K70">
    <cfRule type="expression" dxfId="776" priority="176">
      <formula>AND($C69="Yes",AND($C72="No",$I70&lt;&gt;"Check"))</formula>
    </cfRule>
    <cfRule type="expression" dxfId="775" priority="177">
      <formula>AND($E70&lt;&gt;"Please Select",$I70&lt;&gt;"Check",$C$13&lt;&gt;"Yes")</formula>
    </cfRule>
  </conditionalFormatting>
  <conditionalFormatting sqref="K84">
    <cfRule type="expression" dxfId="774" priority="174">
      <formula>AND($C83="Yes",AND($C86="No",$I84&lt;&gt;"Check"))</formula>
    </cfRule>
    <cfRule type="expression" dxfId="773" priority="175">
      <formula>AND($E84&lt;&gt;"Please Select",$I84&lt;&gt;"Check",$C$13&lt;&gt;"Yes")</formula>
    </cfRule>
  </conditionalFormatting>
  <conditionalFormatting sqref="K98">
    <cfRule type="expression" dxfId="772" priority="172">
      <formula>AND($C97="Yes",AND($C100="No",$I98&lt;&gt;"Check"))</formula>
    </cfRule>
    <cfRule type="expression" dxfId="771" priority="173">
      <formula>AND($E98&lt;&gt;"Please Select",$I98&lt;&gt;"Check",$C$13&lt;&gt;"Yes")</formula>
    </cfRule>
  </conditionalFormatting>
  <conditionalFormatting sqref="K112">
    <cfRule type="expression" dxfId="770" priority="170">
      <formula>AND($C111="Yes",AND($C114="No",$I112&lt;&gt;"Check"))</formula>
    </cfRule>
    <cfRule type="expression" dxfId="769" priority="171">
      <formula>AND($E112&lt;&gt;"Please Select",$I112&lt;&gt;"Check",$C$13&lt;&gt;"Yes")</formula>
    </cfRule>
  </conditionalFormatting>
  <conditionalFormatting sqref="K120">
    <cfRule type="expression" dxfId="768" priority="168">
      <formula>AND($C119="Yes",AND($C122="No",$I120&lt;&gt;"Check"))</formula>
    </cfRule>
    <cfRule type="expression" dxfId="767" priority="169">
      <formula>AND($E120&lt;&gt;"Please Select",$I120&lt;&gt;"Check",$C$13&lt;&gt;"Yes")</formula>
    </cfRule>
  </conditionalFormatting>
  <conditionalFormatting sqref="K128">
    <cfRule type="expression" dxfId="766" priority="166">
      <formula>AND($C127="Yes",AND($C130="No",$I128&lt;&gt;"Check"))</formula>
    </cfRule>
    <cfRule type="expression" dxfId="765" priority="167">
      <formula>AND($E128&lt;&gt;"Please Select",$I128&lt;&gt;"Check",$C$13&lt;&gt;"Yes")</formula>
    </cfRule>
  </conditionalFormatting>
  <conditionalFormatting sqref="K136">
    <cfRule type="expression" dxfId="764" priority="164">
      <formula>AND($C135="Yes",AND($C138="No",$I136&lt;&gt;"Check"))</formula>
    </cfRule>
    <cfRule type="expression" dxfId="763" priority="165">
      <formula>AND($E136&lt;&gt;"Please Select",$I136&lt;&gt;"Check",$C$13&lt;&gt;"Yes")</formula>
    </cfRule>
  </conditionalFormatting>
  <conditionalFormatting sqref="K144">
    <cfRule type="expression" dxfId="762" priority="162">
      <formula>AND($C143="Yes",AND($C146="No",$I144&lt;&gt;"Check"))</formula>
    </cfRule>
    <cfRule type="expression" dxfId="761" priority="163">
      <formula>AND($E144&lt;&gt;"Please Select",$I144&lt;&gt;"Check",$C$13&lt;&gt;"Yes")</formula>
    </cfRule>
  </conditionalFormatting>
  <conditionalFormatting sqref="K152">
    <cfRule type="expression" dxfId="760" priority="160">
      <formula>AND($C151="Yes",AND($C154="No",$I152&lt;&gt;"Check"))</formula>
    </cfRule>
    <cfRule type="expression" dxfId="759" priority="161">
      <formula>AND($E152&lt;&gt;"Please Select",$I152&lt;&gt;"Check",$C$13&lt;&gt;"Yes")</formula>
    </cfRule>
  </conditionalFormatting>
  <conditionalFormatting sqref="M177:M180">
    <cfRule type="expression" dxfId="758" priority="150">
      <formula>AND($C$175&lt;&gt;"Yes",$E$176&lt;&gt;"Please Select")</formula>
    </cfRule>
  </conditionalFormatting>
  <conditionalFormatting sqref="M207">
    <cfRule type="expression" dxfId="757" priority="90">
      <formula>OR(AND($K207&lt;&gt;"Corporate Office",$C206&lt;&gt;"Yes"),$C206="Yes")</formula>
    </cfRule>
    <cfRule type="expression" dxfId="756" priority="91">
      <formula>$I207="Check"</formula>
    </cfRule>
    <cfRule type="expression" dxfId="755" priority="92">
      <formula>AND($K207="Corporate Office",$I207="Check",$C206&lt;&gt;"Yes")</formula>
    </cfRule>
    <cfRule type="expression" dxfId="754" priority="93">
      <formula>AND($I207="Credit Memo",$K207="Corporate Office",$C206&lt;&gt;"Yes")</formula>
    </cfRule>
  </conditionalFormatting>
  <conditionalFormatting sqref="M28">
    <cfRule type="expression" dxfId="753" priority="78">
      <formula>AND($K28="Corporate Office",$C27="Yes",$C30="No")</formula>
    </cfRule>
    <cfRule type="expression" dxfId="752" priority="79">
      <formula>OR(AND($K28&lt;&gt;"Corporate Office",$C27&lt;&gt;"Yes"),AND($C27="Yes",$C30&lt;&gt;"No"))</formula>
    </cfRule>
    <cfRule type="expression" dxfId="751" priority="80">
      <formula>$I28="Check"</formula>
    </cfRule>
    <cfRule type="expression" dxfId="750" priority="81">
      <formula>AND($I28="Credit Memo",$K28="Corporate Office",$C27&lt;&gt;"Yes")</formula>
    </cfRule>
  </conditionalFormatting>
  <conditionalFormatting sqref="M42">
    <cfRule type="expression" dxfId="749" priority="74">
      <formula>AND($K42="Corporate Office",$C41="Yes",$C44="No")</formula>
    </cfRule>
    <cfRule type="expression" dxfId="748" priority="75">
      <formula>OR(AND($K42&lt;&gt;"Corporate Office",$C41&lt;&gt;"Yes"),AND($C41="Yes",$C44&lt;&gt;"No"))</formula>
    </cfRule>
    <cfRule type="expression" dxfId="747" priority="76">
      <formula>$I42="Check"</formula>
    </cfRule>
    <cfRule type="expression" dxfId="746" priority="77">
      <formula>AND($I42="Credit Memo",$K42="Corporate Office",$C41&lt;&gt;"Yes")</formula>
    </cfRule>
  </conditionalFormatting>
  <conditionalFormatting sqref="M56">
    <cfRule type="expression" dxfId="745" priority="70">
      <formula>AND($K56="Corporate Office",$C55="Yes",$C58="No")</formula>
    </cfRule>
    <cfRule type="expression" dxfId="744" priority="71">
      <formula>OR(AND($K56&lt;&gt;"Corporate Office",$C55&lt;&gt;"Yes"),AND($C55="Yes",$C58&lt;&gt;"No"))</formula>
    </cfRule>
    <cfRule type="expression" dxfId="743" priority="72">
      <formula>$I56="Check"</formula>
    </cfRule>
    <cfRule type="expression" dxfId="742" priority="73">
      <formula>AND($I56="Credit Memo",$K56="Corporate Office",$C55&lt;&gt;"Yes")</formula>
    </cfRule>
  </conditionalFormatting>
  <conditionalFormatting sqref="M70">
    <cfRule type="expression" dxfId="741" priority="66">
      <formula>AND($K70="Corporate Office",$C69="Yes",$C72="No")</formula>
    </cfRule>
    <cfRule type="expression" dxfId="740" priority="67">
      <formula>OR(AND($K70&lt;&gt;"Corporate Office",$C69&lt;&gt;"Yes"),AND($C69="Yes",$C72&lt;&gt;"No"))</formula>
    </cfRule>
    <cfRule type="expression" dxfId="739" priority="68">
      <formula>$I70="Check"</formula>
    </cfRule>
    <cfRule type="expression" dxfId="738" priority="69">
      <formula>AND($I70="Credit Memo",$K70="Corporate Office",$C69&lt;&gt;"Yes")</formula>
    </cfRule>
  </conditionalFormatting>
  <conditionalFormatting sqref="M84">
    <cfRule type="expression" dxfId="737" priority="62">
      <formula>AND($K84="Corporate Office",$C83="Yes",$C86="No")</formula>
    </cfRule>
    <cfRule type="expression" dxfId="736" priority="63">
      <formula>OR(AND($K84&lt;&gt;"Corporate Office",$C83&lt;&gt;"Yes"),AND($C83="Yes",$C86&lt;&gt;"No"))</formula>
    </cfRule>
    <cfRule type="expression" dxfId="735" priority="64">
      <formula>$I84="Check"</formula>
    </cfRule>
    <cfRule type="expression" dxfId="734" priority="65">
      <formula>AND($I84="Credit Memo",$K84="Corporate Office",$C83&lt;&gt;"Yes")</formula>
    </cfRule>
  </conditionalFormatting>
  <conditionalFormatting sqref="M98">
    <cfRule type="expression" dxfId="733" priority="58">
      <formula>AND($K98="Corporate Office",$C97="Yes",$C100="No")</formula>
    </cfRule>
    <cfRule type="expression" dxfId="732" priority="59">
      <formula>OR(AND($K98&lt;&gt;"Corporate Office",$C97&lt;&gt;"Yes"),AND($C97="Yes",$C100&lt;&gt;"No"))</formula>
    </cfRule>
    <cfRule type="expression" dxfId="731" priority="60">
      <formula>$I98="Check"</formula>
    </cfRule>
    <cfRule type="expression" dxfId="730" priority="61">
      <formula>AND($I98="Credit Memo",$K98="Corporate Office",$C97&lt;&gt;"Yes")</formula>
    </cfRule>
  </conditionalFormatting>
  <conditionalFormatting sqref="M112">
    <cfRule type="expression" dxfId="729" priority="54">
      <formula>AND($K112="Corporate Office",$C111="Yes",$C114="No")</formula>
    </cfRule>
    <cfRule type="expression" dxfId="728" priority="55">
      <formula>OR(AND($K112&lt;&gt;"Corporate Office",$C111&lt;&gt;"Yes"),AND($C111="Yes",$C114&lt;&gt;"No"))</formula>
    </cfRule>
    <cfRule type="expression" dxfId="727" priority="56">
      <formula>$I112="Check"</formula>
    </cfRule>
    <cfRule type="expression" dxfId="726" priority="57">
      <formula>AND($I112="Credit Memo",$K112="Corporate Office",$C111&lt;&gt;"Yes")</formula>
    </cfRule>
  </conditionalFormatting>
  <conditionalFormatting sqref="M120">
    <cfRule type="expression" dxfId="725" priority="50">
      <formula>AND($K120="Corporate Office",$C119="Yes",$C122="No")</formula>
    </cfRule>
    <cfRule type="expression" dxfId="724" priority="51">
      <formula>OR(AND($K120&lt;&gt;"Corporate Office",$C119&lt;&gt;"Yes"),AND($C119="Yes",$C122&lt;&gt;"No"))</formula>
    </cfRule>
    <cfRule type="expression" dxfId="723" priority="52">
      <formula>$I120="Check"</formula>
    </cfRule>
    <cfRule type="expression" dxfId="722" priority="53">
      <formula>AND($I120="Credit Memo",$K120="Corporate Office",$C119&lt;&gt;"Yes")</formula>
    </cfRule>
  </conditionalFormatting>
  <conditionalFormatting sqref="M128">
    <cfRule type="expression" dxfId="721" priority="46">
      <formula>AND($K128="Corporate Office",$C127="Yes",$C130="No")</formula>
    </cfRule>
    <cfRule type="expression" dxfId="720" priority="47">
      <formula>OR(AND($K128&lt;&gt;"Corporate Office",$C127&lt;&gt;"Yes"),AND($C127="Yes",$C130&lt;&gt;"No"))</formula>
    </cfRule>
    <cfRule type="expression" dxfId="719" priority="48">
      <formula>$I128="Check"</formula>
    </cfRule>
    <cfRule type="expression" dxfId="718" priority="49">
      <formula>AND($I128="Credit Memo",$K128="Corporate Office",$C127&lt;&gt;"Yes")</formula>
    </cfRule>
  </conditionalFormatting>
  <conditionalFormatting sqref="M136">
    <cfRule type="expression" dxfId="717" priority="42">
      <formula>AND($K136="Corporate Office",$C135="Yes",$C138="No")</formula>
    </cfRule>
    <cfRule type="expression" dxfId="716" priority="43">
      <formula>OR(AND($K136&lt;&gt;"Corporate Office",$C135&lt;&gt;"Yes"),AND($C135="Yes",$C138&lt;&gt;"No"))</formula>
    </cfRule>
    <cfRule type="expression" dxfId="715" priority="44">
      <formula>$I136="Check"</formula>
    </cfRule>
    <cfRule type="expression" dxfId="714" priority="45">
      <formula>AND($I136="Credit Memo",$K136="Corporate Office",$C135&lt;&gt;"Yes")</formula>
    </cfRule>
  </conditionalFormatting>
  <conditionalFormatting sqref="M144">
    <cfRule type="expression" dxfId="713" priority="38">
      <formula>AND($K144="Corporate Office",$C143="Yes",$C146="No")</formula>
    </cfRule>
    <cfRule type="expression" dxfId="712" priority="39">
      <formula>OR(AND($K144&lt;&gt;"Corporate Office",$C143&lt;&gt;"Yes"),AND($C143="Yes",$C146&lt;&gt;"No"))</formula>
    </cfRule>
    <cfRule type="expression" dxfId="711" priority="40">
      <formula>$I144="Check"</formula>
    </cfRule>
    <cfRule type="expression" dxfId="710" priority="41">
      <formula>AND($I144="Credit Memo",$K144="Corporate Office",$C143&lt;&gt;"Yes")</formula>
    </cfRule>
  </conditionalFormatting>
  <conditionalFormatting sqref="M152">
    <cfRule type="expression" dxfId="709" priority="34">
      <formula>AND($K152="Corporate Office",$C151="Yes",$C154="No")</formula>
    </cfRule>
    <cfRule type="expression" dxfId="708" priority="35">
      <formula>OR(AND($K152&lt;&gt;"Corporate Office",$C151&lt;&gt;"Yes"),AND($C151="Yes",$C154&lt;&gt;"No"))</formula>
    </cfRule>
    <cfRule type="expression" dxfId="707" priority="36">
      <formula>$I152="Check"</formula>
    </cfRule>
    <cfRule type="expression" dxfId="706" priority="37">
      <formula>AND($I152="Credit Memo",$K152="Corporate Office",$C151&lt;&gt;"Yes")</formula>
    </cfRule>
  </conditionalFormatting>
  <conditionalFormatting sqref="M168">
    <cfRule type="expression" dxfId="705" priority="31">
      <formula>OR(AND($K168&lt;&gt;"Corporate Office",$C167&lt;&gt;"Yes"),$C167="Yes")</formula>
    </cfRule>
    <cfRule type="expression" dxfId="704" priority="32">
      <formula>$I168="Check"</formula>
    </cfRule>
    <cfRule type="expression" dxfId="703" priority="33">
      <formula>AND($I168="Credit Memo",$K168="Corporate Office",$C167&lt;&gt;"Yes")</formula>
    </cfRule>
  </conditionalFormatting>
  <conditionalFormatting sqref="O324:P326">
    <cfRule type="notContainsBlanks" dxfId="702" priority="20">
      <formula>LEN(TRIM(O324))&gt;0</formula>
    </cfRule>
  </conditionalFormatting>
  <conditionalFormatting sqref="M327:M330">
    <cfRule type="expression" dxfId="701" priority="19">
      <formula>AND($C$175&lt;&gt;"Yes",$E$176&lt;&gt;"Please Select")</formula>
    </cfRule>
  </conditionalFormatting>
  <conditionalFormatting sqref="O328:O329">
    <cfRule type="notContainsBlanks" dxfId="700" priority="15">
      <formula>LEN(TRIM(O328))&gt;0</formula>
    </cfRule>
  </conditionalFormatting>
  <conditionalFormatting sqref="I326">
    <cfRule type="expression" dxfId="699" priority="7">
      <formula>AND($C$325="Yes",$C$328="No")</formula>
    </cfRule>
    <cfRule type="expression" dxfId="698" priority="14">
      <formula>AND($C$325&lt;&gt;"Yes",$E$326&lt;&gt;"Please Select")</formula>
    </cfRule>
  </conditionalFormatting>
  <conditionalFormatting sqref="G326">
    <cfRule type="expression" dxfId="697" priority="8">
      <formula>AND($C$325="Yes",$C$328="No")</formula>
    </cfRule>
    <cfRule type="expression" dxfId="696" priority="13">
      <formula>AND($C$325&lt;&gt;"Yes",$E$326&lt;&gt;"Please Select")</formula>
    </cfRule>
  </conditionalFormatting>
  <conditionalFormatting sqref="M326">
    <cfRule type="expression" dxfId="695" priority="5">
      <formula>AND($K326="Corporate Office",$C325="Yes",$C328="No")</formula>
    </cfRule>
    <cfRule type="expression" dxfId="694" priority="10">
      <formula>OR(AND($K326&lt;&gt;"Corporate Office",$C325&lt;&gt;"Yes"),AND($C325="Yes",$C328&lt;&gt;"No"))</formula>
    </cfRule>
    <cfRule type="expression" dxfId="693" priority="11">
      <formula>$I326="Check"</formula>
    </cfRule>
    <cfRule type="expression" dxfId="692" priority="12">
      <formula>AND($I326="Credit Memo",$K326="Corporate Office",$C325&lt;&gt;"Yes")</formula>
    </cfRule>
  </conditionalFormatting>
  <conditionalFormatting sqref="K326">
    <cfRule type="expression" dxfId="691" priority="6">
      <formula>AND($C325="Yes",AND($C328="No",$I326&lt;&gt;"Check"))</formula>
    </cfRule>
    <cfRule type="expression" dxfId="690" priority="9">
      <formula>AND($E326&lt;&gt;"Please Select",$I326&lt;&gt;"Check",$C$325&lt;&gt;"Yes")</formula>
    </cfRule>
  </conditionalFormatting>
  <conditionalFormatting sqref="E326">
    <cfRule type="expression" dxfId="689" priority="3">
      <formula>OR(AND($C$325&lt;&gt;"Yes",$E$325="No"),$C$325="Yes")</formula>
    </cfRule>
    <cfRule type="expression" dxfId="688" priority="4">
      <formula>AND($E$325="Yes",$C$325&lt;&gt;"Yes")</formula>
    </cfRule>
  </conditionalFormatting>
  <conditionalFormatting sqref="K329">
    <cfRule type="expression" dxfId="687" priority="1">
      <formula>AND($C$325="Yes",$C$328="No")</formula>
    </cfRule>
    <cfRule type="expression" dxfId="686" priority="2">
      <formula>AND($E$326&lt;&gt;"Please Select",$C$325&lt;&gt;"Yes")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326" xr:uid="{00000000-0002-0000-0400-000009000000}">
      <formula1>"Customer Units, Corporate Office"</formula1>
    </dataValidation>
    <dataValidation type="decimal" allowBlank="1" showInputMessage="1" showErrorMessage="1" sqref="O337" xr:uid="{00000000-0002-0000-0400-00000A000000}">
      <formula1>0</formula1>
      <formula2>Q337</formula2>
    </dataValidation>
    <dataValidation type="decimal" allowBlank="1" showInputMessage="1" showErrorMessage="1" sqref="O336 M337:N337" xr:uid="{00000000-0002-0000-0400-00000B000000}">
      <formula1>0</formula1>
      <formula2>P336</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32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326"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1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3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35"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70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0" id="{7AFB0FBA-25D2-4D1D-B169-90AF90E35C64}">
            <xm:f>AND(AND(Welcome!$D$10&lt;&gt;"MDA",Welcome!$D$10&lt;&gt;"PON Only"),Welcome!$D$6="Amendment")</xm:f>
            <x14:dxf>
              <fill>
                <patternFill>
                  <bgColor theme="0"/>
                </patternFill>
              </fill>
            </x14:dxf>
          </x14:cfRule>
          <x14:cfRule type="expression" priority="904" id="{CC77D9D5-08D0-497D-857C-05FC5404FFA2}">
            <xm:f>AND(AND(Welcome!$D$10&lt;&gt;"MDA",Welcome!$D$10&lt;&gt;"PON Only"),Welcome!$D$6="New")</xm:f>
            <x14:dxf>
              <fill>
                <patternFill>
                  <bgColor rgb="FFFFFF00"/>
                </patternFill>
              </fill>
            </x14:dxf>
          </x14:cfRule>
          <x14:cfRule type="expression" priority="905"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50"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47"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44"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41"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40"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65"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64"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63"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62"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61"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3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3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3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3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71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3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3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13"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12"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11"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0"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9"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08"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07"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06"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5"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204"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54"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46"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18" id="{D1A9DEC0-3CA7-4465-957A-993D49C8A643}">
            <xm:f>AND($C$175&lt;&gt;"Yes",$K$179&gt;ROUNDUP((((VLOOKUP('Variable Selling'!$A$2,'CC MARKET EXPENSE'!$A:$D,4,0))*100)*VLOOKUP(D324,'Incentive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M327:M330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E329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E328</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45" t="s">
        <v>210</v>
      </c>
      <c r="D2" s="1845"/>
      <c r="E2" s="1845"/>
      <c r="F2" s="423"/>
      <c r="G2" s="172"/>
      <c r="H2" s="172"/>
      <c r="I2" s="172"/>
      <c r="J2" s="172"/>
      <c r="K2" s="172"/>
      <c r="L2" s="175"/>
    </row>
    <row r="3" spans="2:23" x14ac:dyDescent="0.25">
      <c r="B3" s="178"/>
      <c r="C3" s="1854" t="s">
        <v>1156</v>
      </c>
      <c r="D3" s="1855"/>
      <c r="E3" s="322" t="str">
        <f>Welcome!$D$10</f>
        <v>Please Select</v>
      </c>
      <c r="F3" s="325"/>
      <c r="G3" s="396" t="s">
        <v>110</v>
      </c>
      <c r="H3" s="1850" t="str">
        <f>IFERROR(VLOOKUP($H$4,'Market Geography'!$D:$G,4,FALSE),"Select Market")</f>
        <v>Select Market</v>
      </c>
      <c r="I3" s="1850"/>
      <c r="J3" s="1850"/>
      <c r="K3" s="1851"/>
      <c r="L3" s="179"/>
    </row>
    <row r="4" spans="2:23" x14ac:dyDescent="0.25">
      <c r="B4" s="178"/>
      <c r="C4" s="1856" t="s">
        <v>1157</v>
      </c>
      <c r="D4" s="1857"/>
      <c r="E4" s="291" t="str">
        <f>Welcome!$D$16</f>
        <v>Select Term</v>
      </c>
      <c r="F4" s="424"/>
      <c r="G4" s="397" t="s">
        <v>840</v>
      </c>
      <c r="H4" s="1852">
        <f>Welcome!$D$4</f>
        <v>0</v>
      </c>
      <c r="I4" s="1852"/>
      <c r="J4" s="1852"/>
      <c r="K4" s="1853"/>
      <c r="L4" s="179"/>
    </row>
    <row r="5" spans="2:23" x14ac:dyDescent="0.25">
      <c r="B5" s="178"/>
      <c r="C5" s="1856" t="s">
        <v>1162</v>
      </c>
      <c r="D5" s="1857"/>
      <c r="E5" s="143">
        <f>'PIM Model'!$G$31</f>
        <v>0</v>
      </c>
      <c r="F5" s="425"/>
      <c r="G5" s="397" t="s">
        <v>107</v>
      </c>
      <c r="H5" s="1852" t="str">
        <f>'Multi-Customer'!$S$49</f>
        <v>Enter Customer(s)</v>
      </c>
      <c r="I5" s="1852"/>
      <c r="J5" s="1852"/>
      <c r="K5" s="1853"/>
      <c r="L5" s="179"/>
    </row>
    <row r="6" spans="2:23" x14ac:dyDescent="0.25">
      <c r="B6" s="178"/>
      <c r="C6" s="1856" t="s">
        <v>1163</v>
      </c>
      <c r="D6" s="1857"/>
      <c r="E6" s="144">
        <f>'PIM Model'!$E$6</f>
        <v>0</v>
      </c>
      <c r="F6" s="325"/>
      <c r="G6" s="397" t="s">
        <v>1170</v>
      </c>
      <c r="H6" s="1852" t="str">
        <f>IF('Multi-Customer'!$AL$40 = "MULTIPLE MENU TYPES","MULTIPLE TYPES",'Multi-Customer'!$AH$40)</f>
        <v>MULTIPLE TYPES</v>
      </c>
      <c r="I6" s="1852"/>
      <c r="J6" s="1852"/>
      <c r="K6" s="1853"/>
      <c r="L6" s="179"/>
      <c r="R6" s="426"/>
    </row>
    <row r="7" spans="2:23" ht="15.75" thickBot="1" x14ac:dyDescent="0.3">
      <c r="B7" s="178"/>
      <c r="C7" s="1861" t="s">
        <v>1164</v>
      </c>
      <c r="D7" s="1862"/>
      <c r="E7" s="323">
        <f>IFERROR('PIM Ranges'!$AW$3,0)</f>
        <v>0</v>
      </c>
      <c r="F7" s="177"/>
      <c r="G7" s="398" t="s">
        <v>1165</v>
      </c>
      <c r="H7" s="1859" t="s">
        <v>206</v>
      </c>
      <c r="I7" s="1859"/>
      <c r="J7" s="1859"/>
      <c r="K7" s="1860"/>
      <c r="L7" s="179"/>
      <c r="P7" s="177"/>
      <c r="Q7" s="153"/>
      <c r="R7" s="427"/>
      <c r="S7" s="134"/>
      <c r="T7" s="153"/>
      <c r="U7" s="177"/>
      <c r="V7" s="153"/>
      <c r="W7" s="177"/>
    </row>
    <row r="8" spans="2:23" ht="13.9" customHeight="1" x14ac:dyDescent="0.25">
      <c r="B8" s="178"/>
      <c r="D8" s="136"/>
      <c r="E8" s="1782"/>
      <c r="F8" s="1782"/>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48" t="s">
        <v>843</v>
      </c>
      <c r="J10" s="1848"/>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46" t="str">
        <f>IFERROR($E11/$E$5,"")</f>
        <v/>
      </c>
      <c r="J11" s="1846"/>
      <c r="K11" s="244"/>
      <c r="L11" s="179"/>
      <c r="R11" s="426"/>
    </row>
    <row r="12" spans="2:23" ht="36" customHeight="1" x14ac:dyDescent="0.25">
      <c r="B12" s="178"/>
      <c r="C12" s="243"/>
      <c r="D12" s="1863" t="s">
        <v>677</v>
      </c>
      <c r="E12" s="1863"/>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46" t="str">
        <f>IFERROR(E13/E5,"")</f>
        <v/>
      </c>
      <c r="J13" s="1846"/>
      <c r="K13" s="244"/>
      <c r="L13" s="179"/>
    </row>
    <row r="14" spans="2:23" s="636" customFormat="1" ht="36.6" customHeight="1" x14ac:dyDescent="0.25">
      <c r="B14" s="178"/>
      <c r="C14" s="243"/>
      <c r="D14" s="1863" t="s">
        <v>1098</v>
      </c>
      <c r="E14" s="1863"/>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46" t="str">
        <f>IFERROR($E15/$E$5,"")</f>
        <v/>
      </c>
      <c r="J15" s="1846"/>
      <c r="K15" s="244"/>
      <c r="L15" s="179"/>
    </row>
    <row r="16" spans="2:23" ht="26.45" customHeight="1" x14ac:dyDescent="0.25">
      <c r="B16" s="178"/>
      <c r="C16" s="243"/>
      <c r="D16" s="1858" t="s">
        <v>679</v>
      </c>
      <c r="E16" s="1858"/>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46" t="str">
        <f>IFERROR($E17/$E$5,"")</f>
        <v/>
      </c>
      <c r="J17" s="1846"/>
      <c r="K17" s="244"/>
      <c r="L17" s="179"/>
    </row>
    <row r="18" spans="2:12" ht="25.9" customHeight="1" x14ac:dyDescent="0.25">
      <c r="B18" s="178"/>
      <c r="C18" s="243"/>
      <c r="D18" s="1858" t="s">
        <v>678</v>
      </c>
      <c r="E18" s="1864"/>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47" t="str">
        <f>IFERROR($E19/$E$5,"")</f>
        <v/>
      </c>
      <c r="J19" s="1847"/>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2072</v>
      </c>
      <c r="E21" s="441">
        <f>IFERROR('Variable Costs (Back)'!$AK$25,0)</f>
        <v>0</v>
      </c>
      <c r="F21" s="188"/>
      <c r="G21" s="442">
        <f>IFERROR(E21/'PIM Model'!$H$31,0)</f>
        <v>0</v>
      </c>
      <c r="H21" s="443"/>
      <c r="I21" s="1847" t="str">
        <f>IFERROR($E21/$E$5,"")</f>
        <v/>
      </c>
      <c r="J21" s="1847"/>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46" t="str">
        <f>IFERROR($E25/$E$5,"")</f>
        <v/>
      </c>
      <c r="J25" s="1846"/>
      <c r="K25" s="244"/>
      <c r="L25" s="179"/>
    </row>
    <row r="26" spans="2:12" ht="16.149999999999999" customHeight="1" x14ac:dyDescent="0.25">
      <c r="B26" s="178"/>
      <c r="C26" s="243"/>
      <c r="D26" s="1849" t="s">
        <v>879</v>
      </c>
      <c r="E26" s="1849"/>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48" t="s">
        <v>843</v>
      </c>
      <c r="J30" s="1848"/>
      <c r="K30" s="244"/>
      <c r="L30" s="179"/>
    </row>
    <row r="31" spans="2:12" ht="25.15" customHeight="1" x14ac:dyDescent="0.25">
      <c r="B31" s="178"/>
      <c r="C31" s="243"/>
      <c r="D31" s="447" t="s">
        <v>221</v>
      </c>
      <c r="E31" s="448">
        <f>'PIM Ranges'!AQ33</f>
        <v>0</v>
      </c>
      <c r="F31" s="188"/>
      <c r="G31" s="435">
        <f>IFERROR(E31/'PIM Model'!$H$31,0)</f>
        <v>0</v>
      </c>
      <c r="H31" s="188"/>
      <c r="I31" s="1846" t="str">
        <f>IFERROR($E31/$E$5,"")</f>
        <v/>
      </c>
      <c r="J31" s="1846"/>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46" t="str">
        <f>IFERROR($E32/$E$5,"")</f>
        <v/>
      </c>
      <c r="J32" s="1846"/>
      <c r="K32" s="244"/>
      <c r="L32" s="179"/>
    </row>
    <row r="33" spans="2:12" ht="27.6" customHeight="1" x14ac:dyDescent="0.25">
      <c r="B33" s="178"/>
      <c r="C33" s="453"/>
      <c r="D33" s="1858" t="s">
        <v>2078</v>
      </c>
      <c r="E33" s="1858"/>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58"/>
      <c r="E39" s="1858"/>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24" sqref="E24"/>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54" t="s">
        <v>1156</v>
      </c>
      <c r="D4" s="1855"/>
      <c r="E4" s="558" t="str">
        <f>Welcome!$D$10</f>
        <v>Please Select</v>
      </c>
      <c r="F4" s="139"/>
      <c r="G4" s="396" t="s">
        <v>110</v>
      </c>
      <c r="H4" s="1769" t="str">
        <f>IFERROR(VLOOKUP($H$5,'Market Geography'!$D:$G,4,FALSE),"Select Market")</f>
        <v>Select Market</v>
      </c>
      <c r="I4" s="1770"/>
      <c r="J4" s="1771"/>
      <c r="K4" s="736"/>
      <c r="L4" s="736"/>
      <c r="M4" s="736"/>
      <c r="N4" s="736"/>
      <c r="O4" s="736"/>
      <c r="P4" s="654"/>
      <c r="Q4" s="656"/>
      <c r="R4" s="625"/>
      <c r="S4" s="459"/>
    </row>
    <row r="5" spans="1:31" x14ac:dyDescent="0.25">
      <c r="B5" s="178"/>
      <c r="C5" s="1856" t="s">
        <v>1157</v>
      </c>
      <c r="D5" s="1857"/>
      <c r="E5" s="291" t="str">
        <f>Welcome!$D$16</f>
        <v>Select Term</v>
      </c>
      <c r="F5" s="139"/>
      <c r="G5" s="397" t="s">
        <v>840</v>
      </c>
      <c r="H5" s="1766">
        <f>Welcome!$D$4</f>
        <v>0</v>
      </c>
      <c r="I5" s="1767"/>
      <c r="J5" s="1768"/>
      <c r="K5" s="736"/>
      <c r="L5" s="736"/>
      <c r="M5" s="736"/>
      <c r="N5" s="736"/>
      <c r="O5" s="736"/>
      <c r="P5" s="654"/>
      <c r="Q5" s="656"/>
      <c r="R5" s="625"/>
      <c r="S5" s="459"/>
    </row>
    <row r="6" spans="1:31" x14ac:dyDescent="0.25">
      <c r="B6" s="178"/>
      <c r="C6" s="1856" t="s">
        <v>1162</v>
      </c>
      <c r="D6" s="1857"/>
      <c r="E6" s="292">
        <f>IFERROR('PIM Model'!$G$31,0)</f>
        <v>0</v>
      </c>
      <c r="F6" s="324"/>
      <c r="G6" s="397" t="s">
        <v>107</v>
      </c>
      <c r="H6" s="1766" t="str">
        <f>'Multi-Customer'!$S$49</f>
        <v>Enter Customer(s)</v>
      </c>
      <c r="I6" s="1767"/>
      <c r="J6" s="1768"/>
      <c r="K6" s="736"/>
      <c r="L6" s="736"/>
      <c r="M6" s="736"/>
      <c r="N6" s="736"/>
      <c r="O6" s="736"/>
      <c r="P6" s="654"/>
      <c r="Q6" s="656"/>
      <c r="R6" s="625"/>
      <c r="S6" s="459"/>
    </row>
    <row r="7" spans="1:31" x14ac:dyDescent="0.25">
      <c r="B7" s="178"/>
      <c r="C7" s="1856" t="s">
        <v>1163</v>
      </c>
      <c r="D7" s="1857"/>
      <c r="E7" s="460">
        <f>IFERROR('Variable Costs (Back)'!$K$26,0)</f>
        <v>0</v>
      </c>
      <c r="F7" s="177"/>
      <c r="G7" s="397" t="s">
        <v>1170</v>
      </c>
      <c r="H7" s="1766" t="str">
        <f>'Multi-Customer'!$AH$40</f>
        <v>MULTIPLE TYPES</v>
      </c>
      <c r="I7" s="1767"/>
      <c r="J7" s="1768"/>
      <c r="K7" s="736"/>
      <c r="L7" s="736"/>
      <c r="M7" s="736"/>
      <c r="N7" s="736"/>
      <c r="O7" s="736"/>
      <c r="P7" s="654"/>
      <c r="Q7" s="656"/>
      <c r="R7" s="625"/>
      <c r="S7" s="459"/>
    </row>
    <row r="8" spans="1:31" ht="15.75" thickBot="1" x14ac:dyDescent="0.3">
      <c r="B8" s="178"/>
      <c r="C8" s="1861" t="s">
        <v>1164</v>
      </c>
      <c r="D8" s="1862"/>
      <c r="E8" s="323">
        <f>IFERROR('PIM Ranges'!$AW$3,0)</f>
        <v>0</v>
      </c>
      <c r="F8" s="325"/>
      <c r="G8" s="398" t="s">
        <v>1165</v>
      </c>
      <c r="H8" s="1865" t="s">
        <v>206</v>
      </c>
      <c r="I8" s="1866"/>
      <c r="J8" s="1867"/>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74" t="s">
        <v>1130</v>
      </c>
      <c r="R11" s="1874"/>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72" t="s">
        <v>1130</v>
      </c>
      <c r="R21" s="1873"/>
      <c r="S21" s="179"/>
      <c r="T21" s="5"/>
      <c r="U21" s="5">
        <f>IFERROR('Agreement Worksheet'!H18/E8,0)</f>
        <v>0</v>
      </c>
    </row>
    <row r="22" spans="2:21" s="1048" customFormat="1" ht="21" customHeight="1" x14ac:dyDescent="0.25">
      <c r="B22" s="178"/>
      <c r="C22" s="243"/>
      <c r="D22" s="1055" t="s">
        <v>1727</v>
      </c>
      <c r="E22" s="1063">
        <f>IFERROR(Incentives!O332*-1,0)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IFERROR(Incentives!O334*-1,0)</f>
        <v>0</v>
      </c>
      <c r="F23" s="473">
        <f>Incentives!O336</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71" t="s">
        <v>2078</v>
      </c>
      <c r="E35" s="1871"/>
      <c r="F35" s="1871"/>
      <c r="G35" s="1871"/>
      <c r="H35" s="478"/>
      <c r="I35" s="1870" t="str">
        <f>IF($J$36=0,IF($N$36=0,"","Customer EB % Missing"),IF($N$36=0,"Customer Drops/Wk Missing","Customer EB % &amp; Drops/Wk Missing"))</f>
        <v/>
      </c>
      <c r="J35" s="1870"/>
      <c r="K35" s="1870"/>
      <c r="L35" s="1870"/>
      <c r="M35" s="1870"/>
      <c r="N35" s="1870"/>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68" t="s">
        <v>1130</v>
      </c>
      <c r="R40" s="1868"/>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2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69"/>
      <c r="C44" s="1869"/>
      <c r="D44" s="1869"/>
      <c r="N44" s="1835"/>
      <c r="O44" s="1835"/>
      <c r="P44" s="1835"/>
      <c r="Q44" s="1835"/>
      <c r="R44" s="1835"/>
      <c r="S44" s="1835"/>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80" t="s">
        <v>644</v>
      </c>
      <c r="D2" s="1881"/>
      <c r="E2" s="1881"/>
      <c r="F2" s="1881"/>
      <c r="G2" s="1881"/>
      <c r="H2" s="1881"/>
      <c r="I2" s="1881"/>
      <c r="J2" s="1881"/>
      <c r="K2" s="1881"/>
      <c r="L2" s="1881"/>
      <c r="M2" s="1881"/>
      <c r="N2" s="1881"/>
      <c r="O2" s="1881"/>
      <c r="P2" s="1882"/>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83"/>
      <c r="G4" s="1883"/>
      <c r="P4" s="526"/>
      <c r="T4" s="1" t="s">
        <v>480</v>
      </c>
    </row>
    <row r="5" spans="3:23" x14ac:dyDescent="0.25">
      <c r="C5" s="137"/>
      <c r="E5" s="332"/>
      <c r="P5" s="138"/>
    </row>
    <row r="6" spans="3:23" x14ac:dyDescent="0.25">
      <c r="C6" s="137"/>
      <c r="E6" s="136" t="s">
        <v>1171</v>
      </c>
      <c r="F6" s="1883"/>
      <c r="G6" s="1883"/>
      <c r="P6" s="138"/>
    </row>
    <row r="7" spans="3:23" x14ac:dyDescent="0.25">
      <c r="C7" s="137"/>
      <c r="E7" s="136"/>
      <c r="P7" s="138"/>
    </row>
    <row r="8" spans="3:23" x14ac:dyDescent="0.25">
      <c r="C8" s="137"/>
      <c r="E8" s="136" t="s">
        <v>1172</v>
      </c>
      <c r="F8" s="1883"/>
      <c r="G8" s="1883"/>
      <c r="P8" s="138"/>
    </row>
    <row r="9" spans="3:23" x14ac:dyDescent="0.25">
      <c r="C9" s="137"/>
      <c r="E9" s="136" t="s">
        <v>1173</v>
      </c>
      <c r="F9" s="1883"/>
      <c r="G9" s="1883"/>
      <c r="P9" s="138"/>
    </row>
    <row r="10" spans="3:23" x14ac:dyDescent="0.25">
      <c r="C10" s="137"/>
      <c r="E10" s="136" t="s">
        <v>836</v>
      </c>
      <c r="F10" s="1883"/>
      <c r="G10" s="1883"/>
      <c r="P10" s="138"/>
    </row>
    <row r="11" spans="3:23" x14ac:dyDescent="0.25">
      <c r="C11" s="137"/>
      <c r="E11" s="136" t="s">
        <v>798</v>
      </c>
      <c r="F11" s="1883"/>
      <c r="G11" s="1883"/>
      <c r="P11" s="138"/>
    </row>
    <row r="12" spans="3:23" x14ac:dyDescent="0.25">
      <c r="C12" s="137"/>
      <c r="E12" s="136" t="s">
        <v>1174</v>
      </c>
      <c r="F12" s="1883"/>
      <c r="G12" s="1883"/>
      <c r="P12" s="138"/>
    </row>
    <row r="13" spans="3:23" x14ac:dyDescent="0.25">
      <c r="C13" s="137"/>
      <c r="E13" s="136"/>
      <c r="F13" s="1885"/>
      <c r="G13" s="1885"/>
      <c r="P13" s="138"/>
    </row>
    <row r="14" spans="3:23" x14ac:dyDescent="0.25">
      <c r="C14" s="137"/>
      <c r="E14" s="136" t="s">
        <v>1175</v>
      </c>
      <c r="F14" s="1884"/>
      <c r="G14" s="1884"/>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86" t="str">
        <f>IF(F14="","",IF('Agreement Worksheet'!J5="End of Week",F14+(364*IF(OR(Welcome!D16="Select Term",Welcome!D16=""),0,Welcome!D16))+6,R17-1))</f>
        <v/>
      </c>
      <c r="G17" s="1886"/>
      <c r="O17" s="749"/>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78" t="str">
        <f>Welcome!D10</f>
        <v>Please Select</v>
      </c>
      <c r="G19" s="1879"/>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4"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75" t="s">
        <v>1465</v>
      </c>
      <c r="G44" s="1876"/>
      <c r="H44" s="1877"/>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88" t="s">
        <v>1197</v>
      </c>
      <c r="C2" s="1894"/>
      <c r="D2" s="1894"/>
      <c r="E2" s="1894"/>
      <c r="F2" s="1894"/>
      <c r="G2" s="1894"/>
      <c r="H2" s="1894"/>
      <c r="I2" s="1894"/>
      <c r="J2" s="1894"/>
      <c r="K2" s="1895"/>
      <c r="L2" s="720"/>
      <c r="M2" s="1887" t="s">
        <v>1198</v>
      </c>
      <c r="N2" s="1887"/>
      <c r="O2" s="1887"/>
      <c r="P2" s="720"/>
      <c r="Q2" s="720"/>
      <c r="R2" s="720"/>
      <c r="S2" s="713"/>
    </row>
    <row r="3" spans="1:19" ht="15.75" thickBot="1" x14ac:dyDescent="0.3">
      <c r="A3" s="720"/>
      <c r="B3" s="1051"/>
      <c r="C3" s="1052"/>
      <c r="D3" s="1052"/>
      <c r="E3" s="1052"/>
      <c r="F3" s="1052"/>
      <c r="G3" s="1052"/>
      <c r="H3" s="1052"/>
      <c r="I3" s="1445"/>
      <c r="J3" s="1445"/>
      <c r="K3" s="1444"/>
      <c r="L3" s="720"/>
      <c r="M3" s="721" t="s">
        <v>1199</v>
      </c>
      <c r="N3" s="721">
        <v>500</v>
      </c>
      <c r="O3" s="721">
        <v>25</v>
      </c>
      <c r="P3" s="720"/>
      <c r="Q3" s="720" t="s">
        <v>1199</v>
      </c>
      <c r="R3" s="720"/>
      <c r="S3" s="713"/>
    </row>
    <row r="4" spans="1:19" ht="25.5" x14ac:dyDescent="0.25">
      <c r="A4" s="720"/>
      <c r="B4" s="1079" t="s">
        <v>374</v>
      </c>
      <c r="C4" s="1080" t="s">
        <v>1200</v>
      </c>
      <c r="D4" s="1080" t="s">
        <v>1201</v>
      </c>
      <c r="E4" s="1080" t="s">
        <v>1202</v>
      </c>
      <c r="F4" s="1080" t="s">
        <v>1203</v>
      </c>
      <c r="G4" s="1081" t="s">
        <v>1204</v>
      </c>
      <c r="H4" s="1081" t="s">
        <v>1205</v>
      </c>
      <c r="I4" s="1081" t="s">
        <v>1206</v>
      </c>
      <c r="J4" s="1081" t="s">
        <v>1724</v>
      </c>
      <c r="K4" s="1083"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480"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88" t="s">
        <v>1211</v>
      </c>
      <c r="C7" s="1889"/>
      <c r="D7" s="1889"/>
      <c r="E7" s="1889"/>
      <c r="F7" s="1889"/>
      <c r="G7" s="1889"/>
      <c r="H7" s="1889"/>
      <c r="I7" s="1890"/>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4" t="s">
        <v>1214</v>
      </c>
      <c r="C9" s="1085" t="s">
        <v>1215</v>
      </c>
      <c r="D9" s="1085" t="s">
        <v>1216</v>
      </c>
      <c r="E9" s="1085" t="s">
        <v>1217</v>
      </c>
      <c r="F9" s="1085" t="s">
        <v>1218</v>
      </c>
      <c r="G9" s="1085" t="s">
        <v>1219</v>
      </c>
      <c r="H9" s="1085" t="s">
        <v>1220</v>
      </c>
      <c r="I9" s="108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4" t="s">
        <v>1226</v>
      </c>
      <c r="C12" s="1085" t="s">
        <v>1227</v>
      </c>
      <c r="D12" s="1085" t="s">
        <v>1228</v>
      </c>
      <c r="E12" s="1085" t="s">
        <v>1229</v>
      </c>
      <c r="F12" s="1085" t="s">
        <v>1230</v>
      </c>
      <c r="G12" s="1085" t="s">
        <v>1231</v>
      </c>
      <c r="H12" s="1085" t="s">
        <v>1232</v>
      </c>
      <c r="I12" s="108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91" t="s">
        <v>1238</v>
      </c>
      <c r="C15" s="1892"/>
      <c r="D15" s="1892"/>
      <c r="E15" s="1892"/>
      <c r="F15" s="1892"/>
      <c r="G15" s="1892"/>
      <c r="H15" s="1892"/>
      <c r="I15" s="1893"/>
      <c r="J15" s="720"/>
      <c r="K15" s="720"/>
      <c r="L15" s="720"/>
      <c r="M15" s="721" t="s">
        <v>1239</v>
      </c>
      <c r="N15" s="721">
        <v>1500</v>
      </c>
      <c r="O15" s="721">
        <v>35</v>
      </c>
      <c r="P15" s="720"/>
      <c r="Q15" s="720"/>
      <c r="R15" s="720"/>
      <c r="S15" s="713"/>
    </row>
    <row r="16" spans="1:19" ht="15.75" thickBot="1" x14ac:dyDescent="0.3">
      <c r="A16" s="720"/>
      <c r="B16" s="1051"/>
      <c r="C16" s="1052"/>
      <c r="D16" s="1052"/>
      <c r="E16" s="1052"/>
      <c r="F16" s="1052"/>
      <c r="G16" s="1052"/>
      <c r="H16" s="1053"/>
      <c r="I16" s="1054"/>
      <c r="J16" s="720"/>
      <c r="K16" s="720"/>
      <c r="L16" s="720"/>
      <c r="M16" s="721" t="s">
        <v>1236</v>
      </c>
      <c r="N16" s="721">
        <v>1500</v>
      </c>
      <c r="O16" s="721">
        <v>50</v>
      </c>
      <c r="P16" s="720"/>
      <c r="Q16" s="720"/>
      <c r="R16" s="720"/>
      <c r="S16" s="713"/>
    </row>
    <row r="17" spans="1:19" ht="51" customHeight="1" x14ac:dyDescent="0.25">
      <c r="A17" s="720"/>
      <c r="B17" s="1087" t="s">
        <v>1243</v>
      </c>
      <c r="C17" s="1088" t="s">
        <v>1240</v>
      </c>
      <c r="D17" s="1088" t="s">
        <v>1241</v>
      </c>
      <c r="E17" s="1088" t="s">
        <v>1244</v>
      </c>
      <c r="F17" s="1089" t="s">
        <v>1242</v>
      </c>
      <c r="G17" s="1082" t="s">
        <v>1245</v>
      </c>
      <c r="H17" s="1090" t="s">
        <v>1262</v>
      </c>
      <c r="I17" s="1091"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571"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96" t="s">
        <v>1264</v>
      </c>
      <c r="C2" s="1897"/>
      <c r="D2" s="1897"/>
      <c r="E2" s="1897"/>
      <c r="F2" s="1897"/>
      <c r="G2" s="1897"/>
      <c r="H2" s="1897"/>
      <c r="I2" s="1897"/>
      <c r="J2" s="1897"/>
      <c r="K2" s="1897"/>
      <c r="L2" s="1897"/>
      <c r="M2" s="1897"/>
      <c r="N2" s="1898"/>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1"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99" t="s">
        <v>1279</v>
      </c>
      <c r="C8" s="1897"/>
      <c r="D8" s="1897"/>
      <c r="E8" s="1897"/>
      <c r="F8" s="1897"/>
      <c r="G8" s="1897"/>
      <c r="H8" s="1897"/>
      <c r="I8" s="1897"/>
      <c r="J8" s="1897"/>
      <c r="K8" s="1897"/>
      <c r="L8" s="1897"/>
      <c r="M8" s="1897"/>
      <c r="N8" s="1898"/>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99" t="s">
        <v>1291</v>
      </c>
      <c r="C32" s="1900"/>
      <c r="D32" s="1900"/>
      <c r="E32" s="1900"/>
      <c r="F32" s="1900"/>
      <c r="G32" s="1900"/>
      <c r="H32" s="1900"/>
      <c r="I32" s="1900"/>
      <c r="J32" s="1900"/>
      <c r="K32" s="1900"/>
      <c r="L32" s="1900"/>
      <c r="M32" s="1900"/>
      <c r="N32" s="1900"/>
      <c r="O32" s="1901"/>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0" t="s">
        <v>1289</v>
      </c>
      <c r="O34" s="130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1" t="s">
        <v>103</v>
      </c>
      <c r="O35" s="130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2" t="s">
        <v>1296</v>
      </c>
      <c r="O36" s="130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2" t="s">
        <v>1296</v>
      </c>
      <c r="O37" s="130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2" t="s">
        <v>1296</v>
      </c>
      <c r="O38" s="130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2" t="s">
        <v>1296</v>
      </c>
      <c r="O39" s="130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2" t="s">
        <v>1296</v>
      </c>
      <c r="O40" s="130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2" t="s">
        <v>1296</v>
      </c>
      <c r="O41" s="130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2" t="s">
        <v>1296</v>
      </c>
      <c r="O42" s="130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2" t="s">
        <v>1296</v>
      </c>
      <c r="O43" s="130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2" t="s">
        <v>1296</v>
      </c>
      <c r="O44" s="130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2" t="s">
        <v>1296</v>
      </c>
      <c r="O45" s="130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3" t="s">
        <v>102</v>
      </c>
      <c r="O46" s="130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3" t="s">
        <v>101</v>
      </c>
      <c r="O47" s="130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3" t="s">
        <v>100</v>
      </c>
      <c r="O48" s="130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3" t="s">
        <v>104</v>
      </c>
      <c r="O49" s="130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3" t="s">
        <v>99</v>
      </c>
      <c r="O50" s="130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3" t="s">
        <v>98</v>
      </c>
      <c r="O51" s="130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3" t="s">
        <v>97</v>
      </c>
      <c r="O52" s="130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3" t="s">
        <v>96</v>
      </c>
      <c r="O53" s="130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3" t="s">
        <v>95</v>
      </c>
      <c r="O54" s="1306">
        <v>8</v>
      </c>
    </row>
    <row r="55" spans="1:15" hidden="1" x14ac:dyDescent="0.25">
      <c r="A55" s="565"/>
      <c r="B55" s="761">
        <v>1</v>
      </c>
      <c r="C55" s="762">
        <v>25</v>
      </c>
      <c r="D55" s="766"/>
      <c r="E55" s="728" t="s">
        <v>1290</v>
      </c>
      <c r="F55" s="769"/>
      <c r="G55" s="757"/>
      <c r="H55" s="763" t="s">
        <v>479</v>
      </c>
      <c r="I55" s="728" t="s">
        <v>648</v>
      </c>
      <c r="J55" s="1511">
        <v>2.25</v>
      </c>
      <c r="K55" s="728" t="s">
        <v>648</v>
      </c>
      <c r="L55" s="773">
        <v>30</v>
      </c>
      <c r="M55" s="773" t="s">
        <v>479</v>
      </c>
      <c r="N55" s="1303" t="s">
        <v>94</v>
      </c>
      <c r="O55" s="130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3" t="s">
        <v>93</v>
      </c>
      <c r="O56" s="130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3" t="s">
        <v>92</v>
      </c>
      <c r="O57" s="130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3" t="s">
        <v>91</v>
      </c>
      <c r="O58" s="130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3" t="s">
        <v>90</v>
      </c>
      <c r="O59" s="130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3" t="s">
        <v>89</v>
      </c>
      <c r="O60" s="130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3" t="s">
        <v>88</v>
      </c>
      <c r="O61" s="130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3" t="s">
        <v>87</v>
      </c>
      <c r="O62" s="130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3" t="s">
        <v>86</v>
      </c>
      <c r="O63" s="130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933"/>
      <c r="K1" s="1933"/>
      <c r="L1" s="1933"/>
      <c r="M1" s="1933"/>
      <c r="N1" s="1933"/>
      <c r="O1" s="565"/>
      <c r="P1" s="937"/>
      <c r="Q1" s="565"/>
      <c r="R1" s="937"/>
      <c r="S1" s="565"/>
      <c r="T1" s="565"/>
      <c r="U1" s="565"/>
      <c r="W1" s="966" t="s">
        <v>1542</v>
      </c>
      <c r="X1" s="967" t="s">
        <v>1518</v>
      </c>
      <c r="Y1" s="968" t="s">
        <v>1519</v>
      </c>
      <c r="Z1" s="969" t="s">
        <v>1520</v>
      </c>
      <c r="AA1" s="1022" t="s">
        <v>765</v>
      </c>
      <c r="AB1" s="1023"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920" t="s">
        <v>1485</v>
      </c>
      <c r="C3" s="1930"/>
      <c r="D3" s="1930"/>
      <c r="E3" s="1930"/>
      <c r="F3" s="1930"/>
      <c r="G3" s="1930"/>
      <c r="H3" s="1930"/>
      <c r="I3" s="1930"/>
      <c r="J3" s="1930"/>
      <c r="K3" s="1930"/>
      <c r="L3" s="1930"/>
      <c r="M3" s="1930"/>
      <c r="N3" s="1930"/>
      <c r="O3" s="1930"/>
      <c r="P3" s="1930"/>
      <c r="Q3" s="1930"/>
      <c r="R3" s="1930"/>
      <c r="S3" s="1930"/>
      <c r="T3" s="1930"/>
      <c r="U3" s="1931"/>
      <c r="W3" s="964">
        <v>1201</v>
      </c>
      <c r="X3" s="901" t="s">
        <v>1486</v>
      </c>
      <c r="Y3" s="964">
        <v>1</v>
      </c>
      <c r="Z3" s="899"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5" customFormat="1" ht="30" customHeight="1" thickBot="1" x14ac:dyDescent="0.3">
      <c r="A5" s="418"/>
      <c r="B5" s="938"/>
      <c r="C5" s="950" t="s">
        <v>1383</v>
      </c>
      <c r="D5" s="1921" t="s">
        <v>1486</v>
      </c>
      <c r="E5" s="1922"/>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942"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942"/>
    </row>
    <row r="7" spans="1:31" s="895" customFormat="1" ht="30" customHeight="1" thickBot="1" x14ac:dyDescent="0.3">
      <c r="A7" s="565"/>
      <c r="B7" s="938"/>
      <c r="C7" s="950" t="s">
        <v>1492</v>
      </c>
      <c r="D7" s="1923">
        <v>1201</v>
      </c>
      <c r="E7" s="1924"/>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5" customFormat="1" ht="18" customHeight="1" thickBot="1" x14ac:dyDescent="0.3">
      <c r="A9" s="565"/>
      <c r="B9" s="938"/>
      <c r="C9" s="950" t="s">
        <v>1385</v>
      </c>
      <c r="D9" s="1925" t="str">
        <f>AA3</f>
        <v/>
      </c>
      <c r="E9" s="1926"/>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5" customFormat="1" ht="30" customHeight="1" thickBot="1" x14ac:dyDescent="0.3">
      <c r="A11" s="565"/>
      <c r="B11" s="938"/>
      <c r="C11" s="950" t="s">
        <v>1386</v>
      </c>
      <c r="D11" s="1925" t="str">
        <f>AB3</f>
        <v/>
      </c>
      <c r="E11" s="1926"/>
      <c r="F11" s="938"/>
      <c r="G11" s="984"/>
      <c r="H11" s="952" t="s">
        <v>1493</v>
      </c>
      <c r="I11" s="938"/>
      <c r="J11" s="938"/>
      <c r="K11" s="938"/>
      <c r="L11" s="953" t="s">
        <v>1494</v>
      </c>
      <c r="M11" s="938"/>
      <c r="N11" s="938"/>
      <c r="O11" s="938"/>
      <c r="P11" s="938"/>
      <c r="Q11" s="938"/>
      <c r="R11" s="938"/>
      <c r="S11" s="938"/>
      <c r="T11" s="1025" t="s">
        <v>1600</v>
      </c>
      <c r="U11" s="938"/>
      <c r="W11" s="959">
        <v>2801</v>
      </c>
      <c r="X11" s="965" t="s">
        <v>1524</v>
      </c>
      <c r="Y11" s="960">
        <v>1</v>
      </c>
      <c r="Z11" s="899"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6" t="s">
        <v>646</v>
      </c>
      <c r="U12" s="938"/>
      <c r="W12" s="959">
        <v>2802</v>
      </c>
      <c r="X12" s="965"/>
      <c r="Y12" s="963"/>
      <c r="Z12" s="900"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5" customFormat="1" ht="30" customHeight="1" thickBot="1" x14ac:dyDescent="0.3">
      <c r="A13" s="565"/>
      <c r="B13" s="938"/>
      <c r="C13" s="951" t="s">
        <v>1496</v>
      </c>
      <c r="D13" s="1932" t="s">
        <v>646</v>
      </c>
      <c r="E13" s="1898"/>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5" customFormat="1" ht="18" customHeight="1" thickBot="1" x14ac:dyDescent="0.3">
      <c r="A15" s="565"/>
      <c r="B15" s="938"/>
      <c r="C15" s="950" t="s">
        <v>1497</v>
      </c>
      <c r="D15" s="1923" t="s">
        <v>1498</v>
      </c>
      <c r="E15" s="1924"/>
      <c r="F15" s="938"/>
      <c r="G15" s="984"/>
      <c r="H15" s="938"/>
      <c r="I15" s="938"/>
      <c r="J15" s="1576"/>
      <c r="K15" s="1576"/>
      <c r="L15" s="1576"/>
      <c r="M15" s="1576"/>
      <c r="N15" s="1576"/>
      <c r="O15" s="938"/>
      <c r="P15" s="938"/>
      <c r="Q15" s="938"/>
      <c r="R15" s="1595" t="s">
        <v>648</v>
      </c>
      <c r="S15" s="938"/>
      <c r="T15" s="981" t="str">
        <f>IF(Z3&lt;&gt;"","Yes","No")</f>
        <v>No</v>
      </c>
      <c r="U15" s="938"/>
      <c r="W15" s="959">
        <v>3501</v>
      </c>
      <c r="X15" s="965" t="s">
        <v>1535</v>
      </c>
      <c r="Y15" s="964">
        <v>1</v>
      </c>
      <c r="Z15" s="899"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5" customFormat="1" ht="21" customHeight="1" thickBot="1" x14ac:dyDescent="0.3">
      <c r="A16" s="565"/>
      <c r="B16" s="938"/>
      <c r="C16" s="938"/>
      <c r="D16" s="938"/>
      <c r="E16" s="938"/>
      <c r="F16" s="938"/>
      <c r="G16" s="984"/>
      <c r="H16" s="938"/>
      <c r="I16" s="938"/>
      <c r="J16" s="1577"/>
      <c r="K16" s="1577"/>
      <c r="L16" s="1577"/>
      <c r="M16" s="1577"/>
      <c r="N16" s="1577"/>
      <c r="O16" s="938"/>
      <c r="P16" s="938"/>
      <c r="Q16" s="938"/>
      <c r="R16" s="938"/>
      <c r="S16" s="938"/>
      <c r="T16" s="938"/>
      <c r="U16" s="938"/>
      <c r="W16" s="959">
        <v>3502</v>
      </c>
      <c r="X16" s="965"/>
      <c r="Y16" s="964">
        <v>2</v>
      </c>
      <c r="Z16" s="900"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5" customFormat="1" ht="21" customHeight="1" thickBot="1" x14ac:dyDescent="0.3">
      <c r="A17" s="565"/>
      <c r="B17" s="1920" t="s">
        <v>1499</v>
      </c>
      <c r="C17" s="1930"/>
      <c r="D17" s="1930"/>
      <c r="E17" s="1930"/>
      <c r="F17" s="1930"/>
      <c r="G17" s="1930"/>
      <c r="H17" s="1930"/>
      <c r="I17" s="1930"/>
      <c r="J17" s="1930"/>
      <c r="K17" s="1930"/>
      <c r="L17" s="1930"/>
      <c r="M17" s="1930"/>
      <c r="N17" s="1930"/>
      <c r="O17" s="1930"/>
      <c r="P17" s="1930"/>
      <c r="Q17" s="1930"/>
      <c r="R17" s="1930"/>
      <c r="S17" s="1930"/>
      <c r="T17" s="1930"/>
      <c r="U17" s="1931"/>
      <c r="W17" s="959">
        <v>3601</v>
      </c>
      <c r="X17" s="965" t="s">
        <v>1538</v>
      </c>
      <c r="Y17" s="964">
        <v>1</v>
      </c>
      <c r="Z17" s="899"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5" customFormat="1" ht="30" customHeight="1" thickBot="1" x14ac:dyDescent="0.3">
      <c r="A19" s="418"/>
      <c r="B19" s="938"/>
      <c r="C19" s="950" t="s">
        <v>1383</v>
      </c>
      <c r="D19" s="1921" t="s">
        <v>1486</v>
      </c>
      <c r="E19" s="1922"/>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4" t="str">
        <f>IF(Z19&lt;&gt;"",IF(AND(Z19=112,Incentives!E$114&lt;&gt;""),Incentives!E$114,""),"")</f>
        <v/>
      </c>
      <c r="AB19" s="1024" t="str">
        <f>IF(Z19&lt;&gt;"",IF(AND(Z19=112,Incentives!E$115&lt;&gt;""),Incentives!E$115,""),"")</f>
        <v/>
      </c>
      <c r="AC19" s="1034">
        <v>239</v>
      </c>
      <c r="AE19" s="1942"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4" t="str">
        <f>IF(Z20&lt;&gt;"",IF(AND(Incentives!E$122&lt;&gt;"",Z20=120),Incentives!E$122,""),"")</f>
        <v/>
      </c>
      <c r="AB20" s="1024" t="str">
        <f>IF(Z20&lt;&gt;"",IF(AND(Incentives!E$123&lt;&gt;"",Z20=120),Incentives!E$123,""),"")</f>
        <v/>
      </c>
      <c r="AC20" s="1034">
        <v>253</v>
      </c>
      <c r="AE20" s="1942"/>
    </row>
    <row r="21" spans="1:31" s="895" customFormat="1" ht="30.75" customHeight="1" thickBot="1" x14ac:dyDescent="0.3">
      <c r="A21" s="565"/>
      <c r="B21" s="938"/>
      <c r="C21" s="950" t="s">
        <v>1492</v>
      </c>
      <c r="D21" s="1923">
        <v>1202</v>
      </c>
      <c r="E21" s="1924"/>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4" t="str">
        <f>IF(Z21&lt;&gt;"",IF(AND(Incentives!E$130&lt;&gt;"",Z21=128),Incentives!E$130,""),"")</f>
        <v/>
      </c>
      <c r="AB21" s="1024" t="str">
        <f>IF(Z21&lt;&gt;"",IF(AND(Incentives!E$131&lt;&gt;"",Z21=128),Incentives!E$131,""),"")</f>
        <v/>
      </c>
      <c r="AC21" s="1034">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4" t="str">
        <f>IF(Z22&lt;&gt;"",IF(AND(Incentives!E$138&lt;&gt;"",Z22=136),Incentives!E$138,""),"")</f>
        <v/>
      </c>
      <c r="AB22" s="1024" t="str">
        <f>IF(Z22&lt;&gt;"",IF(AND(Incentives!E$139&lt;&gt;"",Z22=136),Incentives!E$139,""),"")</f>
        <v/>
      </c>
      <c r="AC22" s="1034">
        <v>281</v>
      </c>
    </row>
    <row r="23" spans="1:31" s="895" customFormat="1" ht="18" customHeight="1" thickBot="1" x14ac:dyDescent="0.3">
      <c r="A23" s="565"/>
      <c r="B23" s="938"/>
      <c r="C23" s="950" t="s">
        <v>1385</v>
      </c>
      <c r="D23" s="1925" t="str">
        <f>AA4</f>
        <v/>
      </c>
      <c r="E23" s="1926"/>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4" t="str">
        <f>IF(Z23&lt;&gt;"",IF(AND(Incentives!E$146&lt;&gt;"",Z23=144),Incentives!E$146,""),"")</f>
        <v/>
      </c>
      <c r="AB23" s="1024" t="str">
        <f>IF(Z23&lt;&gt;"",IF(AND(Incentives!E$147&lt;&gt;"",Z23=144),Incentives!E$147,""),"")</f>
        <v/>
      </c>
      <c r="AC23" s="1034">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4" t="str">
        <f>IF(Z24&lt;&gt;"",IF(AND(Incentives!E$154&lt;&gt;"",Z24=152),Incentives!E$154,""),"")</f>
        <v/>
      </c>
      <c r="AB24" s="1024" t="str">
        <f>IF(Z24&lt;&gt;"",IF(AND(Incentives!E$155&lt;&gt;"",Z24=152),Incentives!E$155,""),"")</f>
        <v/>
      </c>
      <c r="AC24" s="1034">
        <v>309</v>
      </c>
    </row>
    <row r="25" spans="1:31" s="895" customFormat="1" ht="30" customHeight="1" thickBot="1" x14ac:dyDescent="0.3">
      <c r="A25" s="565"/>
      <c r="B25" s="938"/>
      <c r="C25" s="950" t="s">
        <v>1386</v>
      </c>
      <c r="D25" s="1925" t="str">
        <f>AB4</f>
        <v/>
      </c>
      <c r="E25" s="1926"/>
      <c r="F25" s="938"/>
      <c r="G25" s="984"/>
      <c r="H25" s="952" t="s">
        <v>1493</v>
      </c>
      <c r="I25" s="938"/>
      <c r="J25" s="938"/>
      <c r="K25" s="938"/>
      <c r="L25" s="953" t="s">
        <v>1494</v>
      </c>
      <c r="M25" s="938"/>
      <c r="N25" s="938"/>
      <c r="O25" s="938"/>
      <c r="P25" s="938"/>
      <c r="Q25" s="938"/>
      <c r="R25" s="938"/>
      <c r="S25" s="938"/>
      <c r="T25" s="1025" t="s">
        <v>1600</v>
      </c>
      <c r="U25" s="938"/>
      <c r="W25" s="1001">
        <v>4601</v>
      </c>
      <c r="X25" s="1003" t="s">
        <v>1601</v>
      </c>
      <c r="Y25" s="1002">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6" t="s">
        <v>646</v>
      </c>
      <c r="U26" s="938"/>
      <c r="W26" s="1001">
        <v>4602</v>
      </c>
      <c r="X26" s="1003"/>
      <c r="Y26" s="1002">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5" customFormat="1" ht="30" customHeight="1" thickBot="1" x14ac:dyDescent="0.3">
      <c r="A27" s="565"/>
      <c r="B27" s="938"/>
      <c r="C27" s="956" t="s">
        <v>1496</v>
      </c>
      <c r="D27" s="1897" t="s">
        <v>646</v>
      </c>
      <c r="E27" s="1898"/>
      <c r="F27" s="938"/>
      <c r="G27" s="984"/>
      <c r="H27" s="938"/>
      <c r="I27" s="938"/>
      <c r="J27" s="938"/>
      <c r="K27" s="938"/>
      <c r="L27" s="938"/>
      <c r="M27" s="938"/>
      <c r="N27" s="938"/>
      <c r="O27" s="938"/>
      <c r="P27" s="938"/>
      <c r="Q27" s="938"/>
      <c r="R27" s="938"/>
      <c r="S27" s="938"/>
      <c r="T27" s="938"/>
      <c r="U27" s="938"/>
      <c r="W27" s="1001">
        <v>4901</v>
      </c>
      <c r="X27" s="1003" t="s">
        <v>1631</v>
      </c>
      <c r="Y27" s="1002">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1" t="str">
        <f>IF(Incentives!$E$175="Yes",176,"")</f>
        <v/>
      </c>
      <c r="AA28" s="1024" t="str">
        <f>IF(Z28&lt;&gt;"",IF(AND(Incentives!E$178&lt;&gt;"",Z28=176),Incentives!E$178,""),"")</f>
        <v/>
      </c>
      <c r="AB28" s="1024" t="str">
        <f>IF(Z28&lt;&gt;"",IF(AND(Incentives!E$179&lt;&gt;"",Z28=176),Incentives!E$179,""),"")</f>
        <v/>
      </c>
      <c r="AC28" s="1034">
        <v>365</v>
      </c>
    </row>
    <row r="29" spans="1:31" s="895" customFormat="1" ht="18" customHeight="1" thickBot="1" x14ac:dyDescent="0.3">
      <c r="A29" s="565"/>
      <c r="B29" s="938"/>
      <c r="C29" s="950" t="s">
        <v>1497</v>
      </c>
      <c r="D29" s="1923" t="s">
        <v>1498</v>
      </c>
      <c r="E29" s="1924"/>
      <c r="F29" s="938"/>
      <c r="G29" s="984"/>
      <c r="H29" s="938"/>
      <c r="I29" s="938"/>
      <c r="J29" s="938"/>
      <c r="K29" s="938"/>
      <c r="L29" s="938"/>
      <c r="M29" s="938"/>
      <c r="N29" s="938"/>
      <c r="O29" s="938"/>
      <c r="P29" s="938"/>
      <c r="Q29" s="938"/>
      <c r="R29" s="1595" t="s">
        <v>648</v>
      </c>
      <c r="S29" s="938"/>
      <c r="T29" s="981" t="str">
        <f>IF(Z4&lt;&gt;"","Yes","No")</f>
        <v>No</v>
      </c>
      <c r="U29" s="938"/>
      <c r="W29" s="1001">
        <v>801</v>
      </c>
      <c r="X29" s="1003" t="s">
        <v>1133</v>
      </c>
      <c r="Y29" s="1002">
        <v>1</v>
      </c>
      <c r="Z29" s="899" t="str">
        <f>IF(Incentives!$E$183="Yes",IF(Incentives!$E$184=X29,184,""),"")</f>
        <v/>
      </c>
      <c r="AA29" s="1024" t="str">
        <f>IF(Z29&lt;&gt;"",IF(AND(Incentives!E$186&lt;&gt;"",Z29=184),Incentives!E$186,""),"")</f>
        <v/>
      </c>
      <c r="AB29" s="1024" t="str">
        <f>IF(Z29&lt;&gt;"",IF(AND(Incentives!E$187&lt;&gt;"",Z29=184),Incentives!E$187,""),"")</f>
        <v/>
      </c>
      <c r="AC29" s="1032">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4" t="str">
        <f>IF(Z30&lt;&gt;"",IF(AND(Incentives!E$186&lt;&gt;"",Z30=184),Incentives!E$186,""),"")</f>
        <v/>
      </c>
      <c r="AB30" s="1024" t="str">
        <f>IF(Z30&lt;&gt;"",IF(AND(Incentives!E$187&lt;&gt;"",Z30=184),Incentives!E$187,""),"")</f>
        <v/>
      </c>
      <c r="AC30" s="1032">
        <v>393</v>
      </c>
    </row>
    <row r="31" spans="1:31" s="895" customFormat="1" ht="20.25" customHeight="1" thickBot="1" x14ac:dyDescent="0.3">
      <c r="A31" s="565"/>
      <c r="B31" s="1920" t="s">
        <v>1500</v>
      </c>
      <c r="C31" s="1930"/>
      <c r="D31" s="1930"/>
      <c r="E31" s="1930"/>
      <c r="F31" s="1930"/>
      <c r="G31" s="1930"/>
      <c r="H31" s="1930"/>
      <c r="I31" s="1930"/>
      <c r="J31" s="1930"/>
      <c r="K31" s="1930"/>
      <c r="L31" s="1930"/>
      <c r="M31" s="1930"/>
      <c r="N31" s="1930"/>
      <c r="O31" s="1930"/>
      <c r="P31" s="1930"/>
      <c r="Q31" s="1930"/>
      <c r="R31" s="1930"/>
      <c r="S31" s="1930"/>
      <c r="T31" s="1930"/>
      <c r="U31" s="1931"/>
      <c r="W31" s="1001">
        <v>501</v>
      </c>
      <c r="X31" s="1003" t="s">
        <v>1615</v>
      </c>
      <c r="Y31" s="1002">
        <v>1</v>
      </c>
      <c r="Z31" s="899"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5" customFormat="1" ht="30" customHeight="1" thickBot="1" x14ac:dyDescent="0.3">
      <c r="A33" s="418"/>
      <c r="B33" s="938"/>
      <c r="C33" s="950" t="s">
        <v>1383</v>
      </c>
      <c r="D33" s="1921" t="s">
        <v>1501</v>
      </c>
      <c r="E33" s="1922"/>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942"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942"/>
    </row>
    <row r="35" spans="1:31" s="895" customFormat="1" ht="30.75" customHeight="1" thickBot="1" x14ac:dyDescent="0.3">
      <c r="A35" s="565"/>
      <c r="B35" s="938"/>
      <c r="C35" s="950" t="s">
        <v>1492</v>
      </c>
      <c r="D35" s="1923">
        <v>1401</v>
      </c>
      <c r="E35" s="1924"/>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5" customFormat="1" ht="18" customHeight="1" thickBot="1" x14ac:dyDescent="0.3">
      <c r="A37" s="565"/>
      <c r="B37" s="938"/>
      <c r="C37" s="950" t="s">
        <v>1385</v>
      </c>
      <c r="D37" s="1925" t="str">
        <f>AA5</f>
        <v/>
      </c>
      <c r="E37" s="1926"/>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4" t="str">
        <f>IF(Z37&lt;&gt;"",IF(AND(Incentives!E$221&lt;&gt;"",Z37=219),Incentives!E$221,""),"")</f>
        <v/>
      </c>
      <c r="AB37" s="1024" t="str">
        <f>IF(Z37&lt;&gt;"",IF(AND(Incentives!E$222&lt;&gt;"",Z37=219),Incentives!E$222,""),"")</f>
        <v/>
      </c>
      <c r="AC37" s="1032">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c r="W38" s="1670">
        <v>5201</v>
      </c>
      <c r="X38" s="1630" t="s">
        <v>2143</v>
      </c>
      <c r="Y38" s="1670">
        <v>1</v>
      </c>
      <c r="Z38" s="899" t="str">
        <f>IF(Incentives!$E$325="Yes",IF(Incentives!$E$326=X38,326,""),"")</f>
        <v/>
      </c>
      <c r="AA38" s="1024" t="str">
        <f>IF(Z38&lt;&gt;"",IF(AND(Incentives!E$328&lt;&gt;"",Z38=326),Incentives!E$328,""),"")</f>
        <v/>
      </c>
      <c r="AB38" s="1024" t="str">
        <f>IF(Z38&lt;&gt;"",IF(AND(Incentives!E$329&lt;&gt;"",Z38=326),Incentives!E$329,""),"")</f>
        <v/>
      </c>
      <c r="AC38" s="1630">
        <v>629</v>
      </c>
    </row>
    <row r="39" spans="1:31" s="895" customFormat="1" ht="30" customHeight="1" thickBot="1" x14ac:dyDescent="0.3">
      <c r="A39" s="565"/>
      <c r="B39" s="938"/>
      <c r="C39" s="950" t="s">
        <v>1386</v>
      </c>
      <c r="D39" s="1925" t="str">
        <f>AB5</f>
        <v/>
      </c>
      <c r="E39" s="1926"/>
      <c r="F39" s="938"/>
      <c r="G39" s="984"/>
      <c r="H39" s="952" t="s">
        <v>1493</v>
      </c>
      <c r="I39" s="938"/>
      <c r="J39" s="953" t="s">
        <v>1507</v>
      </c>
      <c r="K39" s="938"/>
      <c r="L39" s="953" t="s">
        <v>1494</v>
      </c>
      <c r="M39" s="938"/>
      <c r="N39" s="953" t="s">
        <v>1508</v>
      </c>
      <c r="O39" s="938"/>
      <c r="P39" s="953" t="s">
        <v>1509</v>
      </c>
      <c r="Q39" s="938"/>
      <c r="R39" s="953" t="s">
        <v>1510</v>
      </c>
      <c r="S39" s="938"/>
      <c r="T39" s="1025"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6" t="s">
        <v>646</v>
      </c>
      <c r="U40" s="938"/>
    </row>
    <row r="41" spans="1:31" s="895" customFormat="1" ht="30" customHeight="1" thickBot="1" x14ac:dyDescent="0.3">
      <c r="A41" s="565"/>
      <c r="B41" s="938"/>
      <c r="C41" s="956" t="s">
        <v>1496</v>
      </c>
      <c r="D41" s="1932" t="s">
        <v>646</v>
      </c>
      <c r="E41" s="1898"/>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923" t="s">
        <v>1498</v>
      </c>
      <c r="E43" s="1924"/>
      <c r="F43" s="938"/>
      <c r="G43" s="984"/>
      <c r="H43" s="938"/>
      <c r="I43" s="938"/>
      <c r="J43" s="938"/>
      <c r="K43" s="938"/>
      <c r="L43" s="938"/>
      <c r="M43" s="938"/>
      <c r="N43" s="938"/>
      <c r="O43" s="938"/>
      <c r="P43" s="938"/>
      <c r="Q43" s="938"/>
      <c r="R43" s="1595"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920" t="s">
        <v>1512</v>
      </c>
      <c r="C45" s="1930"/>
      <c r="D45" s="1930"/>
      <c r="E45" s="1930"/>
      <c r="F45" s="1930"/>
      <c r="G45" s="1930"/>
      <c r="H45" s="1930"/>
      <c r="I45" s="1930"/>
      <c r="J45" s="1930"/>
      <c r="K45" s="1930"/>
      <c r="L45" s="1930"/>
      <c r="M45" s="1930"/>
      <c r="N45" s="1930"/>
      <c r="O45" s="1930"/>
      <c r="P45" s="1930"/>
      <c r="Q45" s="1930"/>
      <c r="R45" s="1930"/>
      <c r="S45" s="1930"/>
      <c r="T45" s="1930"/>
      <c r="U45" s="1931"/>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921" t="s">
        <v>1501</v>
      </c>
      <c r="E47" s="1922"/>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942"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942"/>
    </row>
    <row r="49" spans="1:31" s="895" customFormat="1" ht="30.75" customHeight="1" thickBot="1" x14ac:dyDescent="0.3">
      <c r="A49" s="565"/>
      <c r="B49" s="938"/>
      <c r="C49" s="950" t="s">
        <v>1492</v>
      </c>
      <c r="D49" s="1923">
        <v>1402</v>
      </c>
      <c r="E49" s="1924"/>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925" t="str">
        <f>AA6</f>
        <v/>
      </c>
      <c r="E51" s="1926"/>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925" t="str">
        <f>AB6</f>
        <v/>
      </c>
      <c r="E53" s="1926"/>
      <c r="F53" s="938"/>
      <c r="G53" s="984"/>
      <c r="H53" s="952" t="s">
        <v>1493</v>
      </c>
      <c r="I53" s="938"/>
      <c r="J53" s="953" t="s">
        <v>1507</v>
      </c>
      <c r="K53" s="938"/>
      <c r="L53" s="953" t="s">
        <v>1494</v>
      </c>
      <c r="M53" s="938"/>
      <c r="N53" s="953" t="s">
        <v>1508</v>
      </c>
      <c r="O53" s="938"/>
      <c r="P53" s="953" t="s">
        <v>1509</v>
      </c>
      <c r="Q53" s="938"/>
      <c r="R53" s="953" t="s">
        <v>1510</v>
      </c>
      <c r="S53" s="938"/>
      <c r="T53" s="1025"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6" t="s">
        <v>646</v>
      </c>
      <c r="U54" s="938"/>
    </row>
    <row r="55" spans="1:31" s="895" customFormat="1" ht="30" customHeight="1" thickBot="1" x14ac:dyDescent="0.3">
      <c r="A55" s="565"/>
      <c r="B55" s="938"/>
      <c r="C55" s="956" t="s">
        <v>1496</v>
      </c>
      <c r="D55" s="1897" t="s">
        <v>646</v>
      </c>
      <c r="E55" s="1898"/>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923" t="s">
        <v>1498</v>
      </c>
      <c r="E57" s="1924"/>
      <c r="F57" s="938"/>
      <c r="G57" s="984"/>
      <c r="H57" s="938"/>
      <c r="I57" s="938"/>
      <c r="J57" s="938"/>
      <c r="K57" s="938"/>
      <c r="L57" s="938"/>
      <c r="M57" s="938"/>
      <c r="N57" s="938"/>
      <c r="O57" s="938"/>
      <c r="P57" s="938"/>
      <c r="Q57" s="938"/>
      <c r="R57" s="1595"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920" t="s">
        <v>1513</v>
      </c>
      <c r="C59" s="1930"/>
      <c r="D59" s="1930"/>
      <c r="E59" s="1930"/>
      <c r="F59" s="1930"/>
      <c r="G59" s="1930"/>
      <c r="H59" s="1930"/>
      <c r="I59" s="1930"/>
      <c r="J59" s="1930"/>
      <c r="K59" s="1930"/>
      <c r="L59" s="1930"/>
      <c r="M59" s="1930"/>
      <c r="N59" s="1930"/>
      <c r="O59" s="1930"/>
      <c r="P59" s="1930"/>
      <c r="Q59" s="1930"/>
      <c r="R59" s="1930"/>
      <c r="S59" s="1930"/>
      <c r="T59" s="1930"/>
      <c r="U59" s="1931"/>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921" t="s">
        <v>1514</v>
      </c>
      <c r="E61" s="1922"/>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942"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942"/>
    </row>
    <row r="63" spans="1:31" s="895" customFormat="1" ht="30" customHeight="1" thickBot="1" x14ac:dyDescent="0.3">
      <c r="A63" s="565"/>
      <c r="B63" s="938"/>
      <c r="C63" s="950" t="s">
        <v>1492</v>
      </c>
      <c r="D63" s="1923">
        <v>1501</v>
      </c>
      <c r="E63" s="1924"/>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925" t="str">
        <f>AA7</f>
        <v/>
      </c>
      <c r="E65" s="1926"/>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925" t="str">
        <f>AB7</f>
        <v/>
      </c>
      <c r="E67" s="1926"/>
      <c r="F67" s="938"/>
      <c r="G67" s="984" t="s">
        <v>1391</v>
      </c>
      <c r="H67" s="918"/>
      <c r="I67" s="941"/>
      <c r="J67" s="947"/>
      <c r="K67" s="938"/>
      <c r="L67" s="946"/>
      <c r="M67" s="938"/>
      <c r="N67" s="913" t="s">
        <v>479</v>
      </c>
      <c r="O67" s="938"/>
      <c r="P67" s="913" t="s">
        <v>1505</v>
      </c>
      <c r="Q67" s="938"/>
      <c r="R67" s="739" t="s">
        <v>2103</v>
      </c>
      <c r="S67" s="938"/>
      <c r="T67" s="1025"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595" t="s">
        <v>648</v>
      </c>
      <c r="S68" s="938"/>
      <c r="T68" s="1026"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97" t="s">
        <v>646</v>
      </c>
      <c r="E71" s="1898"/>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923" t="s">
        <v>1498</v>
      </c>
      <c r="E73" s="1924"/>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920" t="s">
        <v>1515</v>
      </c>
      <c r="C75" s="1930"/>
      <c r="D75" s="1930"/>
      <c r="E75" s="1930"/>
      <c r="F75" s="1930"/>
      <c r="G75" s="1930"/>
      <c r="H75" s="1930"/>
      <c r="I75" s="1930"/>
      <c r="J75" s="1930"/>
      <c r="K75" s="1930"/>
      <c r="L75" s="1930"/>
      <c r="M75" s="1930"/>
      <c r="N75" s="1930"/>
      <c r="O75" s="1930"/>
      <c r="P75" s="1930"/>
      <c r="Q75" s="1930"/>
      <c r="R75" s="1930"/>
      <c r="S75" s="1930"/>
      <c r="T75" s="1930"/>
      <c r="U75" s="1931"/>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921" t="s">
        <v>1514</v>
      </c>
      <c r="E77" s="1922"/>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942"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942"/>
    </row>
    <row r="79" spans="1:31" s="895" customFormat="1" ht="30" customHeight="1" thickBot="1" x14ac:dyDescent="0.3">
      <c r="A79" s="565"/>
      <c r="B79" s="938"/>
      <c r="C79" s="950" t="s">
        <v>1492</v>
      </c>
      <c r="D79" s="1923">
        <v>1502</v>
      </c>
      <c r="E79" s="1924"/>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925" t="str">
        <f>AA8</f>
        <v/>
      </c>
      <c r="E81" s="1926"/>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925" t="str">
        <f>AB8</f>
        <v/>
      </c>
      <c r="E83" s="1926"/>
      <c r="F83" s="938"/>
      <c r="G83" s="984" t="s">
        <v>1391</v>
      </c>
      <c r="H83" s="918"/>
      <c r="I83" s="941"/>
      <c r="J83" s="947"/>
      <c r="K83" s="938"/>
      <c r="L83" s="944"/>
      <c r="M83" s="938"/>
      <c r="N83" s="913" t="s">
        <v>479</v>
      </c>
      <c r="O83" s="938"/>
      <c r="P83" s="913" t="s">
        <v>1505</v>
      </c>
      <c r="Q83" s="938"/>
      <c r="R83" s="739" t="s">
        <v>2103</v>
      </c>
      <c r="S83" s="938"/>
      <c r="T83" s="1025"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595" t="s">
        <v>648</v>
      </c>
      <c r="S84" s="938"/>
      <c r="T84" s="1026"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97" t="s">
        <v>646</v>
      </c>
      <c r="E87" s="1898"/>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923" t="s">
        <v>1498</v>
      </c>
      <c r="E89" s="1924"/>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920" t="s">
        <v>1516</v>
      </c>
      <c r="C91" s="1930"/>
      <c r="D91" s="1930"/>
      <c r="E91" s="1930"/>
      <c r="F91" s="1930"/>
      <c r="G91" s="1930"/>
      <c r="H91" s="1930"/>
      <c r="I91" s="1930"/>
      <c r="J91" s="1930"/>
      <c r="K91" s="1930"/>
      <c r="L91" s="1930"/>
      <c r="M91" s="1930"/>
      <c r="N91" s="1930"/>
      <c r="O91" s="1930"/>
      <c r="P91" s="1930"/>
      <c r="Q91" s="1930"/>
      <c r="R91" s="1930"/>
      <c r="S91" s="1930"/>
      <c r="T91" s="1930"/>
      <c r="U91" s="1931"/>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921" t="s">
        <v>1523</v>
      </c>
      <c r="E93" s="1922"/>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942"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942"/>
    </row>
    <row r="95" spans="1:31" ht="30" customHeight="1" thickBot="1" x14ac:dyDescent="0.3">
      <c r="A95" s="565"/>
      <c r="B95" s="942"/>
      <c r="C95" s="953" t="s">
        <v>1492</v>
      </c>
      <c r="D95" s="1923">
        <v>5501</v>
      </c>
      <c r="E95" s="1924"/>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925" t="str">
        <f>AA9</f>
        <v/>
      </c>
      <c r="E97" s="1926"/>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925" t="str">
        <f>AB9</f>
        <v/>
      </c>
      <c r="E99" s="1926"/>
      <c r="F99" s="942"/>
      <c r="G99" s="984"/>
      <c r="H99" s="952" t="s">
        <v>1493</v>
      </c>
      <c r="I99" s="957"/>
      <c r="J99" s="953" t="s">
        <v>1507</v>
      </c>
      <c r="K99" s="957"/>
      <c r="L99" s="953" t="s">
        <v>1494</v>
      </c>
      <c r="M99" s="942"/>
      <c r="N99" s="942"/>
      <c r="O99" s="942"/>
      <c r="P99" s="942"/>
      <c r="Q99" s="942"/>
      <c r="R99" s="942"/>
      <c r="S99" s="942"/>
      <c r="T99" s="1025"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6" t="s">
        <v>646</v>
      </c>
      <c r="U100" s="942"/>
    </row>
    <row r="101" spans="1:31" ht="30" customHeight="1" thickBot="1" x14ac:dyDescent="0.3">
      <c r="A101" s="565"/>
      <c r="B101" s="942"/>
      <c r="C101" s="951" t="s">
        <v>1496</v>
      </c>
      <c r="D101" s="1932" t="s">
        <v>646</v>
      </c>
      <c r="E101" s="1898"/>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923" t="s">
        <v>1526</v>
      </c>
      <c r="E103" s="1890"/>
      <c r="F103" s="942"/>
      <c r="G103" s="984"/>
      <c r="H103" s="942"/>
      <c r="I103" s="942"/>
      <c r="J103" s="942"/>
      <c r="K103" s="942"/>
      <c r="L103" s="942"/>
      <c r="M103" s="942"/>
      <c r="N103" s="942"/>
      <c r="O103" s="942"/>
      <c r="P103" s="942"/>
      <c r="Q103" s="942"/>
      <c r="R103" s="1595"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920" t="s">
        <v>1527</v>
      </c>
      <c r="C105" s="1889"/>
      <c r="D105" s="1889"/>
      <c r="E105" s="1889"/>
      <c r="F105" s="1889"/>
      <c r="G105" s="1889"/>
      <c r="H105" s="1889"/>
      <c r="I105" s="1889"/>
      <c r="J105" s="1889"/>
      <c r="K105" s="1889"/>
      <c r="L105" s="1889"/>
      <c r="M105" s="1889"/>
      <c r="N105" s="1889"/>
      <c r="O105" s="1889"/>
      <c r="P105" s="1889"/>
      <c r="Q105" s="1889"/>
      <c r="R105" s="1889"/>
      <c r="S105" s="1889"/>
      <c r="T105" s="1889"/>
      <c r="U105" s="1890"/>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921" t="s">
        <v>1523</v>
      </c>
      <c r="E107" s="1922"/>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942"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942"/>
    </row>
    <row r="109" spans="1:31" ht="30.75" thickBot="1" x14ac:dyDescent="0.3">
      <c r="A109" s="565"/>
      <c r="B109" s="942"/>
      <c r="C109" s="953" t="s">
        <v>1492</v>
      </c>
      <c r="D109" s="1923">
        <v>5502</v>
      </c>
      <c r="E109" s="1924"/>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925" t="str">
        <f>AA10</f>
        <v/>
      </c>
      <c r="E111" s="1926"/>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925" t="str">
        <f>AB10</f>
        <v/>
      </c>
      <c r="E113" s="1926"/>
      <c r="F113" s="942"/>
      <c r="G113" s="984"/>
      <c r="H113" s="952" t="s">
        <v>1493</v>
      </c>
      <c r="I113" s="957"/>
      <c r="J113" s="953" t="s">
        <v>1507</v>
      </c>
      <c r="K113" s="957"/>
      <c r="L113" s="953" t="s">
        <v>1494</v>
      </c>
      <c r="M113" s="942"/>
      <c r="N113" s="942"/>
      <c r="O113" s="942"/>
      <c r="P113" s="942"/>
      <c r="Q113" s="942"/>
      <c r="R113" s="942"/>
      <c r="S113" s="942"/>
      <c r="T113" s="1025"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6" t="s">
        <v>646</v>
      </c>
      <c r="U114" s="942"/>
    </row>
    <row r="115" spans="1:31" ht="30" customHeight="1" thickBot="1" x14ac:dyDescent="0.3">
      <c r="A115" s="565"/>
      <c r="B115" s="942"/>
      <c r="C115" s="951" t="s">
        <v>1496</v>
      </c>
      <c r="D115" s="1897" t="s">
        <v>646</v>
      </c>
      <c r="E115" s="1898"/>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923" t="s">
        <v>1526</v>
      </c>
      <c r="E117" s="1890"/>
      <c r="F117" s="942"/>
      <c r="G117" s="984"/>
      <c r="H117" s="942"/>
      <c r="I117" s="942"/>
      <c r="J117" s="942"/>
      <c r="K117" s="942"/>
      <c r="L117" s="942"/>
      <c r="M117" s="942"/>
      <c r="N117" s="942"/>
      <c r="O117" s="942"/>
      <c r="P117" s="942"/>
      <c r="Q117" s="942"/>
      <c r="R117" s="1595"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920" t="s">
        <v>1528</v>
      </c>
      <c r="C119" s="1889"/>
      <c r="D119" s="1889"/>
      <c r="E119" s="1889"/>
      <c r="F119" s="1889"/>
      <c r="G119" s="1889"/>
      <c r="H119" s="1889"/>
      <c r="I119" s="1889"/>
      <c r="J119" s="1889"/>
      <c r="K119" s="1889"/>
      <c r="L119" s="1889"/>
      <c r="M119" s="1889"/>
      <c r="N119" s="1889"/>
      <c r="O119" s="1889"/>
      <c r="P119" s="1889"/>
      <c r="Q119" s="1889"/>
      <c r="R119" s="1889"/>
      <c r="S119" s="1889"/>
      <c r="T119" s="1889"/>
      <c r="U119" s="1890"/>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921" t="s">
        <v>1524</v>
      </c>
      <c r="E121" s="1922"/>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942"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942"/>
    </row>
    <row r="123" spans="1:31" ht="30.75" thickBot="1" x14ac:dyDescent="0.3">
      <c r="A123" s="565"/>
      <c r="B123" s="942"/>
      <c r="C123" s="953" t="s">
        <v>1492</v>
      </c>
      <c r="D123" s="1923">
        <v>2801</v>
      </c>
      <c r="E123" s="1924"/>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925" t="str">
        <f>AA11</f>
        <v/>
      </c>
      <c r="E125" s="1926"/>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925" t="str">
        <f>AB11</f>
        <v/>
      </c>
      <c r="E127" s="1926"/>
      <c r="F127" s="942"/>
      <c r="G127" s="984" t="s">
        <v>1391</v>
      </c>
      <c r="H127" s="918"/>
      <c r="I127" s="942"/>
      <c r="J127" s="948"/>
      <c r="K127" s="942"/>
      <c r="L127" s="918"/>
      <c r="M127" s="942"/>
      <c r="N127" s="913" t="s">
        <v>479</v>
      </c>
      <c r="O127" s="942"/>
      <c r="P127" s="913" t="s">
        <v>1505</v>
      </c>
      <c r="Q127" s="942"/>
      <c r="R127" s="942"/>
      <c r="S127" s="942"/>
      <c r="T127" s="1025"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6"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97" t="s">
        <v>646</v>
      </c>
      <c r="E131" s="1898"/>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595" t="s">
        <v>648</v>
      </c>
      <c r="S132" s="942"/>
      <c r="T132" s="981" t="str">
        <f>IF(Z11&lt;&gt;"","Yes","No")</f>
        <v>No</v>
      </c>
      <c r="U132" s="942"/>
    </row>
    <row r="133" spans="1:31" ht="15.75" thickBot="1" x14ac:dyDescent="0.3">
      <c r="A133" s="565"/>
      <c r="B133" s="942"/>
      <c r="C133" s="950" t="s">
        <v>1497</v>
      </c>
      <c r="D133" s="1923" t="s">
        <v>1526</v>
      </c>
      <c r="E133" s="1890"/>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920" t="s">
        <v>1529</v>
      </c>
      <c r="C135" s="1889"/>
      <c r="D135" s="1889"/>
      <c r="E135" s="1889"/>
      <c r="F135" s="1889"/>
      <c r="G135" s="1889"/>
      <c r="H135" s="1889"/>
      <c r="I135" s="1889"/>
      <c r="J135" s="1889"/>
      <c r="K135" s="1889"/>
      <c r="L135" s="1889"/>
      <c r="M135" s="1889"/>
      <c r="N135" s="1889"/>
      <c r="O135" s="1889"/>
      <c r="P135" s="1889"/>
      <c r="Q135" s="1889"/>
      <c r="R135" s="1889"/>
      <c r="S135" s="1889"/>
      <c r="T135" s="1889"/>
      <c r="U135" s="1890"/>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921" t="s">
        <v>1524</v>
      </c>
      <c r="E137" s="1922"/>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942"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942"/>
    </row>
    <row r="139" spans="1:31" ht="30.75" thickBot="1" x14ac:dyDescent="0.3">
      <c r="A139" s="565"/>
      <c r="B139" s="942"/>
      <c r="C139" s="953" t="s">
        <v>1492</v>
      </c>
      <c r="D139" s="1923">
        <v>2802</v>
      </c>
      <c r="E139" s="1924"/>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925" t="str">
        <f>AA12</f>
        <v/>
      </c>
      <c r="E141" s="1926"/>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925" t="str">
        <f>AB12</f>
        <v/>
      </c>
      <c r="E143" s="1926"/>
      <c r="F143" s="942"/>
      <c r="G143" s="984" t="s">
        <v>1391</v>
      </c>
      <c r="H143" s="918"/>
      <c r="I143" s="957"/>
      <c r="J143" s="947"/>
      <c r="K143" s="957"/>
      <c r="L143" s="918"/>
      <c r="M143" s="957"/>
      <c r="N143" s="913" t="s">
        <v>479</v>
      </c>
      <c r="O143" s="957"/>
      <c r="P143" s="913" t="s">
        <v>1505</v>
      </c>
      <c r="Q143" s="957"/>
      <c r="R143" s="957"/>
      <c r="S143" s="957"/>
      <c r="T143" s="1025"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6"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97" t="s">
        <v>646</v>
      </c>
      <c r="E147" s="1898"/>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595" t="s">
        <v>648</v>
      </c>
      <c r="S148" s="942"/>
      <c r="T148" s="981" t="str">
        <f>IF(Z12&lt;&gt;"","Yes","No")</f>
        <v>No</v>
      </c>
      <c r="U148" s="942"/>
    </row>
    <row r="149" spans="1:31" ht="16.5" customHeight="1" thickBot="1" x14ac:dyDescent="0.3">
      <c r="A149" s="565"/>
      <c r="B149" s="942"/>
      <c r="C149" s="950" t="s">
        <v>1497</v>
      </c>
      <c r="D149" s="1923" t="s">
        <v>1526</v>
      </c>
      <c r="E149" s="1890"/>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920" t="s">
        <v>1530</v>
      </c>
      <c r="C151" s="1889"/>
      <c r="D151" s="1889"/>
      <c r="E151" s="1889"/>
      <c r="F151" s="1889"/>
      <c r="G151" s="1889"/>
      <c r="H151" s="1889"/>
      <c r="I151" s="1889"/>
      <c r="J151" s="1889"/>
      <c r="K151" s="1889"/>
      <c r="L151" s="1889"/>
      <c r="M151" s="1889"/>
      <c r="N151" s="1889"/>
      <c r="O151" s="1889"/>
      <c r="P151" s="1889"/>
      <c r="Q151" s="1889"/>
      <c r="R151" s="1889"/>
      <c r="S151" s="1889"/>
      <c r="T151" s="1889"/>
      <c r="U151" s="1890"/>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921" t="s">
        <v>1531</v>
      </c>
      <c r="E153" s="1922"/>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942"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942"/>
    </row>
    <row r="155" spans="1:31" ht="28.5" customHeight="1" thickBot="1" x14ac:dyDescent="0.3">
      <c r="A155" s="565"/>
      <c r="B155" s="942"/>
      <c r="C155" s="953" t="s">
        <v>1492</v>
      </c>
      <c r="D155" s="1923">
        <v>3401</v>
      </c>
      <c r="E155" s="1924"/>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925" t="str">
        <f>AA13</f>
        <v/>
      </c>
      <c r="E157" s="1926"/>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925" t="str">
        <f>AB13</f>
        <v/>
      </c>
      <c r="E159" s="1926"/>
      <c r="F159" s="957"/>
      <c r="G159" s="985"/>
      <c r="H159" s="952" t="s">
        <v>1493</v>
      </c>
      <c r="I159" s="957"/>
      <c r="J159" s="957"/>
      <c r="K159" s="957"/>
      <c r="L159" s="953" t="s">
        <v>1494</v>
      </c>
      <c r="M159" s="957"/>
      <c r="N159" s="957"/>
      <c r="O159" s="957"/>
      <c r="P159" s="957"/>
      <c r="Q159" s="957"/>
      <c r="R159" s="957"/>
      <c r="S159" s="957"/>
      <c r="T159" s="1025"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6" t="s">
        <v>646</v>
      </c>
      <c r="U160" s="942"/>
    </row>
    <row r="161" spans="1:31" ht="30" customHeight="1" thickBot="1" x14ac:dyDescent="0.3">
      <c r="A161" s="565"/>
      <c r="B161" s="942"/>
      <c r="C161" s="951" t="s">
        <v>1496</v>
      </c>
      <c r="D161" s="1897" t="s">
        <v>646</v>
      </c>
      <c r="E161" s="1898"/>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923" t="s">
        <v>1532</v>
      </c>
      <c r="E163" s="1890"/>
      <c r="F163" s="957"/>
      <c r="G163" s="985"/>
      <c r="H163" s="957"/>
      <c r="I163" s="957"/>
      <c r="J163" s="957"/>
      <c r="K163" s="957"/>
      <c r="L163" s="957"/>
      <c r="M163" s="957"/>
      <c r="N163" s="957"/>
      <c r="O163" s="957"/>
      <c r="P163" s="957"/>
      <c r="Q163" s="957"/>
      <c r="R163" s="1595"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920" t="s">
        <v>1533</v>
      </c>
      <c r="C165" s="1889"/>
      <c r="D165" s="1889"/>
      <c r="E165" s="1889"/>
      <c r="F165" s="1889"/>
      <c r="G165" s="1889"/>
      <c r="H165" s="1889"/>
      <c r="I165" s="1889"/>
      <c r="J165" s="1889"/>
      <c r="K165" s="1889"/>
      <c r="L165" s="1889"/>
      <c r="M165" s="1889"/>
      <c r="N165" s="1889"/>
      <c r="O165" s="1889"/>
      <c r="P165" s="1889"/>
      <c r="Q165" s="1889"/>
      <c r="R165" s="1889"/>
      <c r="S165" s="1889"/>
      <c r="T165" s="1889"/>
      <c r="U165" s="1890"/>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921" t="s">
        <v>1531</v>
      </c>
      <c r="E167" s="1922"/>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942"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942"/>
    </row>
    <row r="169" spans="1:31" ht="30.75" thickBot="1" x14ac:dyDescent="0.3">
      <c r="A169" s="565"/>
      <c r="B169" s="957"/>
      <c r="C169" s="950" t="s">
        <v>1492</v>
      </c>
      <c r="D169" s="1923">
        <v>3402</v>
      </c>
      <c r="E169" s="1924"/>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925" t="str">
        <f>AA14</f>
        <v/>
      </c>
      <c r="E171" s="1926"/>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925" t="str">
        <f>AB14</f>
        <v/>
      </c>
      <c r="E173" s="1926"/>
      <c r="F173" s="957"/>
      <c r="G173" s="985"/>
      <c r="H173" s="952" t="s">
        <v>1493</v>
      </c>
      <c r="I173" s="957"/>
      <c r="J173" s="957"/>
      <c r="K173" s="957"/>
      <c r="L173" s="953" t="s">
        <v>1494</v>
      </c>
      <c r="M173" s="957"/>
      <c r="N173" s="957"/>
      <c r="O173" s="957"/>
      <c r="P173" s="957"/>
      <c r="Q173" s="957"/>
      <c r="R173" s="957"/>
      <c r="S173" s="957"/>
      <c r="T173" s="1025"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6" t="s">
        <v>646</v>
      </c>
      <c r="U174" s="957"/>
    </row>
    <row r="175" spans="1:31" ht="30" customHeight="1" thickBot="1" x14ac:dyDescent="0.3">
      <c r="A175" s="565"/>
      <c r="B175" s="957"/>
      <c r="C175" s="951" t="s">
        <v>1496</v>
      </c>
      <c r="D175" s="1897" t="s">
        <v>646</v>
      </c>
      <c r="E175" s="1898"/>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923" t="s">
        <v>1532</v>
      </c>
      <c r="E177" s="1890"/>
      <c r="F177" s="957"/>
      <c r="G177" s="985"/>
      <c r="H177" s="957"/>
      <c r="I177" s="957"/>
      <c r="J177" s="957"/>
      <c r="K177" s="957"/>
      <c r="L177" s="957"/>
      <c r="M177" s="957"/>
      <c r="N177" s="957"/>
      <c r="O177" s="957"/>
      <c r="P177" s="957"/>
      <c r="Q177" s="957"/>
      <c r="R177" s="1595"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920" t="s">
        <v>1534</v>
      </c>
      <c r="C179" s="1889"/>
      <c r="D179" s="1889"/>
      <c r="E179" s="1889"/>
      <c r="F179" s="1889"/>
      <c r="G179" s="1889"/>
      <c r="H179" s="1889"/>
      <c r="I179" s="1889"/>
      <c r="J179" s="1889"/>
      <c r="K179" s="1889"/>
      <c r="L179" s="1889"/>
      <c r="M179" s="1889"/>
      <c r="N179" s="1889"/>
      <c r="O179" s="1889"/>
      <c r="P179" s="1889"/>
      <c r="Q179" s="1889"/>
      <c r="R179" s="1889"/>
      <c r="S179" s="1889"/>
      <c r="T179" s="1889"/>
      <c r="U179" s="1890"/>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921" t="s">
        <v>1535</v>
      </c>
      <c r="E181" s="1922"/>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942"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942"/>
    </row>
    <row r="183" spans="1:31" ht="30.75" thickBot="1" x14ac:dyDescent="0.3">
      <c r="A183" s="565"/>
      <c r="B183" s="957"/>
      <c r="C183" s="950" t="s">
        <v>1492</v>
      </c>
      <c r="D183" s="1923">
        <v>3501</v>
      </c>
      <c r="E183" s="1924"/>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925" t="str">
        <f>AA15</f>
        <v/>
      </c>
      <c r="E185" s="1926"/>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925" t="str">
        <f>AB15</f>
        <v/>
      </c>
      <c r="E187" s="1926"/>
      <c r="F187" s="957"/>
      <c r="G187" s="985"/>
      <c r="H187" s="952" t="s">
        <v>1493</v>
      </c>
      <c r="I187" s="957"/>
      <c r="J187" s="953" t="s">
        <v>1507</v>
      </c>
      <c r="K187" s="957"/>
      <c r="L187" s="953" t="s">
        <v>1494</v>
      </c>
      <c r="M187" s="957"/>
      <c r="N187" s="953" t="s">
        <v>1508</v>
      </c>
      <c r="O187" s="957"/>
      <c r="P187" s="953" t="s">
        <v>1509</v>
      </c>
      <c r="Q187" s="957"/>
      <c r="R187" s="957"/>
      <c r="S187" s="957"/>
      <c r="T187" s="1025"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6" t="s">
        <v>646</v>
      </c>
      <c r="U188" s="957"/>
    </row>
    <row r="189" spans="1:31" ht="30" customHeight="1" thickBot="1" x14ac:dyDescent="0.3">
      <c r="A189" s="565"/>
      <c r="B189" s="957"/>
      <c r="C189" s="951" t="s">
        <v>1496</v>
      </c>
      <c r="D189" s="1897" t="s">
        <v>646</v>
      </c>
      <c r="E189" s="1898"/>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923" t="s">
        <v>1532</v>
      </c>
      <c r="E191" s="1890"/>
      <c r="F191" s="957"/>
      <c r="G191" s="985"/>
      <c r="H191" s="957"/>
      <c r="I191" s="957"/>
      <c r="J191" s="957"/>
      <c r="K191" s="957"/>
      <c r="L191" s="957"/>
      <c r="M191" s="957"/>
      <c r="N191" s="957"/>
      <c r="O191" s="957"/>
      <c r="P191" s="957"/>
      <c r="Q191" s="957"/>
      <c r="R191" s="1595"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920" t="s">
        <v>1536</v>
      </c>
      <c r="C193" s="1889"/>
      <c r="D193" s="1889"/>
      <c r="E193" s="1889"/>
      <c r="F193" s="1889"/>
      <c r="G193" s="1889"/>
      <c r="H193" s="1889"/>
      <c r="I193" s="1889"/>
      <c r="J193" s="1889"/>
      <c r="K193" s="1889"/>
      <c r="L193" s="1889"/>
      <c r="M193" s="1889"/>
      <c r="N193" s="1889"/>
      <c r="O193" s="1889"/>
      <c r="P193" s="1889"/>
      <c r="Q193" s="1889"/>
      <c r="R193" s="1889"/>
      <c r="S193" s="1889"/>
      <c r="T193" s="1889"/>
      <c r="U193" s="1890"/>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921" t="s">
        <v>1535</v>
      </c>
      <c r="E195" s="1922"/>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942"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942"/>
    </row>
    <row r="197" spans="1:31" ht="30.75" thickBot="1" x14ac:dyDescent="0.3">
      <c r="A197" s="565"/>
      <c r="B197" s="957"/>
      <c r="C197" s="950" t="s">
        <v>1492</v>
      </c>
      <c r="D197" s="1923">
        <v>3502</v>
      </c>
      <c r="E197" s="1924"/>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925" t="str">
        <f>AA16</f>
        <v/>
      </c>
      <c r="E199" s="1926"/>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925" t="str">
        <f>AB16</f>
        <v/>
      </c>
      <c r="E201" s="1926"/>
      <c r="F201" s="957"/>
      <c r="G201" s="985"/>
      <c r="H201" s="952" t="s">
        <v>1493</v>
      </c>
      <c r="I201" s="957"/>
      <c r="J201" s="953" t="s">
        <v>1507</v>
      </c>
      <c r="K201" s="957"/>
      <c r="L201" s="953" t="s">
        <v>1494</v>
      </c>
      <c r="M201" s="957"/>
      <c r="N201" s="953" t="s">
        <v>1508</v>
      </c>
      <c r="O201" s="957"/>
      <c r="P201" s="953" t="s">
        <v>1509</v>
      </c>
      <c r="Q201" s="957"/>
      <c r="R201" s="957"/>
      <c r="S201" s="957"/>
      <c r="T201" s="1025"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6" t="s">
        <v>646</v>
      </c>
      <c r="U202" s="957"/>
    </row>
    <row r="203" spans="1:31" ht="30" customHeight="1" thickBot="1" x14ac:dyDescent="0.3">
      <c r="A203" s="565"/>
      <c r="B203" s="957"/>
      <c r="C203" s="951" t="s">
        <v>1496</v>
      </c>
      <c r="D203" s="1897" t="s">
        <v>646</v>
      </c>
      <c r="E203" s="1898"/>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923" t="s">
        <v>1532</v>
      </c>
      <c r="E205" s="1890"/>
      <c r="F205" s="957"/>
      <c r="G205" s="985"/>
      <c r="H205" s="957"/>
      <c r="I205" s="957"/>
      <c r="J205" s="957"/>
      <c r="K205" s="957"/>
      <c r="L205" s="957"/>
      <c r="M205" s="957"/>
      <c r="N205" s="957"/>
      <c r="O205" s="957"/>
      <c r="P205" s="957"/>
      <c r="Q205" s="957"/>
      <c r="R205" s="1595"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920" t="s">
        <v>1537</v>
      </c>
      <c r="C207" s="1889"/>
      <c r="D207" s="1889"/>
      <c r="E207" s="1889"/>
      <c r="F207" s="1889"/>
      <c r="G207" s="1889"/>
      <c r="H207" s="1889"/>
      <c r="I207" s="1889"/>
      <c r="J207" s="1889"/>
      <c r="K207" s="1889"/>
      <c r="L207" s="1889"/>
      <c r="M207" s="1889"/>
      <c r="N207" s="1889"/>
      <c r="O207" s="1889"/>
      <c r="P207" s="1889"/>
      <c r="Q207" s="1889"/>
      <c r="R207" s="1889"/>
      <c r="S207" s="1889"/>
      <c r="T207" s="1889"/>
      <c r="U207" s="1890"/>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921" t="s">
        <v>1538</v>
      </c>
      <c r="E209" s="1922"/>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942"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942"/>
    </row>
    <row r="211" spans="1:31" ht="30.75" thickBot="1" x14ac:dyDescent="0.3">
      <c r="A211" s="565"/>
      <c r="B211" s="957"/>
      <c r="C211" s="950" t="s">
        <v>1492</v>
      </c>
      <c r="D211" s="1923">
        <v>3601</v>
      </c>
      <c r="E211" s="1924"/>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925" t="str">
        <f>AA17</f>
        <v/>
      </c>
      <c r="E213" s="1926"/>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925" t="str">
        <f>AB17</f>
        <v/>
      </c>
      <c r="E215" s="1926"/>
      <c r="F215" s="957"/>
      <c r="G215" s="985" t="s">
        <v>1391</v>
      </c>
      <c r="H215" s="918"/>
      <c r="I215" s="957"/>
      <c r="J215" s="958"/>
      <c r="K215" s="957"/>
      <c r="L215" s="918"/>
      <c r="M215" s="957"/>
      <c r="N215" s="913" t="s">
        <v>479</v>
      </c>
      <c r="O215" s="957"/>
      <c r="P215" s="913" t="s">
        <v>1151</v>
      </c>
      <c r="Q215" s="957"/>
      <c r="R215" s="957"/>
      <c r="S215" s="957"/>
      <c r="T215" s="1025"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6"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932" t="s">
        <v>646</v>
      </c>
      <c r="E219" s="1898"/>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595" t="s">
        <v>648</v>
      </c>
      <c r="S220" s="957"/>
      <c r="T220" s="981" t="str">
        <f>IF(Z17&lt;&gt;"","Yes","No")</f>
        <v>No</v>
      </c>
      <c r="U220" s="957"/>
    </row>
    <row r="221" spans="1:31" ht="15.75" thickBot="1" x14ac:dyDescent="0.3">
      <c r="A221" s="565"/>
      <c r="B221" s="957"/>
      <c r="C221" s="950" t="s">
        <v>1497</v>
      </c>
      <c r="D221" s="1923" t="s">
        <v>1532</v>
      </c>
      <c r="E221" s="1890"/>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920" t="s">
        <v>1539</v>
      </c>
      <c r="C223" s="1889"/>
      <c r="D223" s="1889"/>
      <c r="E223" s="1889"/>
      <c r="F223" s="1889"/>
      <c r="G223" s="1889"/>
      <c r="H223" s="1889"/>
      <c r="I223" s="1889"/>
      <c r="J223" s="1889"/>
      <c r="K223" s="1889"/>
      <c r="L223" s="1889"/>
      <c r="M223" s="1889"/>
      <c r="N223" s="1889"/>
      <c r="O223" s="1889"/>
      <c r="P223" s="1889"/>
      <c r="Q223" s="1889"/>
      <c r="R223" s="1889"/>
      <c r="S223" s="1889"/>
      <c r="T223" s="1889"/>
      <c r="U223" s="1890"/>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921" t="s">
        <v>1538</v>
      </c>
      <c r="E225" s="1922"/>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942"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942"/>
    </row>
    <row r="227" spans="1:31" ht="30" customHeight="1" thickBot="1" x14ac:dyDescent="0.3">
      <c r="A227" s="565"/>
      <c r="B227" s="957"/>
      <c r="C227" s="950" t="s">
        <v>1492</v>
      </c>
      <c r="D227" s="1923">
        <v>3602</v>
      </c>
      <c r="E227" s="1924"/>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925" t="str">
        <f>AA18</f>
        <v/>
      </c>
      <c r="E229" s="1926"/>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925" t="str">
        <f>AB18</f>
        <v/>
      </c>
      <c r="E231" s="1926"/>
      <c r="F231" s="957"/>
      <c r="G231" s="985" t="s">
        <v>1391</v>
      </c>
      <c r="H231" s="918"/>
      <c r="I231" s="957"/>
      <c r="J231" s="958"/>
      <c r="K231" s="957"/>
      <c r="L231" s="918"/>
      <c r="M231" s="957"/>
      <c r="N231" s="913" t="s">
        <v>479</v>
      </c>
      <c r="O231" s="957"/>
      <c r="P231" s="913" t="s">
        <v>1151</v>
      </c>
      <c r="Q231" s="957"/>
      <c r="R231" s="957"/>
      <c r="S231" s="957"/>
      <c r="T231" s="1025"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6"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97" t="s">
        <v>646</v>
      </c>
      <c r="E235" s="1898"/>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595" t="s">
        <v>648</v>
      </c>
      <c r="S236" s="957"/>
      <c r="T236" s="981" t="str">
        <f>IF(Z18&lt;&gt;"","Yes","No")</f>
        <v>No</v>
      </c>
      <c r="U236" s="957"/>
    </row>
    <row r="237" spans="1:31" ht="18" customHeight="1" thickBot="1" x14ac:dyDescent="0.3">
      <c r="A237" s="565"/>
      <c r="B237" s="957"/>
      <c r="C237" s="950" t="s">
        <v>1497</v>
      </c>
      <c r="D237" s="1923" t="s">
        <v>1532</v>
      </c>
      <c r="E237" s="1890"/>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927" t="s">
        <v>1681</v>
      </c>
      <c r="C239" s="1928"/>
      <c r="D239" s="1928"/>
      <c r="E239" s="1928"/>
      <c r="F239" s="1928"/>
      <c r="G239" s="1928"/>
      <c r="H239" s="1928"/>
      <c r="I239" s="1928"/>
      <c r="J239" s="1928"/>
      <c r="K239" s="1928"/>
      <c r="L239" s="1928"/>
      <c r="M239" s="1928"/>
      <c r="N239" s="1928"/>
      <c r="O239" s="1928"/>
      <c r="P239" s="1928"/>
      <c r="Q239" s="1928"/>
      <c r="R239" s="1928"/>
      <c r="S239" s="1928"/>
      <c r="T239" s="1928"/>
      <c r="U239" s="1929"/>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921" t="s">
        <v>1540</v>
      </c>
      <c r="E241" s="1922"/>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942"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942"/>
    </row>
    <row r="243" spans="1:31" ht="30" customHeight="1" thickBot="1" x14ac:dyDescent="0.3">
      <c r="A243" s="949"/>
      <c r="B243" s="957"/>
      <c r="C243" s="950" t="s">
        <v>1492</v>
      </c>
      <c r="D243" s="1923">
        <v>1301</v>
      </c>
      <c r="E243" s="1924"/>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925" t="str">
        <f>AA19</f>
        <v/>
      </c>
      <c r="E245" s="1926"/>
      <c r="F245" s="957"/>
      <c r="G245" s="1035"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925" t="str">
        <f>AB19</f>
        <v/>
      </c>
      <c r="E247" s="1926"/>
      <c r="F247" s="957"/>
      <c r="G247" s="985"/>
      <c r="H247" s="952" t="s">
        <v>1493</v>
      </c>
      <c r="I247" s="957"/>
      <c r="J247" s="953" t="s">
        <v>1507</v>
      </c>
      <c r="K247" s="957"/>
      <c r="L247" s="953" t="s">
        <v>1494</v>
      </c>
      <c r="M247" s="957"/>
      <c r="N247" s="953" t="s">
        <v>1508</v>
      </c>
      <c r="O247" s="957"/>
      <c r="P247" s="953" t="s">
        <v>1509</v>
      </c>
      <c r="Q247" s="957"/>
      <c r="R247" s="953" t="s">
        <v>1510</v>
      </c>
      <c r="S247" s="957"/>
      <c r="T247" s="1025"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6" t="s">
        <v>648</v>
      </c>
      <c r="U248" s="957"/>
    </row>
    <row r="249" spans="1:31" ht="30" customHeight="1" thickBot="1" x14ac:dyDescent="0.3">
      <c r="A249" s="949"/>
      <c r="B249" s="957"/>
      <c r="C249" s="951" t="s">
        <v>1496</v>
      </c>
      <c r="D249" s="1897" t="s">
        <v>648</v>
      </c>
      <c r="E249" s="1898"/>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923" t="s">
        <v>1498</v>
      </c>
      <c r="E251" s="1890"/>
      <c r="F251" s="957"/>
      <c r="G251" s="985"/>
      <c r="H251" s="957"/>
      <c r="I251" s="957"/>
      <c r="J251" s="957"/>
      <c r="K251" s="957"/>
      <c r="L251" s="957"/>
      <c r="M251" s="957"/>
      <c r="N251" s="957"/>
      <c r="O251" s="957"/>
      <c r="P251" s="957"/>
      <c r="Q251" s="957"/>
      <c r="R251" s="1595"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29" customFormat="1" ht="20.25" customHeight="1" thickBot="1" x14ac:dyDescent="0.3">
      <c r="B253" s="1927" t="s">
        <v>1680</v>
      </c>
      <c r="C253" s="1928"/>
      <c r="D253" s="1928"/>
      <c r="E253" s="1928"/>
      <c r="F253" s="1928"/>
      <c r="G253" s="1928"/>
      <c r="H253" s="1928"/>
      <c r="I253" s="1928"/>
      <c r="J253" s="1928"/>
      <c r="K253" s="1928"/>
      <c r="L253" s="1928"/>
      <c r="M253" s="1928"/>
      <c r="N253" s="1928"/>
      <c r="O253" s="1928"/>
      <c r="P253" s="1928"/>
      <c r="Q253" s="1928"/>
      <c r="R253" s="1928"/>
      <c r="S253" s="1928"/>
      <c r="T253" s="1928"/>
      <c r="U253" s="1929"/>
    </row>
    <row r="254" spans="1:31" s="1029"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29" customFormat="1" ht="30" customHeight="1" thickBot="1" x14ac:dyDescent="0.3">
      <c r="A255" s="134"/>
      <c r="B255" s="957"/>
      <c r="C255" s="950" t="s">
        <v>1383</v>
      </c>
      <c r="D255" s="1921" t="s">
        <v>1540</v>
      </c>
      <c r="E255" s="1922"/>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942" t="str">
        <f>IF(AND(H256="",T265="Yes"),"Please Update Incentive Period","")</f>
        <v/>
      </c>
    </row>
    <row r="256" spans="1:31" s="1029"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942"/>
    </row>
    <row r="257" spans="1:31" s="1029" customFormat="1" ht="30" customHeight="1" thickBot="1" x14ac:dyDescent="0.3">
      <c r="B257" s="957"/>
      <c r="C257" s="950" t="s">
        <v>1492</v>
      </c>
      <c r="D257" s="1923">
        <v>1302</v>
      </c>
      <c r="E257" s="1924"/>
      <c r="F257" s="957"/>
      <c r="G257" s="985"/>
      <c r="H257" s="957"/>
      <c r="I257" s="957"/>
      <c r="J257" s="957"/>
      <c r="K257" s="957"/>
      <c r="L257" s="957"/>
      <c r="M257" s="957"/>
      <c r="N257" s="957"/>
      <c r="O257" s="957"/>
      <c r="P257" s="957"/>
      <c r="Q257" s="957"/>
      <c r="R257" s="957"/>
      <c r="S257" s="957"/>
      <c r="T257" s="957"/>
      <c r="U257" s="957"/>
    </row>
    <row r="258" spans="1:31" s="1029"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29" customFormat="1" ht="26.25" customHeight="1" thickBot="1" x14ac:dyDescent="0.3">
      <c r="B259" s="957"/>
      <c r="C259" s="950" t="s">
        <v>1385</v>
      </c>
      <c r="D259" s="1925" t="str">
        <f>AA20</f>
        <v/>
      </c>
      <c r="E259" s="1926"/>
      <c r="F259" s="957"/>
      <c r="G259" s="1035"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29"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29" customFormat="1" ht="30" customHeight="1" thickBot="1" x14ac:dyDescent="0.3">
      <c r="B261" s="957"/>
      <c r="C261" s="950" t="s">
        <v>1386</v>
      </c>
      <c r="D261" s="1925" t="str">
        <f>AB20</f>
        <v/>
      </c>
      <c r="E261" s="1926"/>
      <c r="F261" s="957"/>
      <c r="G261" s="985"/>
      <c r="H261" s="1030" t="s">
        <v>1493</v>
      </c>
      <c r="I261" s="957"/>
      <c r="J261" s="953" t="s">
        <v>1507</v>
      </c>
      <c r="K261" s="957"/>
      <c r="L261" s="953" t="s">
        <v>1494</v>
      </c>
      <c r="M261" s="957"/>
      <c r="N261" s="953" t="s">
        <v>1508</v>
      </c>
      <c r="O261" s="957"/>
      <c r="P261" s="953" t="s">
        <v>1509</v>
      </c>
      <c r="Q261" s="957"/>
      <c r="R261" s="953" t="s">
        <v>1510</v>
      </c>
      <c r="S261" s="957"/>
      <c r="T261" s="1025" t="s">
        <v>1600</v>
      </c>
      <c r="U261" s="957"/>
    </row>
    <row r="262" spans="1:31" s="1029"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6" t="s">
        <v>648</v>
      </c>
      <c r="U262" s="957"/>
    </row>
    <row r="263" spans="1:31" s="1029" customFormat="1" ht="30" customHeight="1" thickBot="1" x14ac:dyDescent="0.3">
      <c r="B263" s="957"/>
      <c r="C263" s="951" t="s">
        <v>1496</v>
      </c>
      <c r="D263" s="1897" t="s">
        <v>648</v>
      </c>
      <c r="E263" s="1898"/>
      <c r="F263" s="957"/>
      <c r="G263" s="985"/>
      <c r="H263" s="957"/>
      <c r="I263" s="957"/>
      <c r="J263" s="957"/>
      <c r="K263" s="957"/>
      <c r="L263" s="957"/>
      <c r="M263" s="957"/>
      <c r="N263" s="957"/>
      <c r="O263" s="957"/>
      <c r="P263" s="957"/>
      <c r="Q263" s="957"/>
      <c r="R263" s="957"/>
      <c r="S263" s="957"/>
      <c r="T263" s="957"/>
      <c r="U263" s="957"/>
    </row>
    <row r="264" spans="1:31" s="1029"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29" customFormat="1" ht="18" customHeight="1" thickBot="1" x14ac:dyDescent="0.3">
      <c r="B265" s="957"/>
      <c r="C265" s="950" t="s">
        <v>1497</v>
      </c>
      <c r="D265" s="1923" t="s">
        <v>1498</v>
      </c>
      <c r="E265" s="1890"/>
      <c r="F265" s="957"/>
      <c r="G265" s="985"/>
      <c r="H265" s="957"/>
      <c r="I265" s="957"/>
      <c r="J265" s="957"/>
      <c r="K265" s="957"/>
      <c r="L265" s="957"/>
      <c r="M265" s="957"/>
      <c r="N265" s="957"/>
      <c r="O265" s="957"/>
      <c r="P265" s="957"/>
      <c r="Q265" s="957"/>
      <c r="R265" s="1595" t="s">
        <v>648</v>
      </c>
      <c r="S265" s="957"/>
      <c r="T265" s="981" t="str">
        <f>IF(Z20&lt;&gt;"","Yes","No")</f>
        <v>No</v>
      </c>
      <c r="U265" s="957"/>
    </row>
    <row r="266" spans="1:31" s="1029"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29" customFormat="1" ht="20.25" customHeight="1" thickBot="1" x14ac:dyDescent="0.3">
      <c r="B267" s="1927" t="s">
        <v>1682</v>
      </c>
      <c r="C267" s="1928"/>
      <c r="D267" s="1928"/>
      <c r="E267" s="1928"/>
      <c r="F267" s="1928"/>
      <c r="G267" s="1928"/>
      <c r="H267" s="1928"/>
      <c r="I267" s="1928"/>
      <c r="J267" s="1928"/>
      <c r="K267" s="1928"/>
      <c r="L267" s="1928"/>
      <c r="M267" s="1928"/>
      <c r="N267" s="1928"/>
      <c r="O267" s="1928"/>
      <c r="P267" s="1928"/>
      <c r="Q267" s="1928"/>
      <c r="R267" s="1928"/>
      <c r="S267" s="1928"/>
      <c r="T267" s="1928"/>
      <c r="U267" s="1929"/>
    </row>
    <row r="268" spans="1:31" s="1029"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29" customFormat="1" ht="30" customHeight="1" thickBot="1" x14ac:dyDescent="0.3">
      <c r="A269" s="134"/>
      <c r="B269" s="957"/>
      <c r="C269" s="950" t="s">
        <v>1383</v>
      </c>
      <c r="D269" s="1921" t="s">
        <v>1540</v>
      </c>
      <c r="E269" s="1922"/>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942" t="str">
        <f>IF(AND(H270="",T279="Yes"),"Please Update Incentive Period","")</f>
        <v/>
      </c>
    </row>
    <row r="270" spans="1:31" s="1029"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942"/>
    </row>
    <row r="271" spans="1:31" s="1029" customFormat="1" ht="30" customHeight="1" thickBot="1" x14ac:dyDescent="0.3">
      <c r="B271" s="957"/>
      <c r="C271" s="950" t="s">
        <v>1492</v>
      </c>
      <c r="D271" s="1923">
        <v>1303</v>
      </c>
      <c r="E271" s="1924"/>
      <c r="F271" s="957"/>
      <c r="G271" s="985"/>
      <c r="H271" s="957"/>
      <c r="I271" s="957"/>
      <c r="J271" s="957"/>
      <c r="K271" s="957"/>
      <c r="L271" s="957"/>
      <c r="M271" s="957"/>
      <c r="N271" s="957"/>
      <c r="O271" s="957"/>
      <c r="P271" s="957"/>
      <c r="Q271" s="957"/>
      <c r="R271" s="957"/>
      <c r="S271" s="957"/>
      <c r="T271" s="957"/>
      <c r="U271" s="957"/>
    </row>
    <row r="272" spans="1:31" s="1029"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29" customFormat="1" ht="26.25" customHeight="1" thickBot="1" x14ac:dyDescent="0.3">
      <c r="B273" s="957"/>
      <c r="C273" s="950" t="s">
        <v>1385</v>
      </c>
      <c r="D273" s="1925" t="str">
        <f>AA21</f>
        <v/>
      </c>
      <c r="E273" s="1926"/>
      <c r="F273" s="957"/>
      <c r="G273" s="1035"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29"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29" customFormat="1" ht="30" customHeight="1" thickBot="1" x14ac:dyDescent="0.3">
      <c r="B275" s="957"/>
      <c r="C275" s="950" t="s">
        <v>1386</v>
      </c>
      <c r="D275" s="1925" t="str">
        <f>AB21</f>
        <v/>
      </c>
      <c r="E275" s="1926"/>
      <c r="F275" s="957"/>
      <c r="G275" s="985"/>
      <c r="H275" s="1030" t="s">
        <v>1493</v>
      </c>
      <c r="I275" s="957"/>
      <c r="J275" s="953" t="s">
        <v>1507</v>
      </c>
      <c r="K275" s="957"/>
      <c r="L275" s="953" t="s">
        <v>1494</v>
      </c>
      <c r="M275" s="957"/>
      <c r="N275" s="953" t="s">
        <v>1508</v>
      </c>
      <c r="O275" s="957"/>
      <c r="P275" s="953" t="s">
        <v>1509</v>
      </c>
      <c r="Q275" s="957"/>
      <c r="R275" s="953" t="s">
        <v>1510</v>
      </c>
      <c r="S275" s="957"/>
      <c r="T275" s="1025" t="s">
        <v>1600</v>
      </c>
      <c r="U275" s="957"/>
    </row>
    <row r="276" spans="1:31" s="1029"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6" t="s">
        <v>648</v>
      </c>
      <c r="U276" s="957"/>
    </row>
    <row r="277" spans="1:31" s="1029" customFormat="1" ht="30" customHeight="1" thickBot="1" x14ac:dyDescent="0.3">
      <c r="B277" s="957"/>
      <c r="C277" s="951" t="s">
        <v>1496</v>
      </c>
      <c r="D277" s="1897" t="s">
        <v>648</v>
      </c>
      <c r="E277" s="1898"/>
      <c r="F277" s="957"/>
      <c r="G277" s="985"/>
      <c r="H277" s="957"/>
      <c r="I277" s="957"/>
      <c r="J277" s="957"/>
      <c r="K277" s="957"/>
      <c r="L277" s="957"/>
      <c r="M277" s="957"/>
      <c r="N277" s="957"/>
      <c r="O277" s="957"/>
      <c r="P277" s="957"/>
      <c r="Q277" s="957"/>
      <c r="R277" s="957"/>
      <c r="S277" s="957"/>
      <c r="T277" s="957"/>
      <c r="U277" s="957"/>
    </row>
    <row r="278" spans="1:31" s="1029"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29" customFormat="1" ht="18" customHeight="1" thickBot="1" x14ac:dyDescent="0.3">
      <c r="B279" s="957"/>
      <c r="C279" s="950" t="s">
        <v>1497</v>
      </c>
      <c r="D279" s="1923" t="s">
        <v>1498</v>
      </c>
      <c r="E279" s="1890"/>
      <c r="F279" s="957"/>
      <c r="G279" s="985"/>
      <c r="H279" s="957"/>
      <c r="I279" s="957"/>
      <c r="J279" s="957"/>
      <c r="K279" s="957"/>
      <c r="L279" s="957"/>
      <c r="M279" s="957"/>
      <c r="N279" s="957"/>
      <c r="O279" s="957"/>
      <c r="P279" s="957"/>
      <c r="Q279" s="957"/>
      <c r="R279" s="1595" t="s">
        <v>648</v>
      </c>
      <c r="S279" s="957"/>
      <c r="T279" s="981" t="str">
        <f>IF(Z21&lt;&gt;"","Yes","No")</f>
        <v>No</v>
      </c>
      <c r="U279" s="957"/>
    </row>
    <row r="280" spans="1:31" s="1029"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29" customFormat="1" ht="20.25" customHeight="1" thickBot="1" x14ac:dyDescent="0.3">
      <c r="B281" s="1927" t="s">
        <v>1683</v>
      </c>
      <c r="C281" s="1928"/>
      <c r="D281" s="1928"/>
      <c r="E281" s="1928"/>
      <c r="F281" s="1928"/>
      <c r="G281" s="1928"/>
      <c r="H281" s="1928"/>
      <c r="I281" s="1928"/>
      <c r="J281" s="1928"/>
      <c r="K281" s="1928"/>
      <c r="L281" s="1928"/>
      <c r="M281" s="1928"/>
      <c r="N281" s="1928"/>
      <c r="O281" s="1928"/>
      <c r="P281" s="1928"/>
      <c r="Q281" s="1928"/>
      <c r="R281" s="1928"/>
      <c r="S281" s="1928"/>
      <c r="T281" s="1928"/>
      <c r="U281" s="1929"/>
    </row>
    <row r="282" spans="1:31" s="1029"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29" customFormat="1" ht="30" customHeight="1" thickBot="1" x14ac:dyDescent="0.3">
      <c r="A283" s="134"/>
      <c r="B283" s="957"/>
      <c r="C283" s="950" t="s">
        <v>1383</v>
      </c>
      <c r="D283" s="1921" t="s">
        <v>1540</v>
      </c>
      <c r="E283" s="1922"/>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942" t="str">
        <f>IF(AND(H284="",T293="Yes"),"Please Update Incentive Period","")</f>
        <v/>
      </c>
    </row>
    <row r="284" spans="1:31" s="1029"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942"/>
    </row>
    <row r="285" spans="1:31" s="1029" customFormat="1" ht="30" customHeight="1" thickBot="1" x14ac:dyDescent="0.3">
      <c r="B285" s="957"/>
      <c r="C285" s="950" t="s">
        <v>1492</v>
      </c>
      <c r="D285" s="1923">
        <v>1304</v>
      </c>
      <c r="E285" s="1924"/>
      <c r="F285" s="957"/>
      <c r="G285" s="985"/>
      <c r="H285" s="957"/>
      <c r="I285" s="957"/>
      <c r="J285" s="957"/>
      <c r="K285" s="957"/>
      <c r="L285" s="957"/>
      <c r="M285" s="957"/>
      <c r="N285" s="957"/>
      <c r="O285" s="957"/>
      <c r="P285" s="957"/>
      <c r="Q285" s="957"/>
      <c r="R285" s="957"/>
      <c r="S285" s="957"/>
      <c r="T285" s="957"/>
      <c r="U285" s="957"/>
    </row>
    <row r="286" spans="1:31" s="1029"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29" customFormat="1" ht="26.25" customHeight="1" thickBot="1" x14ac:dyDescent="0.3">
      <c r="B287" s="957"/>
      <c r="C287" s="950" t="s">
        <v>1385</v>
      </c>
      <c r="D287" s="1925" t="str">
        <f>AA22</f>
        <v/>
      </c>
      <c r="E287" s="1926"/>
      <c r="F287" s="957"/>
      <c r="G287" s="1035"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29"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29" customFormat="1" ht="30" customHeight="1" thickBot="1" x14ac:dyDescent="0.3">
      <c r="B289" s="957"/>
      <c r="C289" s="950" t="s">
        <v>1386</v>
      </c>
      <c r="D289" s="1925" t="str">
        <f>AB22</f>
        <v/>
      </c>
      <c r="E289" s="1926"/>
      <c r="F289" s="957"/>
      <c r="G289" s="985"/>
      <c r="H289" s="1030" t="s">
        <v>1493</v>
      </c>
      <c r="I289" s="957"/>
      <c r="J289" s="953" t="s">
        <v>1507</v>
      </c>
      <c r="K289" s="957"/>
      <c r="L289" s="953" t="s">
        <v>1494</v>
      </c>
      <c r="M289" s="957"/>
      <c r="N289" s="953" t="s">
        <v>1508</v>
      </c>
      <c r="O289" s="957"/>
      <c r="P289" s="953" t="s">
        <v>1509</v>
      </c>
      <c r="Q289" s="957"/>
      <c r="R289" s="953" t="s">
        <v>1510</v>
      </c>
      <c r="S289" s="957"/>
      <c r="T289" s="1025" t="s">
        <v>1600</v>
      </c>
      <c r="U289" s="957"/>
    </row>
    <row r="290" spans="1:31" s="1029"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6" t="s">
        <v>648</v>
      </c>
      <c r="U290" s="957"/>
    </row>
    <row r="291" spans="1:31" s="1029" customFormat="1" ht="30" customHeight="1" thickBot="1" x14ac:dyDescent="0.3">
      <c r="B291" s="957"/>
      <c r="C291" s="951" t="s">
        <v>1496</v>
      </c>
      <c r="D291" s="1897" t="s">
        <v>648</v>
      </c>
      <c r="E291" s="1898"/>
      <c r="F291" s="957"/>
      <c r="G291" s="985"/>
      <c r="H291" s="957"/>
      <c r="I291" s="957"/>
      <c r="J291" s="957"/>
      <c r="K291" s="957"/>
      <c r="L291" s="957"/>
      <c r="M291" s="957"/>
      <c r="N291" s="957"/>
      <c r="O291" s="957"/>
      <c r="P291" s="957"/>
      <c r="Q291" s="957"/>
      <c r="R291" s="957"/>
      <c r="S291" s="957"/>
      <c r="T291" s="957"/>
      <c r="U291" s="957"/>
    </row>
    <row r="292" spans="1:31" s="1029"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29" customFormat="1" ht="18" customHeight="1" thickBot="1" x14ac:dyDescent="0.3">
      <c r="B293" s="957"/>
      <c r="C293" s="950" t="s">
        <v>1497</v>
      </c>
      <c r="D293" s="1923" t="s">
        <v>1498</v>
      </c>
      <c r="E293" s="1890"/>
      <c r="F293" s="957"/>
      <c r="G293" s="985"/>
      <c r="H293" s="957"/>
      <c r="I293" s="957"/>
      <c r="J293" s="957"/>
      <c r="K293" s="957"/>
      <c r="L293" s="957"/>
      <c r="M293" s="957"/>
      <c r="N293" s="957"/>
      <c r="O293" s="957"/>
      <c r="P293" s="957"/>
      <c r="Q293" s="957"/>
      <c r="R293" s="1595" t="s">
        <v>648</v>
      </c>
      <c r="S293" s="957"/>
      <c r="T293" s="981" t="str">
        <f>IF(Z22&lt;&gt;"","Yes","No")</f>
        <v>No</v>
      </c>
      <c r="U293" s="957"/>
    </row>
    <row r="294" spans="1:31" s="1029"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29" customFormat="1" ht="20.25" customHeight="1" thickBot="1" x14ac:dyDescent="0.3">
      <c r="B295" s="1927" t="s">
        <v>1684</v>
      </c>
      <c r="C295" s="1928"/>
      <c r="D295" s="1928"/>
      <c r="E295" s="1928"/>
      <c r="F295" s="1928"/>
      <c r="G295" s="1928"/>
      <c r="H295" s="1928"/>
      <c r="I295" s="1928"/>
      <c r="J295" s="1928"/>
      <c r="K295" s="1928"/>
      <c r="L295" s="1928"/>
      <c r="M295" s="1928"/>
      <c r="N295" s="1928"/>
      <c r="O295" s="1928"/>
      <c r="P295" s="1928"/>
      <c r="Q295" s="1928"/>
      <c r="R295" s="1928"/>
      <c r="S295" s="1928"/>
      <c r="T295" s="1928"/>
      <c r="U295" s="1929"/>
    </row>
    <row r="296" spans="1:31" s="1029"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29" customFormat="1" ht="30" customHeight="1" thickBot="1" x14ac:dyDescent="0.3">
      <c r="A297" s="134"/>
      <c r="B297" s="957"/>
      <c r="C297" s="950" t="s">
        <v>1383</v>
      </c>
      <c r="D297" s="1921" t="s">
        <v>1540</v>
      </c>
      <c r="E297" s="1922"/>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942" t="str">
        <f>IF(AND(H298="",T307="Yes"),"Please Update Incentive Period","")</f>
        <v/>
      </c>
    </row>
    <row r="298" spans="1:31" s="1029"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942"/>
    </row>
    <row r="299" spans="1:31" s="1029" customFormat="1" ht="30" customHeight="1" thickBot="1" x14ac:dyDescent="0.3">
      <c r="B299" s="957"/>
      <c r="C299" s="950" t="s">
        <v>1492</v>
      </c>
      <c r="D299" s="1923">
        <v>1305</v>
      </c>
      <c r="E299" s="1924"/>
      <c r="F299" s="957"/>
      <c r="G299" s="985"/>
      <c r="H299" s="957"/>
      <c r="I299" s="957"/>
      <c r="J299" s="957"/>
      <c r="K299" s="957"/>
      <c r="L299" s="957"/>
      <c r="M299" s="957"/>
      <c r="N299" s="957"/>
      <c r="O299" s="957"/>
      <c r="P299" s="957"/>
      <c r="Q299" s="957"/>
      <c r="R299" s="957"/>
      <c r="S299" s="957"/>
      <c r="T299" s="957"/>
      <c r="U299" s="957"/>
    </row>
    <row r="300" spans="1:31" s="1029"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29" customFormat="1" ht="29.25" customHeight="1" thickBot="1" x14ac:dyDescent="0.3">
      <c r="B301" s="957"/>
      <c r="C301" s="950" t="s">
        <v>1385</v>
      </c>
      <c r="D301" s="1925" t="str">
        <f>AA23</f>
        <v/>
      </c>
      <c r="E301" s="1926"/>
      <c r="F301" s="957"/>
      <c r="G301" s="1035"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29"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29" customFormat="1" ht="30" customHeight="1" thickBot="1" x14ac:dyDescent="0.3">
      <c r="B303" s="957"/>
      <c r="C303" s="950" t="s">
        <v>1386</v>
      </c>
      <c r="D303" s="1925" t="str">
        <f>AB23</f>
        <v/>
      </c>
      <c r="E303" s="1926"/>
      <c r="F303" s="957"/>
      <c r="G303" s="985"/>
      <c r="H303" s="1030" t="s">
        <v>1493</v>
      </c>
      <c r="I303" s="957"/>
      <c r="J303" s="953" t="s">
        <v>1507</v>
      </c>
      <c r="K303" s="957"/>
      <c r="L303" s="953" t="s">
        <v>1494</v>
      </c>
      <c r="M303" s="957"/>
      <c r="N303" s="953" t="s">
        <v>1508</v>
      </c>
      <c r="O303" s="957"/>
      <c r="P303" s="953" t="s">
        <v>1509</v>
      </c>
      <c r="Q303" s="957"/>
      <c r="R303" s="953" t="s">
        <v>1510</v>
      </c>
      <c r="S303" s="957"/>
      <c r="T303" s="1025" t="s">
        <v>1600</v>
      </c>
      <c r="U303" s="957"/>
    </row>
    <row r="304" spans="1:31" s="1029"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6" t="s">
        <v>648</v>
      </c>
      <c r="U304" s="957"/>
    </row>
    <row r="305" spans="1:31" s="1029" customFormat="1" ht="30" customHeight="1" thickBot="1" x14ac:dyDescent="0.3">
      <c r="B305" s="957"/>
      <c r="C305" s="951" t="s">
        <v>1496</v>
      </c>
      <c r="D305" s="1897" t="s">
        <v>648</v>
      </c>
      <c r="E305" s="1898"/>
      <c r="F305" s="957"/>
      <c r="G305" s="985"/>
      <c r="H305" s="957"/>
      <c r="I305" s="957"/>
      <c r="J305" s="957"/>
      <c r="K305" s="957"/>
      <c r="L305" s="957"/>
      <c r="M305" s="957"/>
      <c r="N305" s="957"/>
      <c r="O305" s="957"/>
      <c r="P305" s="957"/>
      <c r="Q305" s="957"/>
      <c r="R305" s="957"/>
      <c r="S305" s="957"/>
      <c r="T305" s="957"/>
      <c r="U305" s="957"/>
    </row>
    <row r="306" spans="1:31" s="1029"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29" customFormat="1" ht="18" customHeight="1" thickBot="1" x14ac:dyDescent="0.3">
      <c r="B307" s="957"/>
      <c r="C307" s="950" t="s">
        <v>1497</v>
      </c>
      <c r="D307" s="1923" t="s">
        <v>1498</v>
      </c>
      <c r="E307" s="1890"/>
      <c r="F307" s="957"/>
      <c r="G307" s="985"/>
      <c r="H307" s="957"/>
      <c r="I307" s="957"/>
      <c r="J307" s="957"/>
      <c r="K307" s="957"/>
      <c r="L307" s="957"/>
      <c r="M307" s="957"/>
      <c r="N307" s="957"/>
      <c r="O307" s="957"/>
      <c r="P307" s="957"/>
      <c r="Q307" s="957"/>
      <c r="R307" s="1595" t="s">
        <v>648</v>
      </c>
      <c r="S307" s="957"/>
      <c r="T307" s="981" t="str">
        <f>IF(Z23&lt;&gt;"","Yes","No")</f>
        <v>No</v>
      </c>
      <c r="U307" s="957"/>
    </row>
    <row r="308" spans="1:31" s="1029"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920" t="s">
        <v>1543</v>
      </c>
      <c r="C309" s="1889"/>
      <c r="D309" s="1889"/>
      <c r="E309" s="1889"/>
      <c r="F309" s="1889"/>
      <c r="G309" s="1889"/>
      <c r="H309" s="1889"/>
      <c r="I309" s="1889"/>
      <c r="J309" s="1889"/>
      <c r="K309" s="1889"/>
      <c r="L309" s="1889"/>
      <c r="M309" s="1889"/>
      <c r="N309" s="1889"/>
      <c r="O309" s="1889"/>
      <c r="P309" s="1889"/>
      <c r="Q309" s="1889"/>
      <c r="R309" s="1889"/>
      <c r="S309" s="1889"/>
      <c r="T309" s="1889"/>
      <c r="U309" s="1890"/>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921" t="s">
        <v>1541</v>
      </c>
      <c r="E311" s="1922"/>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942"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942"/>
    </row>
    <row r="313" spans="1:31" ht="30" customHeight="1" thickBot="1" x14ac:dyDescent="0.3">
      <c r="A313" s="990"/>
      <c r="B313" s="957"/>
      <c r="C313" s="950" t="s">
        <v>1492</v>
      </c>
      <c r="D313" s="1923">
        <v>4001</v>
      </c>
      <c r="E313" s="1924"/>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925" t="str">
        <f>AA24</f>
        <v/>
      </c>
      <c r="E315" s="1926"/>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925" t="str">
        <f>AB24</f>
        <v/>
      </c>
      <c r="E317" s="1926"/>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97" t="s">
        <v>646</v>
      </c>
      <c r="E319" s="1898"/>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923" t="s">
        <v>1498</v>
      </c>
      <c r="E321" s="1890"/>
      <c r="F321" s="957"/>
      <c r="G321" s="957"/>
      <c r="H321" s="957"/>
      <c r="I321" s="957"/>
      <c r="J321" s="957"/>
      <c r="K321" s="957"/>
      <c r="L321" s="957"/>
      <c r="M321" s="957"/>
      <c r="N321" s="957"/>
      <c r="O321" s="957"/>
      <c r="P321" s="957"/>
      <c r="Q321" s="957"/>
      <c r="R321" s="1595"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927" t="s">
        <v>1704</v>
      </c>
      <c r="C323" s="1928"/>
      <c r="D323" s="1928"/>
      <c r="E323" s="1928"/>
      <c r="F323" s="1928"/>
      <c r="G323" s="1928"/>
      <c r="H323" s="1928"/>
      <c r="I323" s="1928"/>
      <c r="J323" s="1928"/>
      <c r="K323" s="1928"/>
      <c r="L323" s="1928"/>
      <c r="M323" s="1928"/>
      <c r="N323" s="1928"/>
      <c r="O323" s="1928"/>
      <c r="P323" s="1928"/>
      <c r="Q323" s="1928"/>
      <c r="R323" s="1928"/>
      <c r="S323" s="1928"/>
      <c r="T323" s="1928"/>
      <c r="U323" s="1929"/>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934" t="s">
        <v>1601</v>
      </c>
      <c r="E325" s="1935"/>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942"/>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942"/>
    </row>
    <row r="327" spans="1:31" ht="30.75" thickBot="1" x14ac:dyDescent="0.3">
      <c r="A327" s="992"/>
      <c r="B327" s="993"/>
      <c r="C327" s="994" t="s">
        <v>1492</v>
      </c>
      <c r="D327" s="1936">
        <v>4601</v>
      </c>
      <c r="E327" s="1937"/>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925" t="str">
        <f>AA25</f>
        <v/>
      </c>
      <c r="E329" s="1926"/>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925" t="str">
        <f>AB25</f>
        <v/>
      </c>
      <c r="E331" s="1926"/>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97" t="s">
        <v>646</v>
      </c>
      <c r="E333" s="1898"/>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936" t="s">
        <v>1607</v>
      </c>
      <c r="E335" s="1929"/>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927" t="s">
        <v>1705</v>
      </c>
      <c r="C337" s="1928"/>
      <c r="D337" s="1928"/>
      <c r="E337" s="1928"/>
      <c r="F337" s="1928"/>
      <c r="G337" s="1928"/>
      <c r="H337" s="1928"/>
      <c r="I337" s="1928"/>
      <c r="J337" s="1928"/>
      <c r="K337" s="1928"/>
      <c r="L337" s="1928"/>
      <c r="M337" s="1928"/>
      <c r="N337" s="1928"/>
      <c r="O337" s="1928"/>
      <c r="P337" s="1928"/>
      <c r="Q337" s="1928"/>
      <c r="R337" s="1928"/>
      <c r="S337" s="1928"/>
      <c r="T337" s="1928"/>
      <c r="U337" s="1929"/>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934" t="s">
        <v>1601</v>
      </c>
      <c r="E339" s="1935"/>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942"/>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942"/>
    </row>
    <row r="341" spans="1:31" ht="30.75" thickBot="1" x14ac:dyDescent="0.3">
      <c r="A341" s="992"/>
      <c r="B341" s="993"/>
      <c r="C341" s="994" t="s">
        <v>1492</v>
      </c>
      <c r="D341" s="1936">
        <v>4602</v>
      </c>
      <c r="E341" s="1937"/>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925" t="str">
        <f>AA26</f>
        <v/>
      </c>
      <c r="E343" s="1926"/>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925" t="str">
        <f>AB26</f>
        <v/>
      </c>
      <c r="E345" s="1926"/>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97" t="s">
        <v>646</v>
      </c>
      <c r="E347" s="1898"/>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936" t="s">
        <v>1607</v>
      </c>
      <c r="E349" s="1929"/>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938" t="s">
        <v>1896</v>
      </c>
      <c r="C351" s="1939"/>
      <c r="D351" s="1939"/>
      <c r="E351" s="1939"/>
      <c r="F351" s="1939"/>
      <c r="G351" s="1939"/>
      <c r="H351" s="1939"/>
      <c r="I351" s="1939"/>
      <c r="J351" s="1939"/>
      <c r="K351" s="1939"/>
      <c r="L351" s="1939"/>
      <c r="M351" s="1939"/>
      <c r="N351" s="1939"/>
      <c r="O351" s="1939"/>
      <c r="P351" s="1939"/>
      <c r="Q351" s="1939"/>
      <c r="R351" s="1939"/>
      <c r="S351" s="1939"/>
      <c r="T351" s="1939"/>
      <c r="U351" s="1940"/>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934" t="s">
        <v>1631</v>
      </c>
      <c r="E353" s="1935"/>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942"/>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942"/>
    </row>
    <row r="355" spans="1:31" ht="30.75" thickBot="1" x14ac:dyDescent="0.3">
      <c r="A355" s="992"/>
      <c r="B355" s="993"/>
      <c r="C355" s="994" t="s">
        <v>1492</v>
      </c>
      <c r="D355" s="1936">
        <v>4901</v>
      </c>
      <c r="E355" s="1937"/>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925" t="str">
        <f>AA27</f>
        <v/>
      </c>
      <c r="E357" s="1926"/>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925" t="str">
        <f>AB27</f>
        <v/>
      </c>
      <c r="E359" s="1926"/>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97" t="s">
        <v>646</v>
      </c>
      <c r="E361" s="1898"/>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936" t="s">
        <v>1607</v>
      </c>
      <c r="E363" s="1929"/>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927" t="s">
        <v>1608</v>
      </c>
      <c r="C365" s="1928"/>
      <c r="D365" s="1928"/>
      <c r="E365" s="1928"/>
      <c r="F365" s="1928"/>
      <c r="G365" s="1928"/>
      <c r="H365" s="1928"/>
      <c r="I365" s="1928"/>
      <c r="J365" s="1928"/>
      <c r="K365" s="1928"/>
      <c r="L365" s="1928"/>
      <c r="M365" s="1928"/>
      <c r="N365" s="1928"/>
      <c r="O365" s="1928"/>
      <c r="P365" s="1928"/>
      <c r="Q365" s="1928"/>
      <c r="R365" s="1928"/>
      <c r="S365" s="1928"/>
      <c r="T365" s="1928"/>
      <c r="U365" s="1929"/>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934" t="s">
        <v>1609</v>
      </c>
      <c r="E367" s="1935"/>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942"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942"/>
    </row>
    <row r="369" spans="1:31" ht="30.75" thickBot="1" x14ac:dyDescent="0.3">
      <c r="A369" s="992"/>
      <c r="B369" s="993"/>
      <c r="C369" s="994" t="s">
        <v>1492</v>
      </c>
      <c r="D369" s="1936">
        <v>5001</v>
      </c>
      <c r="E369" s="1937"/>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925" t="str">
        <f>AA28</f>
        <v/>
      </c>
      <c r="E371" s="1926"/>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925" t="str">
        <f>AB28</f>
        <v/>
      </c>
      <c r="E373" s="1926"/>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97" t="s">
        <v>646</v>
      </c>
      <c r="E375" s="1898"/>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936" t="s">
        <v>1498</v>
      </c>
      <c r="E377" s="1929"/>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927" t="s">
        <v>1610</v>
      </c>
      <c r="C379" s="1928"/>
      <c r="D379" s="1928"/>
      <c r="E379" s="1928"/>
      <c r="F379" s="1928"/>
      <c r="G379" s="1928"/>
      <c r="H379" s="1928"/>
      <c r="I379" s="1928"/>
      <c r="J379" s="1928"/>
      <c r="K379" s="1928"/>
      <c r="L379" s="1928"/>
      <c r="M379" s="1928"/>
      <c r="N379" s="1928"/>
      <c r="O379" s="1928"/>
      <c r="P379" s="1928"/>
      <c r="Q379" s="1928"/>
      <c r="R379" s="1928"/>
      <c r="S379" s="1928"/>
      <c r="T379" s="1928"/>
      <c r="U379" s="1929"/>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921" t="s">
        <v>1133</v>
      </c>
      <c r="E381" s="1922"/>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942"/>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942"/>
    </row>
    <row r="383" spans="1:31" ht="30.75" thickBot="1" x14ac:dyDescent="0.3">
      <c r="A383" s="992"/>
      <c r="B383" s="957"/>
      <c r="C383" s="953" t="s">
        <v>1492</v>
      </c>
      <c r="D383" s="1923">
        <v>801</v>
      </c>
      <c r="E383" s="1924"/>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925" t="str">
        <f>AA29</f>
        <v/>
      </c>
      <c r="E385" s="1926"/>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925" t="str">
        <f>AB29</f>
        <v/>
      </c>
      <c r="E387" s="1926"/>
      <c r="F387" s="957"/>
      <c r="G387" s="957"/>
      <c r="H387" s="228" t="s">
        <v>1479</v>
      </c>
      <c r="I387" s="957"/>
      <c r="J387" s="228" t="s">
        <v>1480</v>
      </c>
      <c r="K387" s="957"/>
      <c r="L387" s="1036" t="s">
        <v>1135</v>
      </c>
      <c r="M387" s="957"/>
      <c r="N387" s="1036"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1">
        <f>IFERROR(SUM(H385,H399,H413,H427,H441,H455,H469,H483),"")</f>
        <v>0</v>
      </c>
    </row>
    <row r="389" spans="1:31" ht="30" customHeight="1" thickBot="1" x14ac:dyDescent="0.3">
      <c r="A389" s="992"/>
      <c r="B389" s="957"/>
      <c r="C389" s="951" t="s">
        <v>1496</v>
      </c>
      <c r="D389" s="1897" t="s">
        <v>646</v>
      </c>
      <c r="E389" s="1898"/>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923" t="s">
        <v>1607</v>
      </c>
      <c r="E391" s="1890"/>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920" t="s">
        <v>1612</v>
      </c>
      <c r="C393" s="1889"/>
      <c r="D393" s="1889"/>
      <c r="E393" s="1889"/>
      <c r="F393" s="1889"/>
      <c r="G393" s="1889"/>
      <c r="H393" s="1889"/>
      <c r="I393" s="1889"/>
      <c r="J393" s="1889"/>
      <c r="K393" s="1889"/>
      <c r="L393" s="1889"/>
      <c r="M393" s="1889"/>
      <c r="N393" s="1889"/>
      <c r="O393" s="1889"/>
      <c r="P393" s="1889"/>
      <c r="Q393" s="1889"/>
      <c r="R393" s="1889"/>
      <c r="S393" s="1889"/>
      <c r="T393" s="1889"/>
      <c r="U393" s="1890"/>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921" t="s">
        <v>1613</v>
      </c>
      <c r="E395" s="1922"/>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942"/>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942"/>
    </row>
    <row r="397" spans="1:31" ht="30.75" thickBot="1" x14ac:dyDescent="0.3">
      <c r="A397" s="992"/>
      <c r="B397" s="957"/>
      <c r="C397" s="950" t="s">
        <v>1492</v>
      </c>
      <c r="D397" s="1923">
        <v>901</v>
      </c>
      <c r="E397" s="1924"/>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1" t="s">
        <v>1396</v>
      </c>
      <c r="I398" s="957"/>
      <c r="J398" s="1021"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925" t="str">
        <f>AA30</f>
        <v/>
      </c>
      <c r="E399" s="1926"/>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925" t="str">
        <f>AB30</f>
        <v/>
      </c>
      <c r="E401" s="1926"/>
      <c r="F401" s="957"/>
      <c r="G401" s="957"/>
      <c r="H401" s="228" t="s">
        <v>1479</v>
      </c>
      <c r="I401" s="957"/>
      <c r="J401" s="228" t="s">
        <v>1480</v>
      </c>
      <c r="K401" s="957"/>
      <c r="L401" s="1036" t="s">
        <v>1135</v>
      </c>
      <c r="M401" s="957"/>
      <c r="N401" s="1036"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97" t="s">
        <v>646</v>
      </c>
      <c r="E403" s="1898"/>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923" t="s">
        <v>1607</v>
      </c>
      <c r="E405" s="1890"/>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920" t="s">
        <v>1614</v>
      </c>
      <c r="C407" s="1889"/>
      <c r="D407" s="1889"/>
      <c r="E407" s="1889"/>
      <c r="F407" s="1889"/>
      <c r="G407" s="1889"/>
      <c r="H407" s="1889"/>
      <c r="I407" s="1889"/>
      <c r="J407" s="1889"/>
      <c r="K407" s="1889"/>
      <c r="L407" s="1889"/>
      <c r="M407" s="1889"/>
      <c r="N407" s="1889"/>
      <c r="O407" s="1889"/>
      <c r="P407" s="1889"/>
      <c r="Q407" s="1889"/>
      <c r="R407" s="1889"/>
      <c r="S407" s="1889"/>
      <c r="T407" s="1889"/>
      <c r="U407" s="1890"/>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921" t="s">
        <v>1615</v>
      </c>
      <c r="E409" s="1922"/>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942"/>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942"/>
    </row>
    <row r="411" spans="1:31" ht="30.75" thickBot="1" x14ac:dyDescent="0.3">
      <c r="A411" s="992"/>
      <c r="B411" s="957"/>
      <c r="C411" s="950" t="s">
        <v>1492</v>
      </c>
      <c r="D411" s="1923">
        <v>501</v>
      </c>
      <c r="E411" s="1924"/>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925" t="str">
        <f>AA31</f>
        <v/>
      </c>
      <c r="E413" s="1926"/>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925" t="str">
        <f>AB31</f>
        <v/>
      </c>
      <c r="E415" s="1926"/>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97" t="s">
        <v>646</v>
      </c>
      <c r="E417" s="1898"/>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923" t="s">
        <v>1607</v>
      </c>
      <c r="E419" s="1890"/>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920" t="s">
        <v>1616</v>
      </c>
      <c r="C421" s="1889"/>
      <c r="D421" s="1889"/>
      <c r="E421" s="1889"/>
      <c r="F421" s="1889"/>
      <c r="G421" s="1889"/>
      <c r="H421" s="1889"/>
      <c r="I421" s="1889"/>
      <c r="J421" s="1889"/>
      <c r="K421" s="1889"/>
      <c r="L421" s="1889"/>
      <c r="M421" s="1889"/>
      <c r="N421" s="1889"/>
      <c r="O421" s="1889"/>
      <c r="P421" s="1889"/>
      <c r="Q421" s="1889"/>
      <c r="R421" s="1889"/>
      <c r="S421" s="1889"/>
      <c r="T421" s="1889"/>
      <c r="U421" s="1890"/>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921" t="s">
        <v>1615</v>
      </c>
      <c r="E423" s="1922"/>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942"/>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942"/>
    </row>
    <row r="425" spans="1:31" ht="30.75" thickBot="1" x14ac:dyDescent="0.3">
      <c r="A425" s="992"/>
      <c r="B425" s="957"/>
      <c r="C425" s="950" t="s">
        <v>1492</v>
      </c>
      <c r="D425" s="1941">
        <v>502</v>
      </c>
      <c r="E425" s="1924"/>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925" t="str">
        <f>AA32</f>
        <v/>
      </c>
      <c r="E427" s="1926"/>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925" t="str">
        <f>AB32</f>
        <v/>
      </c>
      <c r="E429" s="1926"/>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97" t="s">
        <v>646</v>
      </c>
      <c r="E431" s="1898"/>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923" t="s">
        <v>1607</v>
      </c>
      <c r="E433" s="1890"/>
      <c r="F433" s="957"/>
      <c r="G433" s="957"/>
      <c r="H433" s="957"/>
      <c r="I433" s="957"/>
      <c r="J433" s="957"/>
      <c r="K433" s="957"/>
      <c r="L433" s="957"/>
      <c r="M433" s="957"/>
      <c r="N433" s="957"/>
      <c r="O433" s="957"/>
      <c r="P433" s="957"/>
      <c r="Q433" s="957"/>
      <c r="R433" s="957"/>
      <c r="S433" s="957"/>
      <c r="T433" s="981" t="str">
        <f>IF(Z32&lt;&gt;"","Yes","No")</f>
        <v>No</v>
      </c>
      <c r="U433" s="957"/>
    </row>
    <row r="434" spans="1:31" s="1007" customFormat="1" ht="21" customHeight="1" thickBot="1" x14ac:dyDescent="0.3">
      <c r="B434" s="957"/>
      <c r="C434" s="1008"/>
      <c r="D434" s="1009"/>
      <c r="E434" s="1010"/>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920" t="s">
        <v>1617</v>
      </c>
      <c r="C435" s="1889"/>
      <c r="D435" s="1889"/>
      <c r="E435" s="1889"/>
      <c r="F435" s="1889"/>
      <c r="G435" s="1889"/>
      <c r="H435" s="1889"/>
      <c r="I435" s="1889"/>
      <c r="J435" s="1889"/>
      <c r="K435" s="1889"/>
      <c r="L435" s="1889"/>
      <c r="M435" s="1889"/>
      <c r="N435" s="1889"/>
      <c r="O435" s="1889"/>
      <c r="P435" s="1889"/>
      <c r="Q435" s="1889"/>
      <c r="R435" s="1889"/>
      <c r="S435" s="1889"/>
      <c r="T435" s="1889"/>
      <c r="U435" s="1890"/>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921" t="s">
        <v>1618</v>
      </c>
      <c r="E437" s="1922"/>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942"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942"/>
    </row>
    <row r="439" spans="1:31" ht="30.75" thickBot="1" x14ac:dyDescent="0.3">
      <c r="A439" s="992"/>
      <c r="B439" s="957"/>
      <c r="C439" s="950" t="s">
        <v>1492</v>
      </c>
      <c r="D439" s="1923">
        <v>5601</v>
      </c>
      <c r="E439" s="1924"/>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925" t="str">
        <f>AA33</f>
        <v/>
      </c>
      <c r="E441" s="1926"/>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925" t="str">
        <f>AB33</f>
        <v/>
      </c>
      <c r="E443" s="1926"/>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97" t="s">
        <v>646</v>
      </c>
      <c r="E445" s="1898"/>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923" t="s">
        <v>1607</v>
      </c>
      <c r="E447" s="1890"/>
      <c r="F447" s="957"/>
      <c r="G447" s="957"/>
      <c r="H447" s="918">
        <v>1</v>
      </c>
      <c r="I447" s="957"/>
      <c r="J447" s="957"/>
      <c r="K447" s="957"/>
      <c r="L447" s="957"/>
      <c r="M447" s="957"/>
      <c r="N447" s="957"/>
      <c r="O447" s="957"/>
      <c r="P447" s="957"/>
      <c r="Q447" s="957"/>
      <c r="R447" s="1595"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920" t="s">
        <v>1619</v>
      </c>
      <c r="C449" s="1889"/>
      <c r="D449" s="1889"/>
      <c r="E449" s="1889"/>
      <c r="F449" s="1889"/>
      <c r="G449" s="1889"/>
      <c r="H449" s="1889"/>
      <c r="I449" s="1889"/>
      <c r="J449" s="1889"/>
      <c r="K449" s="1889"/>
      <c r="L449" s="1889"/>
      <c r="M449" s="1889"/>
      <c r="N449" s="1889"/>
      <c r="O449" s="1889"/>
      <c r="P449" s="1889"/>
      <c r="Q449" s="1889"/>
      <c r="R449" s="1889"/>
      <c r="S449" s="1889"/>
      <c r="T449" s="1889"/>
      <c r="U449" s="1890"/>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921" t="s">
        <v>1618</v>
      </c>
      <c r="E451" s="1922"/>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942"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942"/>
    </row>
    <row r="453" spans="1:31" ht="30.75" thickBot="1" x14ac:dyDescent="0.3">
      <c r="A453" s="992"/>
      <c r="B453" s="957"/>
      <c r="C453" s="950" t="s">
        <v>1492</v>
      </c>
      <c r="D453" s="1923">
        <v>5602</v>
      </c>
      <c r="E453" s="1924"/>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925" t="str">
        <f>AA34</f>
        <v/>
      </c>
      <c r="E455" s="1926"/>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925" t="str">
        <f>AB34</f>
        <v/>
      </c>
      <c r="E457" s="1926"/>
      <c r="F457" s="957"/>
      <c r="G457" s="957"/>
      <c r="H457" s="1028"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97" t="s">
        <v>646</v>
      </c>
      <c r="E459" s="1898"/>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923" t="s">
        <v>1607</v>
      </c>
      <c r="E461" s="1890"/>
      <c r="F461" s="957"/>
      <c r="G461" s="957"/>
      <c r="H461" s="918"/>
      <c r="I461" s="957"/>
      <c r="J461" s="957"/>
      <c r="K461" s="957"/>
      <c r="L461" s="957"/>
      <c r="M461" s="957"/>
      <c r="N461" s="957"/>
      <c r="O461" s="957"/>
      <c r="P461" s="957"/>
      <c r="Q461" s="957"/>
      <c r="R461" s="1595"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920" t="s">
        <v>1620</v>
      </c>
      <c r="C463" s="1889"/>
      <c r="D463" s="1889"/>
      <c r="E463" s="1889"/>
      <c r="F463" s="1889"/>
      <c r="G463" s="1889"/>
      <c r="H463" s="1889"/>
      <c r="I463" s="1889"/>
      <c r="J463" s="1889"/>
      <c r="K463" s="1889"/>
      <c r="L463" s="1889"/>
      <c r="M463" s="1889"/>
      <c r="N463" s="1889"/>
      <c r="O463" s="1889"/>
      <c r="P463" s="1889"/>
      <c r="Q463" s="1889"/>
      <c r="R463" s="1889"/>
      <c r="S463" s="1889"/>
      <c r="T463" s="1889"/>
      <c r="U463" s="1890"/>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921" t="s">
        <v>1621</v>
      </c>
      <c r="E465" s="1922"/>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942"/>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942"/>
    </row>
    <row r="467" spans="1:31" ht="30.75" thickBot="1" x14ac:dyDescent="0.3">
      <c r="A467" s="992"/>
      <c r="B467" s="957"/>
      <c r="C467" s="950" t="s">
        <v>1492</v>
      </c>
      <c r="D467" s="1923">
        <v>601</v>
      </c>
      <c r="E467" s="1924"/>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917" t="s">
        <v>1622</v>
      </c>
      <c r="O468" s="1917"/>
      <c r="P468" s="1917"/>
      <c r="Q468" s="957"/>
      <c r="R468" s="953" t="s">
        <v>1604</v>
      </c>
      <c r="S468" s="957"/>
      <c r="T468" s="953" t="s">
        <v>1605</v>
      </c>
      <c r="U468" s="957"/>
    </row>
    <row r="469" spans="1:31" ht="30.75" customHeight="1" thickBot="1" x14ac:dyDescent="0.3">
      <c r="A469" s="992"/>
      <c r="B469" s="957"/>
      <c r="C469" s="950" t="s">
        <v>1385</v>
      </c>
      <c r="D469" s="1925" t="str">
        <f>AA35</f>
        <v/>
      </c>
      <c r="E469" s="1926"/>
      <c r="F469" s="957"/>
      <c r="G469" s="957"/>
      <c r="H469" s="918"/>
      <c r="I469" s="957"/>
      <c r="J469" s="919">
        <v>1</v>
      </c>
      <c r="K469" s="957"/>
      <c r="L469" s="918"/>
      <c r="M469" s="957"/>
      <c r="N469" s="1918" t="s">
        <v>1623</v>
      </c>
      <c r="O469" s="1918"/>
      <c r="P469" s="1918"/>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919" t="s">
        <v>1624</v>
      </c>
      <c r="O470" s="1919"/>
      <c r="P470" s="1919"/>
      <c r="Q470" s="957"/>
      <c r="R470" s="957"/>
      <c r="S470" s="957"/>
      <c r="T470" s="957"/>
      <c r="U470" s="957"/>
    </row>
    <row r="471" spans="1:31" ht="30.75" thickBot="1" x14ac:dyDescent="0.3">
      <c r="A471" s="992"/>
      <c r="B471" s="957"/>
      <c r="C471" s="950" t="s">
        <v>1386</v>
      </c>
      <c r="D471" s="1925" t="str">
        <f>AB35</f>
        <v/>
      </c>
      <c r="E471" s="1926"/>
      <c r="F471" s="957"/>
      <c r="G471" s="957"/>
      <c r="H471" s="952" t="s">
        <v>1493</v>
      </c>
      <c r="I471" s="957"/>
      <c r="J471" s="919">
        <v>3</v>
      </c>
      <c r="K471" s="957"/>
      <c r="L471" s="944"/>
      <c r="M471" s="957"/>
      <c r="N471" s="1919" t="s">
        <v>1625</v>
      </c>
      <c r="O471" s="1919"/>
      <c r="P471" s="1919"/>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918" t="s">
        <v>1626</v>
      </c>
      <c r="O472" s="1918"/>
      <c r="P472" s="1918"/>
      <c r="Q472" s="957"/>
      <c r="R472" s="957"/>
      <c r="S472" s="957"/>
      <c r="T472" s="981" t="s">
        <v>648</v>
      </c>
      <c r="U472" s="957"/>
    </row>
    <row r="473" spans="1:31" ht="30.75" thickBot="1" x14ac:dyDescent="0.3">
      <c r="A473" s="992"/>
      <c r="B473" s="957"/>
      <c r="C473" s="951" t="s">
        <v>1496</v>
      </c>
      <c r="D473" s="1897" t="s">
        <v>646</v>
      </c>
      <c r="E473" s="1898"/>
      <c r="F473" s="957"/>
      <c r="G473" s="957"/>
      <c r="H473" s="957"/>
      <c r="I473" s="957"/>
      <c r="J473" s="919">
        <v>5</v>
      </c>
      <c r="K473" s="957"/>
      <c r="L473" s="944"/>
      <c r="M473" s="957"/>
      <c r="N473" s="1918" t="s">
        <v>1627</v>
      </c>
      <c r="O473" s="1918"/>
      <c r="P473" s="1918"/>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923" t="s">
        <v>1607</v>
      </c>
      <c r="E475" s="1890"/>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920" t="s">
        <v>1628</v>
      </c>
      <c r="C477" s="1889"/>
      <c r="D477" s="1889"/>
      <c r="E477" s="1889"/>
      <c r="F477" s="1889"/>
      <c r="G477" s="1889"/>
      <c r="H477" s="1889"/>
      <c r="I477" s="1889"/>
      <c r="J477" s="1889"/>
      <c r="K477" s="1889"/>
      <c r="L477" s="1889"/>
      <c r="M477" s="1889"/>
      <c r="N477" s="1889"/>
      <c r="O477" s="1889"/>
      <c r="P477" s="1889"/>
      <c r="Q477" s="1889"/>
      <c r="R477" s="1889"/>
      <c r="S477" s="1889"/>
      <c r="T477" s="1889"/>
      <c r="U477" s="1890"/>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921" t="s">
        <v>1621</v>
      </c>
      <c r="E479" s="1922"/>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942"/>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942"/>
    </row>
    <row r="481" spans="1:31" ht="30.75" thickBot="1" x14ac:dyDescent="0.3">
      <c r="A481" s="992"/>
      <c r="B481" s="957"/>
      <c r="C481" s="950" t="s">
        <v>1492</v>
      </c>
      <c r="D481" s="1923">
        <v>602</v>
      </c>
      <c r="E481" s="1924"/>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917" t="s">
        <v>1622</v>
      </c>
      <c r="O482" s="1917"/>
      <c r="P482" s="1917"/>
      <c r="Q482" s="957"/>
      <c r="R482" s="953" t="s">
        <v>1604</v>
      </c>
      <c r="S482" s="957"/>
      <c r="T482" s="953" t="s">
        <v>1605</v>
      </c>
      <c r="U482" s="957"/>
    </row>
    <row r="483" spans="1:31" ht="30.75" customHeight="1" thickBot="1" x14ac:dyDescent="0.3">
      <c r="A483" s="992"/>
      <c r="B483" s="957"/>
      <c r="C483" s="950" t="s">
        <v>1385</v>
      </c>
      <c r="D483" s="1925" t="str">
        <f>AA36</f>
        <v/>
      </c>
      <c r="E483" s="1926"/>
      <c r="F483" s="957"/>
      <c r="G483" s="957"/>
      <c r="H483" s="980"/>
      <c r="I483" s="957"/>
      <c r="J483" s="919">
        <v>1</v>
      </c>
      <c r="K483" s="957"/>
      <c r="L483" s="944"/>
      <c r="M483" s="957"/>
      <c r="N483" s="1918" t="s">
        <v>1623</v>
      </c>
      <c r="O483" s="1918"/>
      <c r="P483" s="1918"/>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918" t="s">
        <v>1624</v>
      </c>
      <c r="O484" s="1918"/>
      <c r="P484" s="1918"/>
      <c r="Q484" s="957"/>
      <c r="R484" s="957"/>
      <c r="S484" s="957"/>
      <c r="T484" s="957"/>
      <c r="U484" s="957"/>
    </row>
    <row r="485" spans="1:31" ht="30.75" thickBot="1" x14ac:dyDescent="0.3">
      <c r="A485" s="992"/>
      <c r="B485" s="957"/>
      <c r="C485" s="950" t="s">
        <v>1386</v>
      </c>
      <c r="D485" s="1925" t="str">
        <f>AB36</f>
        <v/>
      </c>
      <c r="E485" s="1926"/>
      <c r="F485" s="957"/>
      <c r="G485" s="957"/>
      <c r="H485" s="952" t="s">
        <v>1493</v>
      </c>
      <c r="I485" s="957"/>
      <c r="J485" s="919">
        <v>3</v>
      </c>
      <c r="K485" s="957"/>
      <c r="L485" s="944"/>
      <c r="M485" s="957"/>
      <c r="N485" s="1918" t="s">
        <v>1625</v>
      </c>
      <c r="O485" s="1918"/>
      <c r="P485" s="1918"/>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918" t="s">
        <v>1626</v>
      </c>
      <c r="O486" s="1918"/>
      <c r="P486" s="1918"/>
      <c r="Q486" s="957"/>
      <c r="R486" s="957"/>
      <c r="S486" s="957"/>
      <c r="T486" s="981" t="s">
        <v>648</v>
      </c>
      <c r="U486" s="957"/>
    </row>
    <row r="487" spans="1:31" ht="30.75" thickBot="1" x14ac:dyDescent="0.3">
      <c r="A487" s="992"/>
      <c r="B487" s="957"/>
      <c r="C487" s="951" t="s">
        <v>1496</v>
      </c>
      <c r="D487" s="1897" t="s">
        <v>646</v>
      </c>
      <c r="E487" s="1898"/>
      <c r="F487" s="957"/>
      <c r="G487" s="957"/>
      <c r="H487" s="957"/>
      <c r="I487" s="957"/>
      <c r="J487" s="919">
        <v>5</v>
      </c>
      <c r="K487" s="957"/>
      <c r="L487" s="944"/>
      <c r="M487" s="957"/>
      <c r="N487" s="1918" t="s">
        <v>1627</v>
      </c>
      <c r="O487" s="1918"/>
      <c r="P487" s="1918"/>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923" t="s">
        <v>1607</v>
      </c>
      <c r="E489" s="1890"/>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920" t="s">
        <v>1629</v>
      </c>
      <c r="C491" s="1889"/>
      <c r="D491" s="1889"/>
      <c r="E491" s="1889"/>
      <c r="F491" s="1889"/>
      <c r="G491" s="1889"/>
      <c r="H491" s="1889"/>
      <c r="I491" s="1889"/>
      <c r="J491" s="1889"/>
      <c r="K491" s="1889"/>
      <c r="L491" s="1889"/>
      <c r="M491" s="1889"/>
      <c r="N491" s="1889"/>
      <c r="O491" s="1889"/>
      <c r="P491" s="1889"/>
      <c r="Q491" s="1889"/>
      <c r="R491" s="1889"/>
      <c r="S491" s="1889"/>
      <c r="T491" s="1889"/>
      <c r="U491" s="1890"/>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921" t="s">
        <v>1630</v>
      </c>
      <c r="E493" s="1922"/>
      <c r="F493" s="957"/>
      <c r="G493" s="957"/>
      <c r="H493" s="957"/>
      <c r="I493" s="957"/>
      <c r="J493" s="953" t="s">
        <v>1381</v>
      </c>
      <c r="K493" s="957"/>
      <c r="L493" s="953" t="s">
        <v>1397</v>
      </c>
      <c r="M493" s="957"/>
      <c r="N493" s="957"/>
      <c r="O493" s="957"/>
      <c r="P493" s="957"/>
      <c r="Q493" s="957"/>
      <c r="R493" s="957"/>
      <c r="S493" s="957"/>
      <c r="T493" s="957"/>
      <c r="U493" s="957"/>
      <c r="AE493" s="1942"/>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942"/>
    </row>
    <row r="495" spans="1:31" ht="30.75" thickBot="1" x14ac:dyDescent="0.3">
      <c r="A495" s="992"/>
      <c r="B495" s="957"/>
      <c r="C495" s="950" t="s">
        <v>1492</v>
      </c>
      <c r="D495" s="1923">
        <v>1001</v>
      </c>
      <c r="E495" s="1924"/>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925" t="str">
        <f>AA37</f>
        <v/>
      </c>
      <c r="E497" s="1926"/>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925" t="str">
        <f>AB37</f>
        <v/>
      </c>
      <c r="E499" s="1926"/>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97" t="s">
        <v>646</v>
      </c>
      <c r="E501" s="1898"/>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920" t="s">
        <v>2009</v>
      </c>
      <c r="C503" s="1889"/>
      <c r="D503" s="1889"/>
      <c r="E503" s="1889"/>
      <c r="F503" s="1889"/>
      <c r="G503" s="1889"/>
      <c r="H503" s="1889"/>
      <c r="I503" s="1889"/>
      <c r="J503" s="1889"/>
      <c r="K503" s="1889"/>
      <c r="L503" s="1889"/>
      <c r="M503" s="1889"/>
      <c r="N503" s="1889"/>
      <c r="O503" s="1889"/>
      <c r="P503" s="1889"/>
      <c r="Q503" s="1889"/>
      <c r="R503" s="1889"/>
      <c r="S503" s="1889"/>
      <c r="T503" s="1889"/>
      <c r="U503" s="1890"/>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921" t="s">
        <v>1776</v>
      </c>
      <c r="E505" s="1922"/>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7" t="str">
        <f>IF(T515="Yes",Incentives!K227,"")</f>
        <v/>
      </c>
      <c r="M506" s="957"/>
      <c r="N506" s="1389" t="str">
        <f>IF(AND(Incentives!M227&lt;&gt;"",T515="Yes"),Incentives!M227,"")</f>
        <v/>
      </c>
      <c r="O506" s="957"/>
      <c r="P506" s="957"/>
      <c r="Q506" s="957"/>
      <c r="R506" s="1334" t="s">
        <v>1603</v>
      </c>
      <c r="S506" s="957"/>
      <c r="T506" s="1334" t="s">
        <v>646</v>
      </c>
      <c r="U506" s="957"/>
    </row>
    <row r="507" spans="1:21" ht="30.75" thickBot="1" x14ac:dyDescent="0.3">
      <c r="A507" s="565"/>
      <c r="B507" s="957"/>
      <c r="C507" s="950" t="s">
        <v>1492</v>
      </c>
      <c r="D507" s="1923">
        <v>5301</v>
      </c>
      <c r="E507" s="1924"/>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925" t="str">
        <f>IF(T515="Yes",Incentives!E229,"")</f>
        <v/>
      </c>
      <c r="E509" s="1926"/>
      <c r="F509" s="957"/>
      <c r="G509" s="957"/>
      <c r="H509" s="1337" t="str">
        <f>IF(T515="Yes",Incentives!G230,"")</f>
        <v/>
      </c>
      <c r="I509" s="957"/>
      <c r="J509" s="957"/>
      <c r="K509" s="957"/>
      <c r="L509" s="957"/>
      <c r="M509" s="957"/>
      <c r="N509" s="957"/>
      <c r="O509" s="957"/>
      <c r="P509" s="957"/>
      <c r="Q509" s="957"/>
      <c r="R509" s="1334" t="s">
        <v>1611</v>
      </c>
      <c r="S509" s="957"/>
      <c r="T509" s="133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925" t="str">
        <f>IF(T515="Yes",Incentives!E230,"")</f>
        <v/>
      </c>
      <c r="E511" s="1926"/>
      <c r="F511" s="957"/>
      <c r="G511" s="957"/>
      <c r="H511" s="1363" t="s">
        <v>1493</v>
      </c>
      <c r="I511" s="957"/>
      <c r="J511" s="1364" t="s">
        <v>2006</v>
      </c>
      <c r="K511" s="957"/>
      <c r="L511" s="1610"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34" t="s">
        <v>648</v>
      </c>
      <c r="I512" s="957"/>
      <c r="J512" s="1027" t="str">
        <f>IF(T515="Yes",Incentives!G233,"")</f>
        <v/>
      </c>
      <c r="K512" s="957"/>
      <c r="L512" s="1611" t="str">
        <f>IF(T515="Yes",IF(R515="Yes","No","Yes"),"")</f>
        <v/>
      </c>
      <c r="M512" s="957"/>
      <c r="N512" s="1337" t="str">
        <f>IF(T515="Yes",Incentives!K233,"")</f>
        <v/>
      </c>
      <c r="O512" s="957"/>
      <c r="P512" s="957"/>
      <c r="Q512" s="957"/>
      <c r="R512" s="957"/>
      <c r="S512" s="957"/>
      <c r="T512" s="1334" t="s">
        <v>648</v>
      </c>
      <c r="U512" s="957"/>
    </row>
    <row r="513" spans="1:21" ht="30.75" customHeight="1" thickBot="1" x14ac:dyDescent="0.3">
      <c r="A513" s="565"/>
      <c r="B513" s="957"/>
      <c r="C513" s="951" t="s">
        <v>1496</v>
      </c>
      <c r="D513" s="1941" t="s">
        <v>648</v>
      </c>
      <c r="E513" s="1924"/>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923" t="s">
        <v>1607</v>
      </c>
      <c r="E515" s="1890"/>
      <c r="F515" s="957"/>
      <c r="G515" s="957"/>
      <c r="H515" s="957"/>
      <c r="I515" s="957"/>
      <c r="J515" s="957"/>
      <c r="K515" s="957"/>
      <c r="L515" s="957"/>
      <c r="M515" s="957"/>
      <c r="N515" s="957"/>
      <c r="O515" s="957"/>
      <c r="P515" s="957"/>
      <c r="Q515" s="957"/>
      <c r="R515" s="1612" t="str">
        <f ca="1">Incentives!C226</f>
        <v/>
      </c>
      <c r="S515" s="957"/>
      <c r="T515" s="133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920" t="s">
        <v>2010</v>
      </c>
      <c r="C517" s="1889"/>
      <c r="D517" s="1889"/>
      <c r="E517" s="1889"/>
      <c r="F517" s="1889"/>
      <c r="G517" s="1889"/>
      <c r="H517" s="1889"/>
      <c r="I517" s="1889"/>
      <c r="J517" s="1889"/>
      <c r="K517" s="1889"/>
      <c r="L517" s="1889"/>
      <c r="M517" s="1889"/>
      <c r="N517" s="1889"/>
      <c r="O517" s="1889"/>
      <c r="P517" s="1889"/>
      <c r="Q517" s="1889"/>
      <c r="R517" s="1889"/>
      <c r="S517" s="1889"/>
      <c r="T517" s="1889"/>
      <c r="U517" s="1890"/>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921" t="s">
        <v>1776</v>
      </c>
      <c r="E519" s="1922"/>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7" t="str">
        <f>IF(T529="Yes",Incentives!K238,"")</f>
        <v/>
      </c>
      <c r="M520" s="957"/>
      <c r="N520" s="983" t="str">
        <f>IF(AND(Incentives!M238&lt;&gt;"",T529="Yes"),Incentives!M238,"")</f>
        <v/>
      </c>
      <c r="O520" s="957"/>
      <c r="P520" s="957"/>
      <c r="Q520" s="957"/>
      <c r="R520" s="1334" t="s">
        <v>1603</v>
      </c>
      <c r="S520" s="957"/>
      <c r="T520" s="1334" t="s">
        <v>646</v>
      </c>
      <c r="U520" s="957"/>
    </row>
    <row r="521" spans="1:21" ht="30.75" thickBot="1" x14ac:dyDescent="0.3">
      <c r="A521" s="565"/>
      <c r="B521" s="957"/>
      <c r="C521" s="950" t="s">
        <v>1492</v>
      </c>
      <c r="D521" s="1923">
        <v>5302</v>
      </c>
      <c r="E521" s="1924"/>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925" t="str">
        <f>IF(T529="Yes",Incentives!E240,"")</f>
        <v/>
      </c>
      <c r="E523" s="1926"/>
      <c r="F523" s="957"/>
      <c r="G523" s="957"/>
      <c r="H523" s="1337" t="str">
        <f>IF(T529="Yes",Incentives!G241,"")</f>
        <v/>
      </c>
      <c r="I523" s="957"/>
      <c r="J523" s="957"/>
      <c r="K523" s="957"/>
      <c r="L523" s="957"/>
      <c r="M523" s="957"/>
      <c r="N523" s="957"/>
      <c r="O523" s="957"/>
      <c r="P523" s="957"/>
      <c r="Q523" s="957"/>
      <c r="R523" s="1334" t="s">
        <v>1611</v>
      </c>
      <c r="S523" s="957"/>
      <c r="T523" s="133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925" t="str">
        <f>IF(T529="Yes",Incentives!E241,"")</f>
        <v/>
      </c>
      <c r="E525" s="1926"/>
      <c r="F525" s="957"/>
      <c r="G525" s="957"/>
      <c r="H525" s="1363" t="s">
        <v>1493</v>
      </c>
      <c r="I525" s="957"/>
      <c r="J525" s="1363" t="s">
        <v>2006</v>
      </c>
      <c r="K525" s="957"/>
      <c r="L525" s="1610"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34" t="s">
        <v>648</v>
      </c>
      <c r="I526" s="957"/>
      <c r="J526" s="1027" t="str">
        <f>IF(T529="Yes",Incentives!G244,"")</f>
        <v/>
      </c>
      <c r="K526" s="957"/>
      <c r="L526" s="1611" t="str">
        <f>IF(T529="Yes",IF(R529="Yes","No","Yes"),"")</f>
        <v/>
      </c>
      <c r="M526" s="957"/>
      <c r="N526" s="1337" t="str">
        <f>IF(T529="Yes",Incentives!K244,"")</f>
        <v/>
      </c>
      <c r="O526" s="957"/>
      <c r="P526" s="957"/>
      <c r="Q526" s="957"/>
      <c r="R526" s="957"/>
      <c r="S526" s="957"/>
      <c r="T526" s="1334" t="s">
        <v>648</v>
      </c>
      <c r="U526" s="957"/>
    </row>
    <row r="527" spans="1:21" ht="30.75" thickBot="1" x14ac:dyDescent="0.3">
      <c r="A527" s="565"/>
      <c r="B527" s="957"/>
      <c r="C527" s="951" t="s">
        <v>1496</v>
      </c>
      <c r="D527" s="1941" t="s">
        <v>648</v>
      </c>
      <c r="E527" s="1924"/>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923" t="s">
        <v>1607</v>
      </c>
      <c r="E529" s="1890"/>
      <c r="F529" s="957"/>
      <c r="G529" s="957"/>
      <c r="H529" s="957"/>
      <c r="I529" s="957"/>
      <c r="J529" s="957"/>
      <c r="K529" s="957"/>
      <c r="L529" s="957"/>
      <c r="M529" s="957"/>
      <c r="N529" s="957"/>
      <c r="O529" s="957"/>
      <c r="P529" s="957"/>
      <c r="Q529" s="957"/>
      <c r="R529" s="1613">
        <f>Incentives!C237</f>
        <v>0</v>
      </c>
      <c r="S529" s="957"/>
      <c r="T529" s="133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920" t="s">
        <v>2011</v>
      </c>
      <c r="C531" s="1889"/>
      <c r="D531" s="1889"/>
      <c r="E531" s="1889"/>
      <c r="F531" s="1889"/>
      <c r="G531" s="1889"/>
      <c r="H531" s="1889"/>
      <c r="I531" s="1889"/>
      <c r="J531" s="1889"/>
      <c r="K531" s="1889"/>
      <c r="L531" s="1889"/>
      <c r="M531" s="1889"/>
      <c r="N531" s="1889"/>
      <c r="O531" s="1889"/>
      <c r="P531" s="1889"/>
      <c r="Q531" s="1889"/>
      <c r="R531" s="1889"/>
      <c r="S531" s="1889"/>
      <c r="T531" s="1889"/>
      <c r="U531" s="1890"/>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921" t="s">
        <v>1776</v>
      </c>
      <c r="E533" s="1922"/>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7" t="str">
        <f>IF(T543="Yes",Incentives!K249,"")</f>
        <v/>
      </c>
      <c r="M534" s="957"/>
      <c r="N534" s="983" t="str">
        <f>IF(AND(Incentives!M249&lt;&gt;"",T543="Yes"),Incentives!M249,"")</f>
        <v/>
      </c>
      <c r="O534" s="957"/>
      <c r="P534" s="957"/>
      <c r="Q534" s="957"/>
      <c r="R534" s="1334" t="s">
        <v>1603</v>
      </c>
      <c r="S534" s="957"/>
      <c r="T534" s="1334" t="s">
        <v>646</v>
      </c>
      <c r="U534" s="957"/>
    </row>
    <row r="535" spans="1:21" ht="30.75" thickBot="1" x14ac:dyDescent="0.3">
      <c r="A535" s="565"/>
      <c r="B535" s="957"/>
      <c r="C535" s="950" t="s">
        <v>1492</v>
      </c>
      <c r="D535" s="1923">
        <v>5303</v>
      </c>
      <c r="E535" s="1924"/>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925" t="str">
        <f>IF(T543="Yes",Incentives!E251,"")</f>
        <v/>
      </c>
      <c r="E537" s="1926"/>
      <c r="F537" s="957"/>
      <c r="G537" s="957"/>
      <c r="H537" s="1337" t="str">
        <f>IF(T543="Yes",Incentives!G252,"")</f>
        <v/>
      </c>
      <c r="I537" s="957"/>
      <c r="J537" s="957"/>
      <c r="K537" s="957"/>
      <c r="L537" s="957"/>
      <c r="M537" s="957"/>
      <c r="N537" s="957"/>
      <c r="O537" s="957"/>
      <c r="P537" s="957"/>
      <c r="Q537" s="957"/>
      <c r="R537" s="1334" t="s">
        <v>1611</v>
      </c>
      <c r="S537" s="957"/>
      <c r="T537" s="133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925" t="str">
        <f>IF(T543="Yes",Incentives!E252,"")</f>
        <v/>
      </c>
      <c r="E539" s="1926"/>
      <c r="F539" s="957"/>
      <c r="G539" s="957"/>
      <c r="H539" s="1363" t="s">
        <v>1493</v>
      </c>
      <c r="I539" s="957"/>
      <c r="J539" s="1363" t="s">
        <v>2006</v>
      </c>
      <c r="K539" s="957"/>
      <c r="L539" s="1610"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34" t="s">
        <v>648</v>
      </c>
      <c r="I540" s="957"/>
      <c r="J540" s="1027" t="str">
        <f>IF(T543="Yes",Incentives!G255,"")</f>
        <v/>
      </c>
      <c r="K540" s="957"/>
      <c r="L540" s="1611" t="str">
        <f>IF(T543="Yes",IF(R543="Yes","No","Yes"),"")</f>
        <v/>
      </c>
      <c r="M540" s="957"/>
      <c r="N540" s="1337" t="str">
        <f>IF(T543="Yes",Incentives!K255,"")</f>
        <v/>
      </c>
      <c r="O540" s="957"/>
      <c r="P540" s="957"/>
      <c r="Q540" s="957"/>
      <c r="R540" s="957"/>
      <c r="S540" s="957"/>
      <c r="T540" s="1334" t="s">
        <v>648</v>
      </c>
      <c r="U540" s="957"/>
    </row>
    <row r="541" spans="1:21" ht="30.75" thickBot="1" x14ac:dyDescent="0.3">
      <c r="A541" s="565"/>
      <c r="B541" s="957"/>
      <c r="C541" s="951" t="s">
        <v>1496</v>
      </c>
      <c r="D541" s="1941" t="s">
        <v>648</v>
      </c>
      <c r="E541" s="1924"/>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923" t="s">
        <v>1607</v>
      </c>
      <c r="E543" s="1890"/>
      <c r="F543" s="957"/>
      <c r="G543" s="957"/>
      <c r="H543" s="957"/>
      <c r="I543" s="957"/>
      <c r="J543" s="957"/>
      <c r="K543" s="957"/>
      <c r="L543" s="957"/>
      <c r="M543" s="957"/>
      <c r="N543" s="957"/>
      <c r="O543" s="957"/>
      <c r="P543" s="957"/>
      <c r="Q543" s="957"/>
      <c r="R543" s="1613">
        <f>Incentives!C248</f>
        <v>0</v>
      </c>
      <c r="S543" s="957"/>
      <c r="T543" s="133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920" t="s">
        <v>2012</v>
      </c>
      <c r="C545" s="1889"/>
      <c r="D545" s="1889"/>
      <c r="E545" s="1889"/>
      <c r="F545" s="1889"/>
      <c r="G545" s="1889"/>
      <c r="H545" s="1889"/>
      <c r="I545" s="1889"/>
      <c r="J545" s="1889"/>
      <c r="K545" s="1889"/>
      <c r="L545" s="1889"/>
      <c r="M545" s="1889"/>
      <c r="N545" s="1889"/>
      <c r="O545" s="1889"/>
      <c r="P545" s="1889"/>
      <c r="Q545" s="1889"/>
      <c r="R545" s="1889"/>
      <c r="S545" s="1889"/>
      <c r="T545" s="1889"/>
      <c r="U545" s="1890"/>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921" t="s">
        <v>1776</v>
      </c>
      <c r="E547" s="1922"/>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7" t="str">
        <f>IF(T557="Yes",Incentives!K260,"")</f>
        <v/>
      </c>
      <c r="M548" s="957"/>
      <c r="N548" s="983" t="str">
        <f>IF(AND(Incentives!M260&lt;&gt;"",T557="Yes"),Incentives!M260,"")</f>
        <v/>
      </c>
      <c r="O548" s="957"/>
      <c r="P548" s="957"/>
      <c r="Q548" s="957"/>
      <c r="R548" s="1334" t="s">
        <v>1603</v>
      </c>
      <c r="S548" s="957"/>
      <c r="T548" s="1334" t="s">
        <v>646</v>
      </c>
      <c r="U548" s="957"/>
    </row>
    <row r="549" spans="1:21" ht="30.75" thickBot="1" x14ac:dyDescent="0.3">
      <c r="A549" s="565"/>
      <c r="B549" s="957"/>
      <c r="C549" s="950" t="s">
        <v>1492</v>
      </c>
      <c r="D549" s="1923">
        <v>5304</v>
      </c>
      <c r="E549" s="1924"/>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925" t="str">
        <f>IF(T557="Yes",Incentives!E262,"")</f>
        <v/>
      </c>
      <c r="E551" s="1926"/>
      <c r="F551" s="957"/>
      <c r="G551" s="957"/>
      <c r="H551" s="1337" t="str">
        <f>IF(T557="Yes",Incentives!G263,"")</f>
        <v/>
      </c>
      <c r="I551" s="957"/>
      <c r="J551" s="957"/>
      <c r="K551" s="957"/>
      <c r="L551" s="957"/>
      <c r="M551" s="957"/>
      <c r="N551" s="957"/>
      <c r="O551" s="957"/>
      <c r="P551" s="957"/>
      <c r="Q551" s="957"/>
      <c r="R551" s="1334" t="s">
        <v>1611</v>
      </c>
      <c r="S551" s="957"/>
      <c r="T551" s="133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925" t="str">
        <f>IF(T557="Yes",Incentives!E263,"")</f>
        <v/>
      </c>
      <c r="E553" s="1926"/>
      <c r="F553" s="957"/>
      <c r="G553" s="957"/>
      <c r="H553" s="1363" t="s">
        <v>1493</v>
      </c>
      <c r="I553" s="957"/>
      <c r="J553" s="1363" t="s">
        <v>2006</v>
      </c>
      <c r="K553" s="957"/>
      <c r="L553" s="1610"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34" t="s">
        <v>648</v>
      </c>
      <c r="I554" s="957"/>
      <c r="J554" s="1027" t="str">
        <f>IF(T557="Yes",Incentives!G266,"")</f>
        <v/>
      </c>
      <c r="K554" s="957"/>
      <c r="L554" s="1611" t="str">
        <f>IF(T557="Yes",IF(R557="Yes","No","Yes"),"")</f>
        <v/>
      </c>
      <c r="M554" s="957"/>
      <c r="N554" s="1337" t="str">
        <f>IF(T557="Yes",Incentives!K266,"")</f>
        <v/>
      </c>
      <c r="O554" s="957"/>
      <c r="P554" s="957"/>
      <c r="Q554" s="957"/>
      <c r="R554" s="957"/>
      <c r="S554" s="957"/>
      <c r="T554" s="1334" t="s">
        <v>648</v>
      </c>
      <c r="U554" s="957"/>
    </row>
    <row r="555" spans="1:21" ht="30.75" thickBot="1" x14ac:dyDescent="0.3">
      <c r="A555" s="565"/>
      <c r="B555" s="957"/>
      <c r="C555" s="951" t="s">
        <v>1496</v>
      </c>
      <c r="D555" s="1941" t="s">
        <v>648</v>
      </c>
      <c r="E555" s="1924"/>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923" t="s">
        <v>1607</v>
      </c>
      <c r="E557" s="1890"/>
      <c r="F557" s="957"/>
      <c r="G557" s="957"/>
      <c r="H557" s="957"/>
      <c r="I557" s="957"/>
      <c r="J557" s="957"/>
      <c r="K557" s="957"/>
      <c r="L557" s="957"/>
      <c r="M557" s="957"/>
      <c r="N557" s="957"/>
      <c r="O557" s="957"/>
      <c r="P557" s="957"/>
      <c r="Q557" s="957"/>
      <c r="R557" s="1613">
        <f>Incentives!C259</f>
        <v>0</v>
      </c>
      <c r="S557" s="957"/>
      <c r="T557" s="133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920" t="s">
        <v>2013</v>
      </c>
      <c r="C559" s="1889"/>
      <c r="D559" s="1889"/>
      <c r="E559" s="1889"/>
      <c r="F559" s="1889"/>
      <c r="G559" s="1889"/>
      <c r="H559" s="1889"/>
      <c r="I559" s="1889"/>
      <c r="J559" s="1889"/>
      <c r="K559" s="1889"/>
      <c r="L559" s="1889"/>
      <c r="M559" s="1889"/>
      <c r="N559" s="1889"/>
      <c r="O559" s="1889"/>
      <c r="P559" s="1889"/>
      <c r="Q559" s="1889"/>
      <c r="R559" s="1889"/>
      <c r="S559" s="1889"/>
      <c r="T559" s="1889"/>
      <c r="U559" s="1890"/>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921" t="s">
        <v>1776</v>
      </c>
      <c r="E561" s="1922"/>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7" t="str">
        <f>IF(T571="Yes",Incentives!K271,"")</f>
        <v/>
      </c>
      <c r="M562" s="957"/>
      <c r="N562" s="983" t="str">
        <f>IF(AND(Incentives!M271&lt;&gt;"",T571="Yes"),Incentives!M271,"")</f>
        <v/>
      </c>
      <c r="O562" s="957"/>
      <c r="P562" s="957"/>
      <c r="Q562" s="957"/>
      <c r="R562" s="1334" t="s">
        <v>1603</v>
      </c>
      <c r="S562" s="957"/>
      <c r="T562" s="1334" t="s">
        <v>646</v>
      </c>
      <c r="U562" s="957"/>
    </row>
    <row r="563" spans="1:21" ht="30.75" thickBot="1" x14ac:dyDescent="0.3">
      <c r="A563" s="565"/>
      <c r="B563" s="957"/>
      <c r="C563" s="950" t="s">
        <v>1492</v>
      </c>
      <c r="D563" s="1923">
        <v>5305</v>
      </c>
      <c r="E563" s="1924"/>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925" t="str">
        <f>IF(T571="Yes",Incentives!E273,"")</f>
        <v/>
      </c>
      <c r="E565" s="1926"/>
      <c r="F565" s="957"/>
      <c r="G565" s="957"/>
      <c r="H565" s="1337" t="str">
        <f>IF(T571="Yes",Incentives!G274,"")</f>
        <v/>
      </c>
      <c r="I565" s="957"/>
      <c r="J565" s="957"/>
      <c r="K565" s="957"/>
      <c r="L565" s="957"/>
      <c r="M565" s="957"/>
      <c r="N565" s="957"/>
      <c r="O565" s="957"/>
      <c r="P565" s="957"/>
      <c r="Q565" s="957"/>
      <c r="R565" s="1334" t="s">
        <v>1611</v>
      </c>
      <c r="S565" s="957"/>
      <c r="T565" s="133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925" t="str">
        <f>IF(T571="Yes",Incentives!E274,"")</f>
        <v/>
      </c>
      <c r="E567" s="1926"/>
      <c r="F567" s="957"/>
      <c r="G567" s="957"/>
      <c r="H567" s="1363" t="s">
        <v>1493</v>
      </c>
      <c r="I567" s="957"/>
      <c r="J567" s="1363" t="s">
        <v>2006</v>
      </c>
      <c r="K567" s="957"/>
      <c r="L567" s="1610"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34" t="s">
        <v>648</v>
      </c>
      <c r="I568" s="957"/>
      <c r="J568" s="1027" t="str">
        <f>IF(T571="Yes",Incentives!G277,"")</f>
        <v/>
      </c>
      <c r="K568" s="957"/>
      <c r="L568" s="1611" t="str">
        <f>IF(T571="Yes",IF(R571="Yes","No","Yes"),"")</f>
        <v/>
      </c>
      <c r="M568" s="957"/>
      <c r="N568" s="1337" t="str">
        <f>IF(T571="Yes",Incentives!K277,"")</f>
        <v/>
      </c>
      <c r="O568" s="957"/>
      <c r="P568" s="957"/>
      <c r="Q568" s="957"/>
      <c r="R568" s="957"/>
      <c r="S568" s="957"/>
      <c r="T568" s="1334" t="s">
        <v>648</v>
      </c>
      <c r="U568" s="957"/>
    </row>
    <row r="569" spans="1:21" ht="30.75" thickBot="1" x14ac:dyDescent="0.3">
      <c r="A569" s="565"/>
      <c r="B569" s="957"/>
      <c r="C569" s="951" t="s">
        <v>1496</v>
      </c>
      <c r="D569" s="1941" t="s">
        <v>648</v>
      </c>
      <c r="E569" s="1924"/>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923" t="s">
        <v>1607</v>
      </c>
      <c r="E571" s="1890"/>
      <c r="F571" s="957"/>
      <c r="G571" s="957"/>
      <c r="H571" s="957"/>
      <c r="I571" s="957"/>
      <c r="J571" s="957"/>
      <c r="K571" s="957"/>
      <c r="L571" s="957"/>
      <c r="M571" s="957"/>
      <c r="N571" s="957"/>
      <c r="O571" s="957"/>
      <c r="P571" s="957"/>
      <c r="Q571" s="957"/>
      <c r="R571" s="1613">
        <f>Incentives!C270</f>
        <v>0</v>
      </c>
      <c r="S571" s="957"/>
      <c r="T571" s="133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920" t="s">
        <v>2014</v>
      </c>
      <c r="C573" s="1889"/>
      <c r="D573" s="1889"/>
      <c r="E573" s="1889"/>
      <c r="F573" s="1889"/>
      <c r="G573" s="1889"/>
      <c r="H573" s="1889"/>
      <c r="I573" s="1889"/>
      <c r="J573" s="1889"/>
      <c r="K573" s="1889"/>
      <c r="L573" s="1889"/>
      <c r="M573" s="1889"/>
      <c r="N573" s="1889"/>
      <c r="O573" s="1889"/>
      <c r="P573" s="1889"/>
      <c r="Q573" s="1889"/>
      <c r="R573" s="1889"/>
      <c r="S573" s="1889"/>
      <c r="T573" s="1889"/>
      <c r="U573" s="1890"/>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921" t="s">
        <v>1776</v>
      </c>
      <c r="E575" s="1922"/>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7" t="str">
        <f>IF(T585="Yes",Incentives!K282,"")</f>
        <v/>
      </c>
      <c r="M576" s="957"/>
      <c r="N576" s="983" t="str">
        <f>IF(AND(Incentives!M282&lt;&gt;"",T585="Yes"),Incentives!M282,"")</f>
        <v/>
      </c>
      <c r="O576" s="957"/>
      <c r="P576" s="957"/>
      <c r="Q576" s="957"/>
      <c r="R576" s="1334" t="s">
        <v>1603</v>
      </c>
      <c r="S576" s="957"/>
      <c r="T576" s="1334" t="s">
        <v>646</v>
      </c>
      <c r="U576" s="957"/>
    </row>
    <row r="577" spans="1:21" ht="30.75" thickBot="1" x14ac:dyDescent="0.3">
      <c r="A577" s="565"/>
      <c r="B577" s="957"/>
      <c r="C577" s="950" t="s">
        <v>1492</v>
      </c>
      <c r="D577" s="1923">
        <v>5306</v>
      </c>
      <c r="E577" s="1924"/>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925" t="str">
        <f>IF(T585="Yes",Incentives!E284,"")</f>
        <v/>
      </c>
      <c r="E579" s="1926"/>
      <c r="F579" s="957"/>
      <c r="G579" s="957"/>
      <c r="H579" s="1337" t="str">
        <f>IF(T585="Yes",Incentives!G285,"")</f>
        <v/>
      </c>
      <c r="I579" s="957"/>
      <c r="J579" s="957"/>
      <c r="K579" s="957"/>
      <c r="L579" s="957"/>
      <c r="M579" s="957"/>
      <c r="N579" s="957"/>
      <c r="O579" s="957"/>
      <c r="P579" s="957"/>
      <c r="Q579" s="957"/>
      <c r="R579" s="1334" t="s">
        <v>1611</v>
      </c>
      <c r="S579" s="957"/>
      <c r="T579" s="133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925" t="str">
        <f>IF(T585="Yes",Incentives!E285,"")</f>
        <v/>
      </c>
      <c r="E581" s="1926"/>
      <c r="F581" s="957"/>
      <c r="G581" s="957"/>
      <c r="H581" s="1363" t="s">
        <v>1493</v>
      </c>
      <c r="I581" s="957"/>
      <c r="J581" s="1363" t="s">
        <v>2006</v>
      </c>
      <c r="K581" s="957"/>
      <c r="L581" s="1610"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34" t="s">
        <v>648</v>
      </c>
      <c r="I582" s="957"/>
      <c r="J582" s="1027" t="str">
        <f>IF(T585="Yes",Incentives!G288,"")</f>
        <v/>
      </c>
      <c r="K582" s="957"/>
      <c r="L582" s="1611" t="str">
        <f>IF(T585="Yes",IF(R585="Yes","No","Yes"),"")</f>
        <v/>
      </c>
      <c r="M582" s="957"/>
      <c r="N582" s="1337" t="str">
        <f>IF(T585="Yes",Incentives!K288,"")</f>
        <v/>
      </c>
      <c r="O582" s="957"/>
      <c r="P582" s="957"/>
      <c r="Q582" s="957"/>
      <c r="R582" s="957"/>
      <c r="S582" s="957"/>
      <c r="T582" s="1334" t="s">
        <v>648</v>
      </c>
      <c r="U582" s="957"/>
    </row>
    <row r="583" spans="1:21" ht="30.75" thickBot="1" x14ac:dyDescent="0.3">
      <c r="A583" s="565"/>
      <c r="B583" s="957"/>
      <c r="C583" s="951" t="s">
        <v>1496</v>
      </c>
      <c r="D583" s="1941" t="s">
        <v>648</v>
      </c>
      <c r="E583" s="1924"/>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923" t="s">
        <v>1607</v>
      </c>
      <c r="E585" s="1890"/>
      <c r="F585" s="957"/>
      <c r="G585" s="957"/>
      <c r="H585" s="957"/>
      <c r="I585" s="957"/>
      <c r="J585" s="957"/>
      <c r="K585" s="957"/>
      <c r="L585" s="957"/>
      <c r="M585" s="957"/>
      <c r="N585" s="957"/>
      <c r="O585" s="957"/>
      <c r="P585" s="957"/>
      <c r="Q585" s="957"/>
      <c r="R585" s="1613">
        <f>Incentives!C281</f>
        <v>0</v>
      </c>
      <c r="S585" s="957"/>
      <c r="T585" s="133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920" t="s">
        <v>2015</v>
      </c>
      <c r="C587" s="1889"/>
      <c r="D587" s="1889"/>
      <c r="E587" s="1889"/>
      <c r="F587" s="1889"/>
      <c r="G587" s="1889"/>
      <c r="H587" s="1889"/>
      <c r="I587" s="1889"/>
      <c r="J587" s="1889"/>
      <c r="K587" s="1889"/>
      <c r="L587" s="1889"/>
      <c r="M587" s="1889"/>
      <c r="N587" s="1889"/>
      <c r="O587" s="1889"/>
      <c r="P587" s="1889"/>
      <c r="Q587" s="1889"/>
      <c r="R587" s="1889"/>
      <c r="S587" s="1889"/>
      <c r="T587" s="1889"/>
      <c r="U587" s="1890"/>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921" t="s">
        <v>1776</v>
      </c>
      <c r="E589" s="1922"/>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7" t="str">
        <f>IF(T599="Yes",Incentives!K293,"")</f>
        <v/>
      </c>
      <c r="M590" s="957"/>
      <c r="N590" s="983" t="str">
        <f>IF(T599="Yes",Incentives!M293,"")</f>
        <v/>
      </c>
      <c r="O590" s="957"/>
      <c r="P590" s="957"/>
      <c r="Q590" s="957"/>
      <c r="R590" s="1334" t="s">
        <v>1603</v>
      </c>
      <c r="S590" s="957"/>
      <c r="T590" s="1334" t="s">
        <v>646</v>
      </c>
      <c r="U590" s="957"/>
    </row>
    <row r="591" spans="1:21" ht="30.75" thickBot="1" x14ac:dyDescent="0.3">
      <c r="A591" s="565"/>
      <c r="B591" s="957"/>
      <c r="C591" s="950" t="s">
        <v>1492</v>
      </c>
      <c r="D591" s="1923">
        <v>5307</v>
      </c>
      <c r="E591" s="1924"/>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925" t="str">
        <f>IF(T599="Yes",Incentives!E295,"")</f>
        <v/>
      </c>
      <c r="E593" s="1926"/>
      <c r="F593" s="957"/>
      <c r="G593" s="957"/>
      <c r="H593" s="1337" t="str">
        <f>IF(T599="Yes",Incentives!G296,"")</f>
        <v/>
      </c>
      <c r="I593" s="957"/>
      <c r="J593" s="957"/>
      <c r="K593" s="957"/>
      <c r="L593" s="957"/>
      <c r="M593" s="957"/>
      <c r="N593" s="957"/>
      <c r="O593" s="957"/>
      <c r="P593" s="957"/>
      <c r="Q593" s="957"/>
      <c r="R593" s="1334" t="s">
        <v>1611</v>
      </c>
      <c r="S593" s="957"/>
      <c r="T593" s="133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925" t="str">
        <f>IF(T599="Yes",Incentives!E296,"")</f>
        <v/>
      </c>
      <c r="E595" s="1926"/>
      <c r="F595" s="957"/>
      <c r="G595" s="957"/>
      <c r="H595" s="1363" t="s">
        <v>1493</v>
      </c>
      <c r="I595" s="957"/>
      <c r="J595" s="1363" t="s">
        <v>2006</v>
      </c>
      <c r="K595" s="957"/>
      <c r="L595" s="1610"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34" t="s">
        <v>648</v>
      </c>
      <c r="I596" s="957"/>
      <c r="J596" s="1027" t="str">
        <f>IF(T599="Yes",Incentives!G299,"")</f>
        <v/>
      </c>
      <c r="K596" s="957"/>
      <c r="L596" s="1611" t="str">
        <f>IF(T599="Yes",IF(R599="Yes","No","Yes"),"")</f>
        <v/>
      </c>
      <c r="M596" s="957"/>
      <c r="N596" s="1337" t="str">
        <f>IF(T599="Yes",Incentives!K299,"")</f>
        <v/>
      </c>
      <c r="O596" s="957"/>
      <c r="P596" s="957"/>
      <c r="Q596" s="957"/>
      <c r="R596" s="957"/>
      <c r="S596" s="957"/>
      <c r="T596" s="1334" t="s">
        <v>648</v>
      </c>
      <c r="U596" s="957"/>
    </row>
    <row r="597" spans="1:21" ht="30.75" thickBot="1" x14ac:dyDescent="0.3">
      <c r="A597" s="565"/>
      <c r="B597" s="957"/>
      <c r="C597" s="951" t="s">
        <v>1496</v>
      </c>
      <c r="D597" s="1941" t="s">
        <v>648</v>
      </c>
      <c r="E597" s="1924"/>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923" t="s">
        <v>1607</v>
      </c>
      <c r="E599" s="1890"/>
      <c r="F599" s="957"/>
      <c r="G599" s="957"/>
      <c r="H599" s="957"/>
      <c r="I599" s="957"/>
      <c r="J599" s="957"/>
      <c r="K599" s="957"/>
      <c r="L599" s="957"/>
      <c r="M599" s="957"/>
      <c r="N599" s="957"/>
      <c r="O599" s="957"/>
      <c r="P599" s="957"/>
      <c r="Q599" s="957"/>
      <c r="R599" s="1613">
        <f>Incentives!C292</f>
        <v>0</v>
      </c>
      <c r="S599" s="957"/>
      <c r="T599" s="133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920" t="s">
        <v>2016</v>
      </c>
      <c r="C601" s="1889"/>
      <c r="D601" s="1889"/>
      <c r="E601" s="1889"/>
      <c r="F601" s="1889"/>
      <c r="G601" s="1889"/>
      <c r="H601" s="1889"/>
      <c r="I601" s="1889"/>
      <c r="J601" s="1889"/>
      <c r="K601" s="1889"/>
      <c r="L601" s="1889"/>
      <c r="M601" s="1889"/>
      <c r="N601" s="1889"/>
      <c r="O601" s="1889"/>
      <c r="P601" s="1889"/>
      <c r="Q601" s="1889"/>
      <c r="R601" s="1889"/>
      <c r="S601" s="1889"/>
      <c r="T601" s="1889"/>
      <c r="U601" s="1890"/>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921" t="s">
        <v>1776</v>
      </c>
      <c r="E603" s="1922"/>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7" t="str">
        <f>IF(T613="Yes",Incentives!K304,"")</f>
        <v/>
      </c>
      <c r="M604" s="957"/>
      <c r="N604" s="983" t="str">
        <f>IF(AND(Incentives!M304&lt;&gt;"",T613="Yes"),Incentives!M304,"")</f>
        <v/>
      </c>
      <c r="O604" s="957"/>
      <c r="P604" s="957"/>
      <c r="Q604" s="957"/>
      <c r="R604" s="1334" t="s">
        <v>1603</v>
      </c>
      <c r="S604" s="957"/>
      <c r="T604" s="1334" t="s">
        <v>646</v>
      </c>
      <c r="U604" s="957"/>
    </row>
    <row r="605" spans="1:21" ht="30.75" thickBot="1" x14ac:dyDescent="0.3">
      <c r="A605" s="565"/>
      <c r="B605" s="957"/>
      <c r="C605" s="950" t="s">
        <v>1492</v>
      </c>
      <c r="D605" s="1923">
        <v>5308</v>
      </c>
      <c r="E605" s="1924"/>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925" t="str">
        <f>IF(T613="Yes",Incentives!E306,"")</f>
        <v/>
      </c>
      <c r="E607" s="1926"/>
      <c r="F607" s="957"/>
      <c r="G607" s="957"/>
      <c r="H607" s="1337" t="str">
        <f>IF(T613="Yes",Incentives!G307,"")</f>
        <v/>
      </c>
      <c r="I607" s="957"/>
      <c r="J607" s="957"/>
      <c r="K607" s="957"/>
      <c r="L607" s="957"/>
      <c r="M607" s="957"/>
      <c r="N607" s="957"/>
      <c r="O607" s="957"/>
      <c r="P607" s="957"/>
      <c r="Q607" s="957"/>
      <c r="R607" s="1334" t="s">
        <v>1611</v>
      </c>
      <c r="S607" s="957"/>
      <c r="T607" s="133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925" t="str">
        <f>IF(T613="Yes",Incentives!E307,"")</f>
        <v/>
      </c>
      <c r="E609" s="1926"/>
      <c r="F609" s="957"/>
      <c r="G609" s="957"/>
      <c r="H609" s="1363" t="s">
        <v>1493</v>
      </c>
      <c r="I609" s="957"/>
      <c r="J609" s="1363" t="s">
        <v>2006</v>
      </c>
      <c r="K609" s="957"/>
      <c r="L609" s="1610"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34" t="s">
        <v>648</v>
      </c>
      <c r="I610" s="957"/>
      <c r="J610" s="1027" t="str">
        <f>IF(T613="Yes",Incentives!G310,"")</f>
        <v/>
      </c>
      <c r="K610" s="957"/>
      <c r="L610" s="1611" t="str">
        <f>IF(T613="Yes",IF(R613="Yes","No","Yes"),"")</f>
        <v/>
      </c>
      <c r="M610" s="957"/>
      <c r="N610" s="1337" t="str">
        <f>IF(T613="Yes",Incentives!K310,"")</f>
        <v/>
      </c>
      <c r="O610" s="957"/>
      <c r="P610" s="957"/>
      <c r="Q610" s="957"/>
      <c r="R610" s="957"/>
      <c r="S610" s="957"/>
      <c r="T610" s="1334" t="s">
        <v>648</v>
      </c>
      <c r="U610" s="957"/>
    </row>
    <row r="611" spans="1:21" ht="30.75" thickBot="1" x14ac:dyDescent="0.3">
      <c r="A611" s="565"/>
      <c r="B611" s="957"/>
      <c r="C611" s="951" t="s">
        <v>1496</v>
      </c>
      <c r="D611" s="1941" t="s">
        <v>648</v>
      </c>
      <c r="E611" s="1924"/>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923" t="s">
        <v>1607</v>
      </c>
      <c r="E613" s="1890"/>
      <c r="F613" s="957"/>
      <c r="G613" s="957"/>
      <c r="H613" s="957"/>
      <c r="I613" s="957"/>
      <c r="J613" s="957"/>
      <c r="K613" s="957"/>
      <c r="L613" s="957"/>
      <c r="M613" s="957"/>
      <c r="N613" s="957"/>
      <c r="O613" s="957"/>
      <c r="P613" s="957"/>
      <c r="Q613" s="957"/>
      <c r="R613" s="1613">
        <f>Incentives!C303</f>
        <v>0</v>
      </c>
      <c r="S613" s="957"/>
      <c r="T613" s="133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920" t="s">
        <v>2017</v>
      </c>
      <c r="C615" s="1889"/>
      <c r="D615" s="1889"/>
      <c r="E615" s="1889"/>
      <c r="F615" s="1889"/>
      <c r="G615" s="1889"/>
      <c r="H615" s="1889"/>
      <c r="I615" s="1889"/>
      <c r="J615" s="1889"/>
      <c r="K615" s="1889"/>
      <c r="L615" s="1889"/>
      <c r="M615" s="1889"/>
      <c r="N615" s="1889"/>
      <c r="O615" s="1889"/>
      <c r="P615" s="1889"/>
      <c r="Q615" s="1889"/>
      <c r="R615" s="1889"/>
      <c r="S615" s="1889"/>
      <c r="T615" s="1889"/>
      <c r="U615" s="1890"/>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921" t="s">
        <v>1776</v>
      </c>
      <c r="E617" s="1922"/>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7" t="str">
        <f>IF(T627="Yes",Incentives!K315,"")</f>
        <v/>
      </c>
      <c r="M618" s="957"/>
      <c r="N618" s="983" t="str">
        <f>IF(AND(Incentives!M315&lt;&gt;"",T627="Yes"),Incentives!M315,"")</f>
        <v/>
      </c>
      <c r="O618" s="957"/>
      <c r="P618" s="957"/>
      <c r="Q618" s="957"/>
      <c r="R618" s="1334" t="s">
        <v>1603</v>
      </c>
      <c r="S618" s="957"/>
      <c r="T618" s="1334" t="s">
        <v>646</v>
      </c>
      <c r="U618" s="957"/>
    </row>
    <row r="619" spans="1:21" ht="30.75" thickBot="1" x14ac:dyDescent="0.3">
      <c r="A619" s="565"/>
      <c r="B619" s="957"/>
      <c r="C619" s="950" t="s">
        <v>1492</v>
      </c>
      <c r="D619" s="1923">
        <v>5309</v>
      </c>
      <c r="E619" s="1924"/>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925" t="str">
        <f>IF(T627="Yes",Incentives!E317,"")</f>
        <v/>
      </c>
      <c r="E621" s="1926"/>
      <c r="F621" s="957"/>
      <c r="G621" s="957"/>
      <c r="H621" s="1337" t="str">
        <f>IF(T627="Yes",Incentives!G318,"")</f>
        <v/>
      </c>
      <c r="I621" s="957"/>
      <c r="J621" s="957"/>
      <c r="K621" s="957"/>
      <c r="L621" s="957"/>
      <c r="M621" s="957"/>
      <c r="N621" s="957"/>
      <c r="O621" s="957"/>
      <c r="P621" s="957"/>
      <c r="Q621" s="957"/>
      <c r="R621" s="1334" t="s">
        <v>1611</v>
      </c>
      <c r="S621" s="957"/>
      <c r="T621" s="133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925" t="str">
        <f>IF(T627="Yes",Incentives!E318,"")</f>
        <v/>
      </c>
      <c r="E623" s="1926"/>
      <c r="F623" s="957"/>
      <c r="G623" s="957"/>
      <c r="H623" s="1363" t="s">
        <v>1493</v>
      </c>
      <c r="I623" s="957"/>
      <c r="J623" s="1363" t="s">
        <v>2006</v>
      </c>
      <c r="K623" s="957"/>
      <c r="L623" s="1610"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34" t="s">
        <v>648</v>
      </c>
      <c r="I624" s="957"/>
      <c r="J624" s="1027" t="str">
        <f>IF(T627="Yes",Incentives!G321,"")</f>
        <v/>
      </c>
      <c r="K624" s="957"/>
      <c r="L624" s="1611" t="str">
        <f>IF(T627="Yes",IF(R627="Yes","No","Yes"),"")</f>
        <v/>
      </c>
      <c r="M624" s="957"/>
      <c r="N624" s="1337" t="str">
        <f>IF(T627="Yes",Incentives!K321,"")</f>
        <v/>
      </c>
      <c r="O624" s="957"/>
      <c r="P624" s="957"/>
      <c r="Q624" s="957"/>
      <c r="R624" s="957"/>
      <c r="S624" s="957"/>
      <c r="T624" s="1334" t="s">
        <v>648</v>
      </c>
      <c r="U624" s="957"/>
    </row>
    <row r="625" spans="1:21" ht="30.75" thickBot="1" x14ac:dyDescent="0.3">
      <c r="A625" s="565"/>
      <c r="B625" s="957"/>
      <c r="C625" s="951" t="s">
        <v>1496</v>
      </c>
      <c r="D625" s="1941" t="s">
        <v>648</v>
      </c>
      <c r="E625" s="1924"/>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923" t="s">
        <v>1607</v>
      </c>
      <c r="E627" s="1890"/>
      <c r="F627" s="957"/>
      <c r="G627" s="957"/>
      <c r="H627" s="957"/>
      <c r="I627" s="957"/>
      <c r="J627" s="957"/>
      <c r="K627" s="957"/>
      <c r="L627" s="957"/>
      <c r="M627" s="957"/>
      <c r="N627" s="957"/>
      <c r="O627" s="957"/>
      <c r="P627" s="957"/>
      <c r="Q627" s="957"/>
      <c r="R627" s="1613">
        <f>Incentives!C314</f>
        <v>0</v>
      </c>
      <c r="S627" s="957"/>
      <c r="T627" s="133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hidden="1" customHeight="1" thickBot="1" x14ac:dyDescent="0.3">
      <c r="A629" s="565"/>
      <c r="B629" s="1920"/>
      <c r="C629" s="1889"/>
      <c r="D629" s="1889"/>
      <c r="E629" s="1889"/>
      <c r="F629" s="1889"/>
      <c r="G629" s="1889"/>
      <c r="H629" s="1889"/>
      <c r="I629" s="1889"/>
      <c r="J629" s="1889"/>
      <c r="K629" s="1889"/>
      <c r="L629" s="1889"/>
      <c r="M629" s="1889"/>
      <c r="N629" s="1889"/>
      <c r="O629" s="1889"/>
      <c r="P629" s="1889"/>
      <c r="Q629" s="1889"/>
      <c r="R629" s="1889"/>
      <c r="S629" s="1889"/>
      <c r="T629" s="1889"/>
      <c r="U629" s="1890"/>
    </row>
    <row r="630" spans="1:21" ht="15.75" hidden="1" thickBot="1" x14ac:dyDescent="0.3">
      <c r="A630" s="565"/>
      <c r="B630" s="1916"/>
      <c r="C630" s="1916"/>
      <c r="D630" s="1636"/>
      <c r="E630" s="1916"/>
      <c r="F630" s="1916"/>
      <c r="G630" s="1916"/>
      <c r="H630" s="1916"/>
      <c r="I630" s="1916"/>
      <c r="J630" s="1916"/>
      <c r="K630" s="1916"/>
      <c r="L630" s="1916"/>
      <c r="M630" s="1916"/>
      <c r="N630" s="1916"/>
      <c r="O630" s="1916"/>
      <c r="P630" s="1916"/>
      <c r="Q630" s="1916"/>
      <c r="R630" s="1916"/>
      <c r="S630" s="1916"/>
      <c r="T630" s="1916"/>
      <c r="U630" s="1635"/>
    </row>
    <row r="631" spans="1:21" ht="30.75" hidden="1" thickBot="1" x14ac:dyDescent="0.3">
      <c r="A631" s="565"/>
      <c r="B631" s="1637"/>
      <c r="C631" s="1638" t="s">
        <v>1383</v>
      </c>
      <c r="D631" s="1914" t="s">
        <v>2143</v>
      </c>
      <c r="E631" s="1915"/>
      <c r="F631" s="1909"/>
      <c r="G631" s="1912"/>
      <c r="H631" s="1025" t="s">
        <v>1380</v>
      </c>
      <c r="I631" s="1636"/>
      <c r="J631" s="1025" t="s">
        <v>1381</v>
      </c>
      <c r="K631" s="1636"/>
      <c r="L631" s="1025" t="s">
        <v>1397</v>
      </c>
      <c r="M631" s="1636"/>
      <c r="N631" s="1025" t="s">
        <v>1382</v>
      </c>
      <c r="O631" s="1913"/>
      <c r="P631" s="1910"/>
      <c r="Q631" s="1636"/>
      <c r="R631" s="1025" t="s">
        <v>1488</v>
      </c>
      <c r="S631" s="1636"/>
      <c r="T631" s="1025" t="s">
        <v>1489</v>
      </c>
      <c r="U631" s="1635"/>
    </row>
    <row r="632" spans="1:21" ht="15.75" hidden="1" thickBot="1" x14ac:dyDescent="0.3">
      <c r="A632" s="565"/>
      <c r="B632" s="1909"/>
      <c r="C632" s="1909"/>
      <c r="D632" s="1637"/>
      <c r="E632" s="1909"/>
      <c r="F632" s="1909"/>
      <c r="G632" s="1637"/>
      <c r="H632" s="897"/>
      <c r="I632" s="1636"/>
      <c r="J632" s="1639"/>
      <c r="K632" s="1636"/>
      <c r="L632" s="1640"/>
      <c r="M632" s="1636"/>
      <c r="N632" s="1641"/>
      <c r="O632" s="1913"/>
      <c r="P632" s="1910"/>
      <c r="Q632" s="1636"/>
      <c r="R632" s="1026" t="s">
        <v>2144</v>
      </c>
      <c r="S632" s="1636"/>
      <c r="T632" s="1026" t="s">
        <v>648</v>
      </c>
      <c r="U632" s="1635"/>
    </row>
    <row r="633" spans="1:21" ht="30.75" hidden="1" thickBot="1" x14ac:dyDescent="0.3">
      <c r="A633" s="565"/>
      <c r="B633" s="1637"/>
      <c r="C633" s="1638" t="s">
        <v>1492</v>
      </c>
      <c r="D633" s="1907">
        <v>5201</v>
      </c>
      <c r="E633" s="1908"/>
      <c r="F633" s="1909"/>
      <c r="G633" s="1909"/>
      <c r="H633" s="1637"/>
      <c r="I633" s="1910"/>
      <c r="J633" s="1910"/>
      <c r="K633" s="1910"/>
      <c r="L633" s="1910"/>
      <c r="M633" s="1910"/>
      <c r="N633" s="1910"/>
      <c r="O633" s="1910"/>
      <c r="P633" s="1910"/>
      <c r="Q633" s="1910"/>
      <c r="R633" s="1910"/>
      <c r="S633" s="1910"/>
      <c r="T633" s="1910"/>
      <c r="U633" s="1635"/>
    </row>
    <row r="634" spans="1:21" ht="15.75" hidden="1" thickBot="1" x14ac:dyDescent="0.3">
      <c r="A634" s="565"/>
      <c r="B634" s="1909"/>
      <c r="C634" s="1909"/>
      <c r="D634" s="1637"/>
      <c r="E634" s="1909"/>
      <c r="F634" s="1909"/>
      <c r="G634" s="1637"/>
      <c r="H634" s="1025" t="s">
        <v>1389</v>
      </c>
      <c r="I634" s="1913"/>
      <c r="J634" s="1910"/>
      <c r="K634" s="1910"/>
      <c r="L634" s="1910"/>
      <c r="M634" s="1910"/>
      <c r="N634" s="1910"/>
      <c r="O634" s="1910"/>
      <c r="P634" s="1910"/>
      <c r="Q634" s="1910"/>
      <c r="R634" s="1910"/>
      <c r="S634" s="1910"/>
      <c r="T634" s="1910"/>
      <c r="U634" s="1635"/>
    </row>
    <row r="635" spans="1:21" ht="15.75" hidden="1" thickBot="1" x14ac:dyDescent="0.3">
      <c r="A635" s="565"/>
      <c r="B635" s="1637"/>
      <c r="C635" s="1638" t="s">
        <v>1385</v>
      </c>
      <c r="D635" s="2110" t="str">
        <f>AA38</f>
        <v/>
      </c>
      <c r="E635" s="2111"/>
      <c r="F635" s="1909"/>
      <c r="G635" s="1912"/>
      <c r="H635" s="1639"/>
      <c r="I635" s="1913"/>
      <c r="J635" s="1910"/>
      <c r="K635" s="1910"/>
      <c r="L635" s="1910"/>
      <c r="M635" s="1910"/>
      <c r="N635" s="1910"/>
      <c r="O635" s="1910"/>
      <c r="P635" s="1910"/>
      <c r="Q635" s="1910"/>
      <c r="R635" s="1910"/>
      <c r="S635" s="1910"/>
      <c r="T635" s="1910"/>
      <c r="U635" s="1635"/>
    </row>
    <row r="636" spans="1:21" ht="15.75" hidden="1" thickBot="1" x14ac:dyDescent="0.3">
      <c r="A636" s="565"/>
      <c r="B636" s="1909"/>
      <c r="C636" s="1909"/>
      <c r="D636" s="1637"/>
      <c r="E636" s="1909"/>
      <c r="F636" s="1909"/>
      <c r="G636" s="1909"/>
      <c r="H636" s="1909"/>
      <c r="I636" s="1910"/>
      <c r="J636" s="1910"/>
      <c r="K636" s="1910"/>
      <c r="L636" s="1910"/>
      <c r="M636" s="1910"/>
      <c r="N636" s="1910"/>
      <c r="O636" s="1910"/>
      <c r="P636" s="1910"/>
      <c r="Q636" s="1910"/>
      <c r="R636" s="1910"/>
      <c r="S636" s="1910"/>
      <c r="T636" s="1910"/>
      <c r="U636" s="1635"/>
    </row>
    <row r="637" spans="1:21" ht="15.75" hidden="1" thickBot="1" x14ac:dyDescent="0.3">
      <c r="A637" s="565"/>
      <c r="B637" s="1637"/>
      <c r="C637" s="1638" t="s">
        <v>1386</v>
      </c>
      <c r="D637" s="2110" t="str">
        <f>AB38</f>
        <v/>
      </c>
      <c r="E637" s="2111"/>
      <c r="F637" s="1909"/>
      <c r="G637" s="1909"/>
      <c r="H637" s="1637"/>
      <c r="I637" s="1910"/>
      <c r="J637" s="1910"/>
      <c r="K637" s="1910"/>
      <c r="L637" s="1910"/>
      <c r="M637" s="1910"/>
      <c r="N637" s="1910"/>
      <c r="O637" s="1910"/>
      <c r="P637" s="1910"/>
      <c r="Q637" s="1910"/>
      <c r="R637" s="1910"/>
      <c r="S637" s="1636"/>
      <c r="T637" s="1025" t="s">
        <v>1600</v>
      </c>
      <c r="U637" s="1635"/>
    </row>
    <row r="638" spans="1:21" ht="15.75" hidden="1" thickBot="1" x14ac:dyDescent="0.3">
      <c r="A638" s="565"/>
      <c r="B638" s="1909"/>
      <c r="C638" s="1909"/>
      <c r="D638" s="1637"/>
      <c r="E638" s="1909"/>
      <c r="F638" s="1909"/>
      <c r="G638" s="1909"/>
      <c r="H638" s="1909"/>
      <c r="I638" s="1910"/>
      <c r="J638" s="1910"/>
      <c r="K638" s="1910"/>
      <c r="L638" s="1910"/>
      <c r="M638" s="1910"/>
      <c r="N638" s="1910"/>
      <c r="O638" s="1910"/>
      <c r="P638" s="1910"/>
      <c r="Q638" s="1910"/>
      <c r="R638" s="1910"/>
      <c r="S638" s="1636"/>
      <c r="T638" s="1026" t="s">
        <v>648</v>
      </c>
      <c r="U638" s="1635"/>
    </row>
    <row r="639" spans="1:21" ht="30.75" hidden="1" thickBot="1" x14ac:dyDescent="0.3">
      <c r="A639" s="565"/>
      <c r="B639" s="1637"/>
      <c r="C639" s="1642" t="s">
        <v>1496</v>
      </c>
      <c r="D639" s="1905" t="s">
        <v>646</v>
      </c>
      <c r="E639" s="1906"/>
      <c r="F639" s="1911"/>
      <c r="G639" s="1909"/>
      <c r="H639" s="1637"/>
      <c r="I639" s="1910"/>
      <c r="J639" s="1910"/>
      <c r="K639" s="1910"/>
      <c r="L639" s="1910"/>
      <c r="M639" s="1910"/>
      <c r="N639" s="1910"/>
      <c r="O639" s="1910"/>
      <c r="P639" s="1910"/>
      <c r="Q639" s="1910"/>
      <c r="R639" s="1910"/>
      <c r="S639" s="1910"/>
      <c r="T639" s="1910"/>
      <c r="U639" s="1635"/>
    </row>
    <row r="640" spans="1:21" ht="15.75" hidden="1" thickBot="1" x14ac:dyDescent="0.3">
      <c r="A640" s="565"/>
      <c r="B640" s="1909"/>
      <c r="C640" s="1909"/>
      <c r="D640" s="1637"/>
      <c r="E640" s="1909"/>
      <c r="F640" s="1909"/>
      <c r="G640" s="1909"/>
      <c r="H640" s="1909"/>
      <c r="I640" s="1910"/>
      <c r="J640" s="1910"/>
      <c r="K640" s="1910"/>
      <c r="L640" s="1910"/>
      <c r="M640" s="1910"/>
      <c r="N640" s="1910"/>
      <c r="O640" s="1910"/>
      <c r="P640" s="1910"/>
      <c r="Q640" s="1910"/>
      <c r="R640" s="1910"/>
      <c r="S640" s="1636"/>
      <c r="T640" s="1025" t="s">
        <v>523</v>
      </c>
      <c r="U640" s="1635"/>
    </row>
    <row r="641" spans="1:21" ht="15.75" hidden="1" thickBot="1" x14ac:dyDescent="0.3">
      <c r="A641" s="565"/>
      <c r="B641" s="1637"/>
      <c r="C641" s="1638" t="s">
        <v>1497</v>
      </c>
      <c r="D641" s="1907" t="s">
        <v>1498</v>
      </c>
      <c r="E641" s="1908"/>
      <c r="F641" s="1909"/>
      <c r="G641" s="1909"/>
      <c r="H641" s="1637"/>
      <c r="I641" s="1910"/>
      <c r="J641" s="1910"/>
      <c r="K641" s="1910"/>
      <c r="L641" s="1910"/>
      <c r="M641" s="1910"/>
      <c r="N641" s="1910"/>
      <c r="O641" s="1910"/>
      <c r="P641" s="1910"/>
      <c r="Q641" s="1910"/>
      <c r="R641" s="1910"/>
      <c r="S641" s="1636"/>
      <c r="T641" s="1026" t="str">
        <f>Incentives!E325</f>
        <v>No</v>
      </c>
      <c r="U641" s="1635"/>
    </row>
    <row r="642" spans="1:21" ht="15.75" hidden="1" thickBot="1" x14ac:dyDescent="0.3">
      <c r="A642" s="565"/>
      <c r="B642" s="1902"/>
      <c r="C642" s="1902"/>
      <c r="D642" s="1636"/>
      <c r="E642" s="1902"/>
      <c r="F642" s="1902"/>
      <c r="G642" s="1902"/>
      <c r="H642" s="1902"/>
      <c r="I642" s="1902"/>
      <c r="J642" s="1902"/>
      <c r="K642" s="1902"/>
      <c r="L642" s="1902"/>
      <c r="M642" s="1902"/>
      <c r="N642" s="1902"/>
      <c r="O642" s="1902"/>
      <c r="P642" s="1902"/>
      <c r="Q642" s="1902"/>
      <c r="R642" s="1902"/>
      <c r="S642" s="1902"/>
      <c r="T642" s="1902"/>
      <c r="U642" s="1635"/>
    </row>
    <row r="643" spans="1:21" ht="15.75" thickBot="1" x14ac:dyDescent="0.3">
      <c r="A643" s="565"/>
      <c r="B643" s="1903"/>
      <c r="C643" s="1904"/>
      <c r="D643" s="1904"/>
      <c r="E643" s="1904"/>
      <c r="F643" s="1904"/>
      <c r="G643" s="1904"/>
      <c r="H643" s="1904"/>
      <c r="I643" s="1904"/>
      <c r="J643" s="1904"/>
      <c r="K643" s="1904"/>
      <c r="L643" s="1904"/>
      <c r="M643" s="1904"/>
      <c r="N643" s="1904"/>
      <c r="O643" s="1904"/>
      <c r="P643" s="1904"/>
      <c r="Q643" s="1904"/>
      <c r="R643" s="1904"/>
      <c r="S643" s="1904"/>
      <c r="T643" s="1904"/>
      <c r="U643" s="1904"/>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NB1Vysb5TSC4vhA4rvt8cys3kvXtpQsmzTlM+43SdTJM+Kj+BDoBC9SAKgbj3mnHO7OGkJxdUyK6iaFDAlqZ+w==" saltValue="nAWM1xX/Rjrgra898leVSw==" spinCount="100000" sheet="1" objects="1" scenarios="1"/>
  <mergeCells count="452">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630:C630"/>
    <mergeCell ref="E630:F630"/>
    <mergeCell ref="G630:H630"/>
    <mergeCell ref="I630:J630"/>
    <mergeCell ref="K630:L630"/>
    <mergeCell ref="M630:N630"/>
    <mergeCell ref="O630:P630"/>
    <mergeCell ref="Q630:R630"/>
    <mergeCell ref="S630:T630"/>
    <mergeCell ref="D631:E631"/>
    <mergeCell ref="F631:G631"/>
    <mergeCell ref="O631:P631"/>
    <mergeCell ref="B632:C632"/>
    <mergeCell ref="E632:F632"/>
    <mergeCell ref="O632:P632"/>
    <mergeCell ref="D633:E633"/>
    <mergeCell ref="F633:G633"/>
    <mergeCell ref="I633:J633"/>
    <mergeCell ref="K633:L633"/>
    <mergeCell ref="M633:N633"/>
    <mergeCell ref="O633:P633"/>
    <mergeCell ref="Q633:R633"/>
    <mergeCell ref="S633:T633"/>
    <mergeCell ref="B634:C634"/>
    <mergeCell ref="E634:F634"/>
    <mergeCell ref="I634:J634"/>
    <mergeCell ref="K634:L634"/>
    <mergeCell ref="M634:N634"/>
    <mergeCell ref="O634:P634"/>
    <mergeCell ref="Q634:R634"/>
    <mergeCell ref="S634:T634"/>
    <mergeCell ref="D635:E635"/>
    <mergeCell ref="F635:G635"/>
    <mergeCell ref="I635:J635"/>
    <mergeCell ref="K635:L635"/>
    <mergeCell ref="M635:N635"/>
    <mergeCell ref="O635:P635"/>
    <mergeCell ref="Q635:R635"/>
    <mergeCell ref="S635:T635"/>
    <mergeCell ref="B636:C636"/>
    <mergeCell ref="E636:F636"/>
    <mergeCell ref="G636:H636"/>
    <mergeCell ref="I636:J636"/>
    <mergeCell ref="K636:L636"/>
    <mergeCell ref="M636:N636"/>
    <mergeCell ref="O636:P636"/>
    <mergeCell ref="Q636:R636"/>
    <mergeCell ref="S636:T636"/>
    <mergeCell ref="D637:E637"/>
    <mergeCell ref="F637:G637"/>
    <mergeCell ref="I637:J637"/>
    <mergeCell ref="K637:L637"/>
    <mergeCell ref="M637:N637"/>
    <mergeCell ref="O637:P637"/>
    <mergeCell ref="Q637:R637"/>
    <mergeCell ref="B638:C638"/>
    <mergeCell ref="E638:F638"/>
    <mergeCell ref="G638:H638"/>
    <mergeCell ref="I638:J638"/>
    <mergeCell ref="K638:L638"/>
    <mergeCell ref="M638:N638"/>
    <mergeCell ref="O638:P638"/>
    <mergeCell ref="Q638:R638"/>
    <mergeCell ref="S639:T639"/>
    <mergeCell ref="B640:C640"/>
    <mergeCell ref="E640:F640"/>
    <mergeCell ref="G640:H640"/>
    <mergeCell ref="I640:J640"/>
    <mergeCell ref="K640:L640"/>
    <mergeCell ref="M640:N640"/>
    <mergeCell ref="O640:P640"/>
    <mergeCell ref="Q640:R640"/>
    <mergeCell ref="S642:T642"/>
    <mergeCell ref="B643:U643"/>
    <mergeCell ref="D639:E639"/>
    <mergeCell ref="D641:E641"/>
    <mergeCell ref="F641:G641"/>
    <mergeCell ref="I641:J641"/>
    <mergeCell ref="K641:L641"/>
    <mergeCell ref="M641:N641"/>
    <mergeCell ref="O641:P641"/>
    <mergeCell ref="Q641:R641"/>
    <mergeCell ref="B642:C642"/>
    <mergeCell ref="E642:F642"/>
    <mergeCell ref="G642:H642"/>
    <mergeCell ref="I642:J642"/>
    <mergeCell ref="K642:L642"/>
    <mergeCell ref="M642:N642"/>
    <mergeCell ref="O642:P642"/>
    <mergeCell ref="Q642:R642"/>
    <mergeCell ref="F639:G639"/>
    <mergeCell ref="I639:J639"/>
    <mergeCell ref="K639:L639"/>
    <mergeCell ref="M639:N639"/>
    <mergeCell ref="O639:P639"/>
    <mergeCell ref="Q639:R639"/>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632"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7"/>
      <c r="BH1" s="1017"/>
      <c r="BI1" s="1017"/>
    </row>
    <row r="2" spans="1:61" ht="15" x14ac:dyDescent="0.25">
      <c r="I2" s="498"/>
      <c r="J2" s="1946"/>
      <c r="K2" s="1946"/>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52" t="e">
        <f>VLOOKUP($J$4,'Market Geography'!$D:$G,4,FALSE)</f>
        <v>#N/A</v>
      </c>
      <c r="K3" s="1852"/>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52">
        <f>Welcome!$D$4</f>
        <v>0</v>
      </c>
      <c r="K4" s="1852"/>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47" t="e">
        <f>VLOOKUP($J$4,'Market Geography'!$D:$F,3,FALSE)</f>
        <v>#N/A</v>
      </c>
      <c r="K5" s="1947"/>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52" t="s">
        <v>134</v>
      </c>
      <c r="K6" s="1852"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52" t="str">
        <f>IF(Welcome!$D$10="MDA","C","N")</f>
        <v>N</v>
      </c>
      <c r="K7" s="1852"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943" t="s">
        <v>925</v>
      </c>
      <c r="AI13" s="1944"/>
      <c r="AJ13" s="1945"/>
      <c r="AK13" s="1439"/>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2067</v>
      </c>
      <c r="R14" s="494" t="s">
        <v>929</v>
      </c>
      <c r="S14" s="494" t="s">
        <v>930</v>
      </c>
      <c r="T14" s="494" t="s">
        <v>939</v>
      </c>
      <c r="U14" s="1437" t="s">
        <v>2068</v>
      </c>
      <c r="V14" s="494" t="s">
        <v>917</v>
      </c>
      <c r="W14" s="494" t="s">
        <v>918</v>
      </c>
      <c r="X14" s="494" t="s">
        <v>919</v>
      </c>
      <c r="Y14" s="1437" t="s">
        <v>2069</v>
      </c>
      <c r="Z14" s="505" t="s">
        <v>937</v>
      </c>
      <c r="AA14" s="505" t="s">
        <v>938</v>
      </c>
      <c r="AB14" s="505" t="s">
        <v>940</v>
      </c>
      <c r="AC14" s="1438" t="s">
        <v>2070</v>
      </c>
      <c r="AD14" s="495" t="s">
        <v>932</v>
      </c>
      <c r="AE14" s="495" t="s">
        <v>933</v>
      </c>
      <c r="AF14" s="495"/>
      <c r="AG14" s="507" t="s">
        <v>799</v>
      </c>
      <c r="AH14" s="508" t="s">
        <v>800</v>
      </c>
      <c r="AI14" s="508" t="s">
        <v>801</v>
      </c>
      <c r="AJ14" s="508" t="s">
        <v>802</v>
      </c>
      <c r="AK14" s="1440"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49" t="s">
        <v>970</v>
      </c>
      <c r="F1" s="1950"/>
      <c r="G1" s="1950"/>
      <c r="H1" s="1950"/>
      <c r="I1" s="1950"/>
      <c r="J1" s="1951"/>
      <c r="L1" s="1949" t="s">
        <v>969</v>
      </c>
      <c r="M1" s="1951"/>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49" t="s">
        <v>971</v>
      </c>
      <c r="F20" s="1950"/>
      <c r="G20" s="1951"/>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48" t="s">
        <v>113</v>
      </c>
      <c r="M22" s="1948"/>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49" t="s">
        <v>969</v>
      </c>
      <c r="M23" s="1951"/>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48" t="s">
        <v>972</v>
      </c>
      <c r="F28" s="1948"/>
      <c r="G28" s="1948"/>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9" customWidth="1"/>
    <col min="11" max="13" width="9.140625" style="799"/>
    <col min="14" max="16" width="9.140625" style="1453"/>
    <col min="17" max="17" width="12.85546875" style="799" customWidth="1"/>
    <col min="18" max="18" width="17.42578125" style="799" customWidth="1"/>
    <col min="19" max="19" width="33.5703125" style="799"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52" t="s">
        <v>804</v>
      </c>
      <c r="AD1" s="1952"/>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52" t="s">
        <v>805</v>
      </c>
      <c r="AD5" s="1952"/>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52"/>
      <c r="AD6" s="1952"/>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3"/>
      <c r="H9" s="1453"/>
      <c r="N9" s="1453"/>
      <c r="O9" s="1453"/>
      <c r="P9" s="1453"/>
      <c r="T9" s="1544"/>
      <c r="U9" s="1544"/>
      <c r="V9" s="1544"/>
      <c r="W9" s="1544"/>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3"/>
      <c r="H10" s="1453"/>
      <c r="N10" s="1453"/>
      <c r="O10" s="1453"/>
      <c r="P10" s="1453"/>
      <c r="T10" s="1544"/>
      <c r="U10" s="1544"/>
      <c r="V10" s="1544"/>
      <c r="W10" s="1544"/>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53" t="s">
        <v>954</v>
      </c>
      <c r="KD11" t="s">
        <v>950</v>
      </c>
      <c r="KM11" t="s">
        <v>951</v>
      </c>
    </row>
    <row r="12" spans="2:305" ht="13.9" customHeight="1" thickBot="1" x14ac:dyDescent="0.3">
      <c r="C12" t="s">
        <v>901</v>
      </c>
      <c r="T12" s="1551" t="s">
        <v>2090</v>
      </c>
      <c r="U12" s="1554" t="s">
        <v>2091</v>
      </c>
      <c r="V12" s="1551" t="s">
        <v>2090</v>
      </c>
      <c r="W12" s="1552" t="s">
        <v>2091</v>
      </c>
      <c r="AB12" s="82"/>
      <c r="AK12" s="357" t="s">
        <v>862</v>
      </c>
      <c r="AL12" s="358" t="s">
        <v>863</v>
      </c>
      <c r="AM12" s="359" t="s">
        <v>864</v>
      </c>
      <c r="AN12" s="360"/>
      <c r="AO12" s="360"/>
      <c r="AR12" s="357" t="s">
        <v>952</v>
      </c>
      <c r="AS12" s="360"/>
      <c r="AT12" s="360"/>
      <c r="BD12" s="1953"/>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53"/>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3">
        <f t="shared" si="14"/>
        <v>0</v>
      </c>
      <c r="L16" s="803">
        <f t="shared" si="15"/>
        <v>0</v>
      </c>
      <c r="M16" s="803">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3">
        <f t="shared" si="14"/>
        <v>0</v>
      </c>
      <c r="L17" s="803">
        <f t="shared" si="15"/>
        <v>0</v>
      </c>
      <c r="M17" s="803">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3">
        <f t="shared" si="14"/>
        <v>0</v>
      </c>
      <c r="L18" s="803">
        <f t="shared" si="15"/>
        <v>0</v>
      </c>
      <c r="M18" s="803">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3">
        <f t="shared" si="14"/>
        <v>0</v>
      </c>
      <c r="L19" s="803">
        <f t="shared" si="15"/>
        <v>0</v>
      </c>
      <c r="M19" s="803">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3">
        <f t="shared" si="14"/>
        <v>0</v>
      </c>
      <c r="L20" s="803">
        <f t="shared" si="15"/>
        <v>0</v>
      </c>
      <c r="M20" s="803">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3">
        <f t="shared" si="14"/>
        <v>0</v>
      </c>
      <c r="L21" s="803">
        <f t="shared" si="15"/>
        <v>0</v>
      </c>
      <c r="M21" s="803">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3">
        <f t="shared" si="14"/>
        <v>0</v>
      </c>
      <c r="L22" s="803">
        <f t="shared" si="15"/>
        <v>0</v>
      </c>
      <c r="M22" s="803">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3">
        <f t="shared" si="14"/>
        <v>0</v>
      </c>
      <c r="L23" s="803">
        <f t="shared" si="15"/>
        <v>0</v>
      </c>
      <c r="M23" s="803">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3">
        <f t="shared" si="14"/>
        <v>0</v>
      </c>
      <c r="L24" s="803">
        <f t="shared" si="15"/>
        <v>0</v>
      </c>
      <c r="M24" s="803">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3">
        <f t="shared" si="14"/>
        <v>0</v>
      </c>
      <c r="L25" s="803">
        <f t="shared" si="15"/>
        <v>0</v>
      </c>
      <c r="M25" s="803">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3">
        <f t="shared" si="14"/>
        <v>0</v>
      </c>
      <c r="L26" s="803">
        <f t="shared" si="15"/>
        <v>0</v>
      </c>
      <c r="M26" s="803">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3">
        <f t="shared" si="14"/>
        <v>0</v>
      </c>
      <c r="L27" s="803">
        <f t="shared" si="15"/>
        <v>0</v>
      </c>
      <c r="M27" s="803">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3">
        <f t="shared" si="14"/>
        <v>0</v>
      </c>
      <c r="L28" s="803">
        <f t="shared" si="15"/>
        <v>0</v>
      </c>
      <c r="M28" s="803">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3">
        <f t="shared" si="14"/>
        <v>0</v>
      </c>
      <c r="L29" s="803">
        <f t="shared" si="15"/>
        <v>0</v>
      </c>
      <c r="M29" s="803">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3">
        <f t="shared" si="14"/>
        <v>0</v>
      </c>
      <c r="L30" s="803">
        <f t="shared" si="15"/>
        <v>0</v>
      </c>
      <c r="M30" s="803">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3">
        <f t="shared" si="14"/>
        <v>0</v>
      </c>
      <c r="L31" s="803">
        <f t="shared" si="15"/>
        <v>0</v>
      </c>
      <c r="M31" s="803">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3">
        <f t="shared" si="14"/>
        <v>0</v>
      </c>
      <c r="L32" s="803">
        <f t="shared" si="15"/>
        <v>0</v>
      </c>
      <c r="M32" s="803">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3">
        <f t="shared" si="14"/>
        <v>0</v>
      </c>
      <c r="L33" s="803">
        <f t="shared" si="15"/>
        <v>0</v>
      </c>
      <c r="M33" s="803">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3">
        <f t="shared" si="14"/>
        <v>0</v>
      </c>
      <c r="L34" s="803">
        <f t="shared" si="15"/>
        <v>0</v>
      </c>
      <c r="M34" s="803">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3">
        <f t="shared" si="14"/>
        <v>0</v>
      </c>
      <c r="L35" s="803">
        <f t="shared" si="15"/>
        <v>0</v>
      </c>
      <c r="M35" s="803">
        <f t="shared" si="16"/>
        <v>0</v>
      </c>
      <c r="N35" s="803"/>
      <c r="O35" s="803"/>
      <c r="P35" s="803"/>
      <c r="Q35" s="380">
        <f t="shared" si="17"/>
        <v>0</v>
      </c>
      <c r="R35" s="904">
        <f t="shared" si="18"/>
        <v>0</v>
      </c>
      <c r="S35" s="804">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2094</v>
      </c>
      <c r="T37" s="277"/>
      <c r="U37" s="1545"/>
      <c r="V37" s="1545"/>
      <c r="W37" s="1545"/>
      <c r="X37" s="1545"/>
      <c r="Y37" s="1545"/>
      <c r="Z37" s="1556">
        <f>RANK(AB37,$AB$36:$AB$38)</f>
        <v>1</v>
      </c>
      <c r="AA37" s="1555" t="s">
        <v>2095</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2096</v>
      </c>
      <c r="T38" s="1561">
        <f>COUNTIF($BG$47:$JF$47,S38)</f>
        <v>0</v>
      </c>
      <c r="U38" s="1545"/>
      <c r="V38" s="1545"/>
      <c r="W38" s="1545"/>
      <c r="X38" s="1545"/>
      <c r="Y38" s="1545"/>
      <c r="Z38" s="1559">
        <f>RANK(AB38,$AB$38:$AB$38)</f>
        <v>1</v>
      </c>
      <c r="AA38" s="1560" t="s">
        <v>2096</v>
      </c>
      <c r="AB38" s="1561">
        <f>COUNTIF($BI$53:$JJ$53,AA38)</f>
        <v>0</v>
      </c>
      <c r="AC38" s="1545"/>
      <c r="AD38" s="1545"/>
      <c r="AE38" s="1545"/>
      <c r="AF38" s="1545"/>
      <c r="AG38" s="1562" t="s">
        <v>2097</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2098</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2099</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8"/>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54" t="s">
        <v>910</v>
      </c>
      <c r="AZ5" s="1955"/>
      <c r="BA5" s="412">
        <v>1757315</v>
      </c>
      <c r="BB5" s="272" t="s">
        <v>214</v>
      </c>
      <c r="BC5" s="1" t="s">
        <v>214</v>
      </c>
      <c r="BD5" s="405">
        <v>3.2000000000000001E-2</v>
      </c>
      <c r="BE5" s="405">
        <v>6.9000000000000006E-2</v>
      </c>
      <c r="BF5" s="405">
        <v>8.2000000000000003E-2</v>
      </c>
      <c r="BG5" s="405">
        <v>9.6000000000000002E-2</v>
      </c>
      <c r="BH5" s="406">
        <v>0.13300000000000001</v>
      </c>
      <c r="BK5" s="1954" t="s">
        <v>911</v>
      </c>
      <c r="BL5" s="1955"/>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57" t="s">
        <v>909</v>
      </c>
      <c r="AT10" s="1957"/>
      <c r="AY10" s="1956" t="s">
        <v>907</v>
      </c>
      <c r="AZ10" s="1956"/>
      <c r="BA10" s="1956"/>
      <c r="BB10" s="1956"/>
      <c r="BC10" s="1956"/>
      <c r="BF10" s="1956" t="s">
        <v>908</v>
      </c>
      <c r="BG10" s="1956"/>
      <c r="BH10" s="1956"/>
      <c r="BI10" s="1956"/>
      <c r="BJ10" s="1956"/>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68" t="s">
        <v>1837</v>
      </c>
      <c r="C2" s="1969"/>
      <c r="D2" s="1969"/>
      <c r="E2" s="1969"/>
      <c r="F2" s="1969"/>
      <c r="G2" s="1969"/>
      <c r="H2" s="1969"/>
      <c r="I2" s="1969"/>
      <c r="J2" s="1970"/>
      <c r="K2" s="1146"/>
      <c r="L2" s="1140"/>
      <c r="M2" s="1974" t="s">
        <v>1897</v>
      </c>
      <c r="N2" s="1975"/>
      <c r="O2" s="1976"/>
      <c r="P2" s="1977"/>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71" t="s">
        <v>1838</v>
      </c>
      <c r="C3" s="1133" t="s">
        <v>728</v>
      </c>
      <c r="D3" s="1134" t="s">
        <v>721</v>
      </c>
      <c r="E3" s="1134" t="s">
        <v>722</v>
      </c>
      <c r="F3" s="1133" t="s">
        <v>1839</v>
      </c>
      <c r="G3" s="1134" t="s">
        <v>1402</v>
      </c>
      <c r="H3" s="1133" t="s">
        <v>1840</v>
      </c>
      <c r="I3" s="1133" t="s">
        <v>1841</v>
      </c>
      <c r="J3" s="1133" t="s">
        <v>1770</v>
      </c>
      <c r="K3" s="1133" t="s">
        <v>1842</v>
      </c>
      <c r="L3" s="1140"/>
      <c r="M3" s="1147" t="s">
        <v>1898</v>
      </c>
      <c r="N3" s="1148" t="s">
        <v>523</v>
      </c>
      <c r="O3" s="1148" t="s">
        <v>1898</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72"/>
      <c r="C4" s="1135" t="str">
        <f>IF(ISBLANK('Required Info to Submit'!F8),"",'Required Info to Submit'!F8)</f>
        <v/>
      </c>
      <c r="D4" s="1454" t="str">
        <f>IF(ISBLANK('Required Info to Submit'!F14),"",'Required Info to Submit'!F14)</f>
        <v/>
      </c>
      <c r="E4" s="1454" t="str">
        <f>'Required Info to Submit'!F17</f>
        <v/>
      </c>
      <c r="F4" s="1137" t="s">
        <v>1843</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1899</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58" t="s">
        <v>1844</v>
      </c>
      <c r="C5" s="1133" t="s">
        <v>1845</v>
      </c>
      <c r="D5" s="1138" t="s">
        <v>1846</v>
      </c>
      <c r="E5" s="1138" t="s">
        <v>1847</v>
      </c>
      <c r="F5" s="1139" t="s">
        <v>729</v>
      </c>
      <c r="G5" s="1138" t="s">
        <v>1848</v>
      </c>
      <c r="H5" s="1138" t="s">
        <v>1849</v>
      </c>
      <c r="I5" s="1154"/>
      <c r="J5" s="1154"/>
      <c r="K5" s="1155"/>
      <c r="L5" s="1140"/>
      <c r="M5" s="1156" t="s">
        <v>475</v>
      </c>
      <c r="N5" s="1157" t="str" cm="1">
        <f t="array" aca="1" ref="N5" ca="1">IF(OR(INDIRECT("'Incentives'!E"&amp;'Configurable Tab'!C6+1)="Yes",INDIRECT("'Incentives'!E"&amp;'Configurable Tab'!C7+1)="Yes"),"Yes","")</f>
        <v/>
      </c>
      <c r="O5" s="1158" t="s">
        <v>1474</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73"/>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58" t="s">
        <v>1417</v>
      </c>
      <c r="C7" s="1134" t="s">
        <v>1448</v>
      </c>
      <c r="D7" s="1134" t="s">
        <v>967</v>
      </c>
      <c r="E7" s="1134" t="s">
        <v>1451</v>
      </c>
      <c r="F7" s="1134" t="s">
        <v>1454</v>
      </c>
      <c r="G7" s="1134" t="s">
        <v>1185</v>
      </c>
      <c r="H7" s="1134" t="s">
        <v>1403</v>
      </c>
      <c r="I7" s="1134" t="s">
        <v>1769</v>
      </c>
      <c r="J7" s="1142" t="s">
        <v>1453</v>
      </c>
      <c r="K7" s="1155"/>
      <c r="L7" s="1140"/>
      <c r="M7" s="1156" t="s">
        <v>1900</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1484</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73"/>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1776</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66"/>
      <c r="P9" s="1967"/>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1492</v>
      </c>
      <c r="E12" s="1133" t="s">
        <v>766</v>
      </c>
      <c r="F12" s="1133" t="s">
        <v>1497</v>
      </c>
      <c r="G12" s="1133" t="s">
        <v>1850</v>
      </c>
      <c r="H12" s="1134" t="s">
        <v>1851</v>
      </c>
      <c r="I12" s="1134" t="s">
        <v>1852</v>
      </c>
      <c r="J12" s="1133" t="s">
        <v>1853</v>
      </c>
      <c r="K12" s="1134" t="s">
        <v>1397</v>
      </c>
      <c r="L12" s="1134" t="s">
        <v>1381</v>
      </c>
      <c r="M12" s="1133" t="s">
        <v>1382</v>
      </c>
      <c r="N12" s="1133" t="s">
        <v>721</v>
      </c>
      <c r="O12" s="1133" t="s">
        <v>722</v>
      </c>
      <c r="P12" s="1134" t="s">
        <v>1496</v>
      </c>
      <c r="Q12" s="1164"/>
      <c r="R12" s="1164"/>
      <c r="S12" s="1140"/>
      <c r="T12" s="1163"/>
      <c r="U12" s="1133" t="s">
        <v>1383</v>
      </c>
      <c r="V12" s="1133" t="s">
        <v>1492</v>
      </c>
      <c r="W12" s="1133" t="s">
        <v>766</v>
      </c>
      <c r="X12" s="1133" t="s">
        <v>1497</v>
      </c>
      <c r="Y12" s="1133" t="s">
        <v>1850</v>
      </c>
      <c r="Z12" s="1134" t="s">
        <v>1851</v>
      </c>
      <c r="AA12" s="1134" t="s">
        <v>1852</v>
      </c>
      <c r="AB12" s="1133" t="s">
        <v>1853</v>
      </c>
      <c r="AC12" s="1134" t="s">
        <v>1397</v>
      </c>
      <c r="AD12" s="1134" t="s">
        <v>1381</v>
      </c>
      <c r="AE12" s="1133" t="s">
        <v>1382</v>
      </c>
      <c r="AF12" s="1133" t="s">
        <v>721</v>
      </c>
      <c r="AG12" s="1133" t="s">
        <v>722</v>
      </c>
      <c r="AH12" s="1134" t="s">
        <v>1496</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1854</v>
      </c>
      <c r="C13" s="1166" t="s">
        <v>1486</v>
      </c>
      <c r="D13" s="1167">
        <v>1201</v>
      </c>
      <c r="E13" s="1137" t="s">
        <v>2062</v>
      </c>
      <c r="F13" s="1137" t="s">
        <v>1498</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1854</v>
      </c>
      <c r="U13" s="1166" t="s">
        <v>1486</v>
      </c>
      <c r="V13" s="1167">
        <v>1202</v>
      </c>
      <c r="W13" s="1137" t="s">
        <v>2062</v>
      </c>
      <c r="X13" s="1137" t="s">
        <v>1498</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63" t="s">
        <v>1855</v>
      </c>
      <c r="C14" s="1133" t="s">
        <v>1856</v>
      </c>
      <c r="D14" s="1134" t="s">
        <v>1857</v>
      </c>
      <c r="E14" s="1169"/>
      <c r="F14" s="1169"/>
      <c r="G14" s="1169"/>
      <c r="H14" s="1169"/>
      <c r="I14" s="1169"/>
      <c r="J14" s="1169"/>
      <c r="K14" s="1169"/>
      <c r="L14" s="1169"/>
      <c r="M14" s="1169"/>
      <c r="N14" s="1169"/>
      <c r="O14" s="1169"/>
      <c r="P14" s="1170"/>
      <c r="Q14" s="1169"/>
      <c r="R14" s="1169"/>
      <c r="S14" s="1169"/>
      <c r="T14" s="1963" t="s">
        <v>1855</v>
      </c>
      <c r="U14" s="1133" t="s">
        <v>1856</v>
      </c>
      <c r="V14" s="1134" t="s">
        <v>1857</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64"/>
      <c r="C15" s="1171" t="s">
        <v>1858</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64"/>
      <c r="U15" s="1171" t="s">
        <v>1858</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65" t="s">
        <v>1859</v>
      </c>
      <c r="C16" s="1172" t="s">
        <v>1860</v>
      </c>
      <c r="D16" s="1173" t="s">
        <v>131</v>
      </c>
      <c r="E16" s="1173" t="s">
        <v>1861</v>
      </c>
      <c r="F16" s="1140"/>
      <c r="G16" s="1140"/>
      <c r="H16" s="1140"/>
      <c r="I16" s="1140"/>
      <c r="J16" s="1140"/>
      <c r="K16" s="1140"/>
      <c r="L16" s="1140"/>
      <c r="M16" s="1140"/>
      <c r="N16" s="1140"/>
      <c r="O16" s="1140"/>
      <c r="P16" s="1141"/>
      <c r="Q16" s="1140"/>
      <c r="R16" s="1140"/>
      <c r="S16" s="1140"/>
      <c r="T16" s="1965" t="s">
        <v>1859</v>
      </c>
      <c r="U16" s="1172" t="s">
        <v>1860</v>
      </c>
      <c r="V16" s="1173" t="s">
        <v>131</v>
      </c>
      <c r="W16" s="1173" t="s">
        <v>1861</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59"/>
      <c r="C17" s="1174" t="s">
        <v>1862</v>
      </c>
      <c r="D17" s="1174" t="s">
        <v>1863</v>
      </c>
      <c r="E17" s="1175"/>
      <c r="F17" s="1140"/>
      <c r="G17" s="1140"/>
      <c r="H17" s="1140"/>
      <c r="I17" s="1140"/>
      <c r="J17" s="1140"/>
      <c r="K17" s="1140"/>
      <c r="L17" s="1140"/>
      <c r="M17" s="1140"/>
      <c r="N17" s="1140"/>
      <c r="O17" s="1140"/>
      <c r="P17" s="1141"/>
      <c r="Q17" s="1140"/>
      <c r="R17" s="1140"/>
      <c r="S17" s="1140"/>
      <c r="T17" s="1959"/>
      <c r="U17" s="1174" t="s">
        <v>1862</v>
      </c>
      <c r="V17" s="1174" t="s">
        <v>1863</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59"/>
      <c r="C18" s="1176" t="s">
        <v>1862</v>
      </c>
      <c r="D18" s="1176" t="s">
        <v>1864</v>
      </c>
      <c r="E18" s="1177" t="s">
        <v>1865</v>
      </c>
      <c r="F18" s="1140"/>
      <c r="G18" s="1140"/>
      <c r="H18" s="1140"/>
      <c r="I18" s="1140"/>
      <c r="J18" s="1140"/>
      <c r="K18" s="1140"/>
      <c r="L18" s="1140"/>
      <c r="M18" s="1140"/>
      <c r="N18" s="1140"/>
      <c r="O18" s="1140"/>
      <c r="P18" s="1141"/>
      <c r="Q18" s="1140"/>
      <c r="R18" s="1140"/>
      <c r="S18" s="1140"/>
      <c r="T18" s="1959"/>
      <c r="U18" s="1176" t="s">
        <v>1862</v>
      </c>
      <c r="V18" s="1176" t="s">
        <v>1864</v>
      </c>
      <c r="W18" s="1177" t="s">
        <v>1865</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59"/>
      <c r="C19" s="1176" t="s">
        <v>1862</v>
      </c>
      <c r="D19" s="1176" t="s">
        <v>1866</v>
      </c>
      <c r="E19" s="1177" t="s">
        <v>1700</v>
      </c>
      <c r="F19" s="1140"/>
      <c r="G19" s="1140"/>
      <c r="H19" s="1140"/>
      <c r="I19" s="1140"/>
      <c r="J19" s="1140"/>
      <c r="K19" s="1140"/>
      <c r="L19" s="1140"/>
      <c r="M19" s="1140"/>
      <c r="N19" s="1140"/>
      <c r="O19" s="1140"/>
      <c r="P19" s="1141"/>
      <c r="Q19" s="1140"/>
      <c r="R19" s="1140"/>
      <c r="S19" s="1140"/>
      <c r="T19" s="1959"/>
      <c r="U19" s="1176" t="s">
        <v>1862</v>
      </c>
      <c r="V19" s="1176" t="s">
        <v>1866</v>
      </c>
      <c r="W19" s="1177" t="s">
        <v>1700</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60"/>
      <c r="C20" s="1178" t="s">
        <v>1862</v>
      </c>
      <c r="D20" s="1178" t="s">
        <v>1867</v>
      </c>
      <c r="E20" s="1179" t="s">
        <v>1868</v>
      </c>
      <c r="F20" s="1140"/>
      <c r="G20" s="1140"/>
      <c r="H20" s="1140"/>
      <c r="I20" s="1140"/>
      <c r="J20" s="1140"/>
      <c r="K20" s="1140"/>
      <c r="L20" s="1140"/>
      <c r="M20" s="1140"/>
      <c r="N20" s="1140"/>
      <c r="O20" s="1140"/>
      <c r="P20" s="1141"/>
      <c r="Q20" s="1140"/>
      <c r="R20" s="1140"/>
      <c r="S20" s="1140"/>
      <c r="T20" s="1960"/>
      <c r="U20" s="1178" t="s">
        <v>1862</v>
      </c>
      <c r="V20" s="1178" t="s">
        <v>1867</v>
      </c>
      <c r="W20" s="1179" t="s">
        <v>1868</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58" t="s">
        <v>1869</v>
      </c>
      <c r="C21" s="1180" t="s">
        <v>1870</v>
      </c>
      <c r="D21" s="1181" t="s">
        <v>1860</v>
      </c>
      <c r="E21" s="1181" t="s">
        <v>131</v>
      </c>
      <c r="F21" s="1181" t="s">
        <v>1861</v>
      </c>
      <c r="G21" s="1181" t="s">
        <v>1871</v>
      </c>
      <c r="H21" s="1182" t="s">
        <v>1872</v>
      </c>
      <c r="I21" s="1183" t="s">
        <v>766</v>
      </c>
      <c r="J21" s="1183" t="s">
        <v>767</v>
      </c>
      <c r="K21" s="1183" t="s">
        <v>768</v>
      </c>
      <c r="L21" s="1183" t="s">
        <v>769</v>
      </c>
      <c r="M21" s="1183" t="s">
        <v>204</v>
      </c>
      <c r="N21" s="1140"/>
      <c r="O21" s="1140"/>
      <c r="P21" s="1141"/>
      <c r="Q21" s="1140"/>
      <c r="R21" s="1140"/>
      <c r="S21" s="1140"/>
      <c r="T21" s="1958" t="s">
        <v>1869</v>
      </c>
      <c r="U21" s="1180" t="s">
        <v>1870</v>
      </c>
      <c r="V21" s="1181" t="s">
        <v>1860</v>
      </c>
      <c r="W21" s="1181" t="s">
        <v>131</v>
      </c>
      <c r="X21" s="1181" t="s">
        <v>1861</v>
      </c>
      <c r="Y21" s="1181" t="s">
        <v>1871</v>
      </c>
      <c r="Z21" s="1182" t="s">
        <v>1872</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59"/>
      <c r="C22" s="1184">
        <v>1</v>
      </c>
      <c r="D22" s="1177" t="s">
        <v>1873</v>
      </c>
      <c r="E22" s="1177" t="s">
        <v>1427</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59"/>
      <c r="U22" s="1185">
        <v>1</v>
      </c>
      <c r="V22" s="1186" t="s">
        <v>1873</v>
      </c>
      <c r="W22" s="1186" t="s">
        <v>1427</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59"/>
      <c r="C23" s="1187">
        <v>2</v>
      </c>
      <c r="D23" s="1177" t="s">
        <v>1873</v>
      </c>
      <c r="E23" s="1177" t="s">
        <v>1427</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59"/>
      <c r="U23" s="1188">
        <v>2</v>
      </c>
      <c r="V23" s="1186" t="s">
        <v>1873</v>
      </c>
      <c r="W23" s="1186" t="s">
        <v>1427</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59"/>
      <c r="C24" s="1187">
        <v>3</v>
      </c>
      <c r="D24" s="1177" t="s">
        <v>1873</v>
      </c>
      <c r="E24" s="1177" t="s">
        <v>1427</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59"/>
      <c r="U24" s="1188">
        <v>3</v>
      </c>
      <c r="V24" s="1186" t="s">
        <v>1873</v>
      </c>
      <c r="W24" s="1186" t="s">
        <v>1427</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59"/>
      <c r="C25" s="1187">
        <v>4</v>
      </c>
      <c r="D25" s="1177" t="s">
        <v>1873</v>
      </c>
      <c r="E25" s="1177" t="s">
        <v>1427</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59"/>
      <c r="U25" s="1188">
        <v>4</v>
      </c>
      <c r="V25" s="1186" t="s">
        <v>1873</v>
      </c>
      <c r="W25" s="1186" t="s">
        <v>1427</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59"/>
      <c r="C26" s="1187">
        <v>5</v>
      </c>
      <c r="D26" s="1177" t="s">
        <v>1873</v>
      </c>
      <c r="E26" s="1177" t="s">
        <v>1427</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59"/>
      <c r="U26" s="1188">
        <v>5</v>
      </c>
      <c r="V26" s="1186" t="s">
        <v>1873</v>
      </c>
      <c r="W26" s="1186" t="s">
        <v>1427</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59"/>
      <c r="C27" s="1187">
        <v>6</v>
      </c>
      <c r="D27" s="1177" t="s">
        <v>1873</v>
      </c>
      <c r="E27" s="1177" t="s">
        <v>1427</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59"/>
      <c r="U27" s="1188">
        <v>6</v>
      </c>
      <c r="V27" s="1186" t="s">
        <v>1873</v>
      </c>
      <c r="W27" s="1186" t="s">
        <v>1427</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59"/>
      <c r="C28" s="1187">
        <v>7</v>
      </c>
      <c r="D28" s="1177" t="s">
        <v>1873</v>
      </c>
      <c r="E28" s="1177" t="s">
        <v>1427</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59"/>
      <c r="U28" s="1188">
        <v>7</v>
      </c>
      <c r="V28" s="1186" t="s">
        <v>1873</v>
      </c>
      <c r="W28" s="1186" t="s">
        <v>1427</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59"/>
      <c r="C29" s="1187">
        <v>8</v>
      </c>
      <c r="D29" s="1177" t="s">
        <v>1873</v>
      </c>
      <c r="E29" s="1177" t="s">
        <v>1427</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59"/>
      <c r="U29" s="1188">
        <v>8</v>
      </c>
      <c r="V29" s="1186" t="s">
        <v>1873</v>
      </c>
      <c r="W29" s="1186" t="s">
        <v>1427</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59"/>
      <c r="C30" s="1187">
        <v>9</v>
      </c>
      <c r="D30" s="1177" t="s">
        <v>1873</v>
      </c>
      <c r="E30" s="1177" t="s">
        <v>1427</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59"/>
      <c r="U30" s="1188">
        <v>9</v>
      </c>
      <c r="V30" s="1186" t="s">
        <v>1873</v>
      </c>
      <c r="W30" s="1186" t="s">
        <v>1427</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60"/>
      <c r="C31" s="1189">
        <v>10</v>
      </c>
      <c r="D31" s="1179" t="s">
        <v>1873</v>
      </c>
      <c r="E31" s="1179" t="s">
        <v>1427</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60"/>
      <c r="U31" s="1191">
        <v>10</v>
      </c>
      <c r="V31" s="1192" t="s">
        <v>1873</v>
      </c>
      <c r="W31" s="1192" t="s">
        <v>1427</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1492</v>
      </c>
      <c r="E34" s="1133" t="s">
        <v>766</v>
      </c>
      <c r="F34" s="1133" t="s">
        <v>1497</v>
      </c>
      <c r="G34" s="1133" t="s">
        <v>1850</v>
      </c>
      <c r="H34" s="1134" t="s">
        <v>1851</v>
      </c>
      <c r="I34" s="1134" t="s">
        <v>1852</v>
      </c>
      <c r="J34" s="1133" t="s">
        <v>1874</v>
      </c>
      <c r="K34" s="1133" t="s">
        <v>1853</v>
      </c>
      <c r="L34" s="1134" t="s">
        <v>1397</v>
      </c>
      <c r="M34" s="1134" t="s">
        <v>1381</v>
      </c>
      <c r="N34" s="1133" t="s">
        <v>1382</v>
      </c>
      <c r="O34" s="1133" t="s">
        <v>721</v>
      </c>
      <c r="P34" s="1133" t="s">
        <v>722</v>
      </c>
      <c r="Q34" s="1134" t="s">
        <v>1496</v>
      </c>
      <c r="R34" s="1140"/>
      <c r="S34" s="1140"/>
      <c r="T34" s="1163"/>
      <c r="U34" s="1133" t="s">
        <v>1383</v>
      </c>
      <c r="V34" s="1133" t="s">
        <v>1492</v>
      </c>
      <c r="W34" s="1133" t="s">
        <v>766</v>
      </c>
      <c r="X34" s="1133" t="s">
        <v>1497</v>
      </c>
      <c r="Y34" s="1133" t="s">
        <v>1850</v>
      </c>
      <c r="Z34" s="1134" t="s">
        <v>1851</v>
      </c>
      <c r="AA34" s="1134" t="s">
        <v>1852</v>
      </c>
      <c r="AB34" s="1133" t="s">
        <v>1874</v>
      </c>
      <c r="AC34" s="1133" t="s">
        <v>1853</v>
      </c>
      <c r="AD34" s="1134" t="s">
        <v>1397</v>
      </c>
      <c r="AE34" s="1134" t="s">
        <v>1381</v>
      </c>
      <c r="AF34" s="1133" t="s">
        <v>1382</v>
      </c>
      <c r="AG34" s="1133" t="s">
        <v>721</v>
      </c>
      <c r="AH34" s="1133" t="s">
        <v>722</v>
      </c>
      <c r="AI34" s="1134" t="s">
        <v>1496</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1854</v>
      </c>
      <c r="C35" s="1166" t="s">
        <v>1501</v>
      </c>
      <c r="D35" s="1167">
        <v>1401</v>
      </c>
      <c r="E35" s="1137" t="s">
        <v>2063</v>
      </c>
      <c r="F35" s="1137" t="s">
        <v>1498</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1854</v>
      </c>
      <c r="U35" s="1166" t="s">
        <v>1501</v>
      </c>
      <c r="V35" s="1167">
        <v>1402</v>
      </c>
      <c r="W35" s="1137" t="s">
        <v>2063</v>
      </c>
      <c r="X35" s="1137" t="s">
        <v>1498</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58" t="s">
        <v>1855</v>
      </c>
      <c r="C36" s="1193" t="s">
        <v>1875</v>
      </c>
      <c r="D36" s="1133" t="s">
        <v>1876</v>
      </c>
      <c r="E36" s="1134" t="s">
        <v>1359</v>
      </c>
      <c r="F36" s="1134" t="s">
        <v>1877</v>
      </c>
      <c r="G36" s="1133" t="s">
        <v>1878</v>
      </c>
      <c r="H36" s="1194" t="s">
        <v>1879</v>
      </c>
      <c r="I36" s="1194" t="s">
        <v>1880</v>
      </c>
      <c r="J36" s="1194" t="s">
        <v>1881</v>
      </c>
      <c r="K36" s="1195"/>
      <c r="L36" s="1195"/>
      <c r="M36" s="1195"/>
      <c r="N36" s="1195"/>
      <c r="O36" s="1195"/>
      <c r="P36" s="1195"/>
      <c r="Q36" s="1196"/>
      <c r="R36" s="1195"/>
      <c r="S36" s="1195"/>
      <c r="T36" s="1958" t="s">
        <v>1855</v>
      </c>
      <c r="U36" s="1197" t="s">
        <v>1875</v>
      </c>
      <c r="V36" s="1133" t="s">
        <v>1876</v>
      </c>
      <c r="W36" s="1134" t="s">
        <v>1359</v>
      </c>
      <c r="X36" s="1133" t="s">
        <v>1877</v>
      </c>
      <c r="Y36" s="1133" t="s">
        <v>1878</v>
      </c>
      <c r="Z36" s="1194" t="s">
        <v>1879</v>
      </c>
      <c r="AA36" s="1194" t="s">
        <v>1880</v>
      </c>
      <c r="AB36" s="1198" t="s">
        <v>1881</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61"/>
      <c r="C37" s="1199" t="s">
        <v>1882</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1883</v>
      </c>
      <c r="I37" s="1135" t="s">
        <v>1884</v>
      </c>
      <c r="J37" s="1168" t="str" cm="1">
        <f t="array" aca="1" ref="J37" ca="1">INDIRECT("'Incentives Worksheet'!N"&amp;'Configurable Tab'!H5+6)</f>
        <v>%</v>
      </c>
      <c r="K37" s="1169"/>
      <c r="L37" s="1169"/>
      <c r="M37" s="1169"/>
      <c r="N37" s="1169"/>
      <c r="O37" s="1169"/>
      <c r="P37" s="1169"/>
      <c r="Q37" s="1141"/>
      <c r="R37" s="1140"/>
      <c r="S37" s="1140"/>
      <c r="T37" s="1961"/>
      <c r="U37" s="1199" t="s">
        <v>1882</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1883</v>
      </c>
      <c r="AA37" s="1135" t="s">
        <v>1884</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59"/>
      <c r="C38" s="1203" t="s">
        <v>1885</v>
      </c>
      <c r="D38" s="1204" t="s">
        <v>126</v>
      </c>
      <c r="E38" s="1205" t="s">
        <v>128</v>
      </c>
      <c r="F38" s="1206" t="s">
        <v>1104</v>
      </c>
      <c r="G38" s="1169"/>
      <c r="H38" s="1169"/>
      <c r="I38" s="1169"/>
      <c r="J38" s="1169"/>
      <c r="K38" s="1169"/>
      <c r="L38" s="1169"/>
      <c r="M38" s="1169"/>
      <c r="N38" s="1169"/>
      <c r="O38" s="1169"/>
      <c r="P38" s="1169"/>
      <c r="Q38" s="1170"/>
      <c r="R38" s="1140"/>
      <c r="S38" s="1140"/>
      <c r="T38" s="1959"/>
      <c r="U38" s="1207" t="s">
        <v>1885</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59"/>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59"/>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60"/>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60"/>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58" t="s">
        <v>1859</v>
      </c>
      <c r="C41" s="1224" t="s">
        <v>1860</v>
      </c>
      <c r="D41" s="1225" t="s">
        <v>131</v>
      </c>
      <c r="E41" s="1225" t="s">
        <v>1861</v>
      </c>
      <c r="F41" s="1140"/>
      <c r="G41" s="1140"/>
      <c r="H41" s="1140"/>
      <c r="I41" s="1140"/>
      <c r="J41" s="1140"/>
      <c r="K41" s="1140"/>
      <c r="L41" s="1140"/>
      <c r="M41" s="1140"/>
      <c r="N41" s="1140"/>
      <c r="O41" s="1140"/>
      <c r="P41" s="1140"/>
      <c r="Q41" s="1141"/>
      <c r="R41" s="1140"/>
      <c r="S41" s="1140"/>
      <c r="T41" s="1958" t="s">
        <v>1859</v>
      </c>
      <c r="U41" s="1224" t="s">
        <v>1860</v>
      </c>
      <c r="V41" s="1225" t="s">
        <v>131</v>
      </c>
      <c r="W41" s="1173" t="s">
        <v>1861</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61"/>
      <c r="C42" s="1174" t="s">
        <v>1862</v>
      </c>
      <c r="D42" s="1174" t="s">
        <v>1863</v>
      </c>
      <c r="E42" s="1175"/>
      <c r="F42" s="1140"/>
      <c r="G42" s="1140"/>
      <c r="H42" s="1140"/>
      <c r="I42" s="1140"/>
      <c r="J42" s="1140"/>
      <c r="K42" s="1140"/>
      <c r="L42" s="1140"/>
      <c r="M42" s="1140"/>
      <c r="N42" s="1140"/>
      <c r="O42" s="1140"/>
      <c r="P42" s="1140"/>
      <c r="Q42" s="1141"/>
      <c r="R42" s="1140"/>
      <c r="S42" s="1140"/>
      <c r="T42" s="1961"/>
      <c r="U42" s="1174" t="s">
        <v>1862</v>
      </c>
      <c r="V42" s="1174" t="s">
        <v>1863</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61"/>
      <c r="C43" s="1176" t="s">
        <v>1862</v>
      </c>
      <c r="D43" s="1176" t="s">
        <v>1864</v>
      </c>
      <c r="E43" s="1177" t="s">
        <v>1865</v>
      </c>
      <c r="F43" s="1140"/>
      <c r="G43" s="1140"/>
      <c r="H43" s="1140"/>
      <c r="I43" s="1140"/>
      <c r="J43" s="1140"/>
      <c r="K43" s="1140"/>
      <c r="L43" s="1140"/>
      <c r="M43" s="1140"/>
      <c r="N43" s="1140"/>
      <c r="O43" s="1140"/>
      <c r="P43" s="1140"/>
      <c r="Q43" s="1141"/>
      <c r="R43" s="1140"/>
      <c r="S43" s="1140"/>
      <c r="T43" s="1961"/>
      <c r="U43" s="1176" t="s">
        <v>1862</v>
      </c>
      <c r="V43" s="1176" t="s">
        <v>1864</v>
      </c>
      <c r="W43" s="1177" t="s">
        <v>1865</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61"/>
      <c r="C44" s="1176" t="s">
        <v>1862</v>
      </c>
      <c r="D44" s="1176" t="s">
        <v>1866</v>
      </c>
      <c r="E44" s="1177" t="s">
        <v>1700</v>
      </c>
      <c r="F44" s="1140"/>
      <c r="G44" s="1140"/>
      <c r="H44" s="1140"/>
      <c r="I44" s="1140"/>
      <c r="J44" s="1140"/>
      <c r="K44" s="1140"/>
      <c r="L44" s="1140"/>
      <c r="M44" s="1140"/>
      <c r="N44" s="1140"/>
      <c r="O44" s="1140"/>
      <c r="P44" s="1140"/>
      <c r="Q44" s="1141"/>
      <c r="R44" s="1140"/>
      <c r="S44" s="1140"/>
      <c r="T44" s="1961"/>
      <c r="U44" s="1176" t="s">
        <v>1862</v>
      </c>
      <c r="V44" s="1176" t="s">
        <v>1866</v>
      </c>
      <c r="W44" s="1177" t="s">
        <v>1700</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62"/>
      <c r="C45" s="1178" t="s">
        <v>1862</v>
      </c>
      <c r="D45" s="1178" t="s">
        <v>1867</v>
      </c>
      <c r="E45" s="1179" t="s">
        <v>1868</v>
      </c>
      <c r="F45" s="1140"/>
      <c r="G45" s="1140"/>
      <c r="H45" s="1140"/>
      <c r="I45" s="1140"/>
      <c r="J45" s="1140"/>
      <c r="K45" s="1140"/>
      <c r="L45" s="1140"/>
      <c r="M45" s="1140"/>
      <c r="N45" s="1140"/>
      <c r="O45" s="1140"/>
      <c r="P45" s="1140"/>
      <c r="Q45" s="1141"/>
      <c r="R45" s="1140"/>
      <c r="S45" s="1140"/>
      <c r="T45" s="1962"/>
      <c r="U45" s="1178" t="s">
        <v>1862</v>
      </c>
      <c r="V45" s="1178" t="s">
        <v>1867</v>
      </c>
      <c r="W45" s="1179" t="s">
        <v>1868</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58" t="s">
        <v>1869</v>
      </c>
      <c r="C46" s="1180" t="s">
        <v>1870</v>
      </c>
      <c r="D46" s="1181" t="s">
        <v>1860</v>
      </c>
      <c r="E46" s="1181" t="s">
        <v>131</v>
      </c>
      <c r="F46" s="1181" t="s">
        <v>1861</v>
      </c>
      <c r="G46" s="1181" t="s">
        <v>1871</v>
      </c>
      <c r="H46" s="1182" t="s">
        <v>1872</v>
      </c>
      <c r="I46" s="1183" t="s">
        <v>766</v>
      </c>
      <c r="J46" s="1183" t="s">
        <v>767</v>
      </c>
      <c r="K46" s="1183" t="s">
        <v>768</v>
      </c>
      <c r="L46" s="1183" t="s">
        <v>769</v>
      </c>
      <c r="M46" s="1183" t="s">
        <v>204</v>
      </c>
      <c r="N46" s="1140"/>
      <c r="O46" s="1140"/>
      <c r="P46" s="1140"/>
      <c r="Q46" s="1141"/>
      <c r="R46" s="1140"/>
      <c r="S46" s="1140"/>
      <c r="T46" s="1958" t="s">
        <v>1869</v>
      </c>
      <c r="U46" s="1180" t="s">
        <v>1870</v>
      </c>
      <c r="V46" s="1181" t="s">
        <v>1860</v>
      </c>
      <c r="W46" s="1181" t="s">
        <v>131</v>
      </c>
      <c r="X46" s="1181" t="s">
        <v>1861</v>
      </c>
      <c r="Y46" s="1181" t="s">
        <v>1871</v>
      </c>
      <c r="Z46" s="1182" t="s">
        <v>1872</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59"/>
      <c r="C47" s="1184">
        <v>1</v>
      </c>
      <c r="D47" s="1177" t="s">
        <v>1873</v>
      </c>
      <c r="E47" s="1177" t="s">
        <v>1427</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59"/>
      <c r="U47" s="1184">
        <v>1</v>
      </c>
      <c r="V47" s="1177" t="s">
        <v>1873</v>
      </c>
      <c r="W47" s="1177" t="s">
        <v>1427</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59"/>
      <c r="C48" s="1187">
        <v>2</v>
      </c>
      <c r="D48" s="1177" t="s">
        <v>1873</v>
      </c>
      <c r="E48" s="1177" t="s">
        <v>1427</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59"/>
      <c r="U48" s="1187">
        <v>2</v>
      </c>
      <c r="V48" s="1177" t="s">
        <v>1873</v>
      </c>
      <c r="W48" s="1177" t="s">
        <v>1427</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59"/>
      <c r="C49" s="1187">
        <v>3</v>
      </c>
      <c r="D49" s="1177" t="s">
        <v>1873</v>
      </c>
      <c r="E49" s="1177" t="s">
        <v>1427</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59"/>
      <c r="U49" s="1187">
        <v>3</v>
      </c>
      <c r="V49" s="1177" t="s">
        <v>1873</v>
      </c>
      <c r="W49" s="1177" t="s">
        <v>1427</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59"/>
      <c r="C50" s="1187">
        <v>4</v>
      </c>
      <c r="D50" s="1177" t="s">
        <v>1873</v>
      </c>
      <c r="E50" s="1177" t="s">
        <v>1427</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59"/>
      <c r="U50" s="1187">
        <v>4</v>
      </c>
      <c r="V50" s="1177" t="s">
        <v>1873</v>
      </c>
      <c r="W50" s="1177" t="s">
        <v>1427</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59"/>
      <c r="C51" s="1187">
        <v>5</v>
      </c>
      <c r="D51" s="1177" t="s">
        <v>1873</v>
      </c>
      <c r="E51" s="1177" t="s">
        <v>1427</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59"/>
      <c r="U51" s="1187">
        <v>5</v>
      </c>
      <c r="V51" s="1177" t="s">
        <v>1873</v>
      </c>
      <c r="W51" s="1177" t="s">
        <v>1427</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59"/>
      <c r="C52" s="1187">
        <v>6</v>
      </c>
      <c r="D52" s="1177" t="s">
        <v>1873</v>
      </c>
      <c r="E52" s="1177" t="s">
        <v>1427</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59"/>
      <c r="U52" s="1187">
        <v>6</v>
      </c>
      <c r="V52" s="1177" t="s">
        <v>1873</v>
      </c>
      <c r="W52" s="1177" t="s">
        <v>1427</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59"/>
      <c r="C53" s="1187">
        <v>7</v>
      </c>
      <c r="D53" s="1177" t="s">
        <v>1873</v>
      </c>
      <c r="E53" s="1177" t="s">
        <v>1427</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59"/>
      <c r="U53" s="1187">
        <v>7</v>
      </c>
      <c r="V53" s="1177" t="s">
        <v>1873</v>
      </c>
      <c r="W53" s="1177" t="s">
        <v>1427</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59"/>
      <c r="C54" s="1187">
        <v>8</v>
      </c>
      <c r="D54" s="1177" t="s">
        <v>1873</v>
      </c>
      <c r="E54" s="1177" t="s">
        <v>1427</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59"/>
      <c r="U54" s="1187">
        <v>8</v>
      </c>
      <c r="V54" s="1177" t="s">
        <v>1873</v>
      </c>
      <c r="W54" s="1177" t="s">
        <v>1427</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59"/>
      <c r="C55" s="1187">
        <v>9</v>
      </c>
      <c r="D55" s="1177" t="s">
        <v>1873</v>
      </c>
      <c r="E55" s="1177" t="s">
        <v>1427</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59"/>
      <c r="U55" s="1187">
        <v>9</v>
      </c>
      <c r="V55" s="1177" t="s">
        <v>1873</v>
      </c>
      <c r="W55" s="1177" t="s">
        <v>1427</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60"/>
      <c r="C56" s="1189">
        <v>10</v>
      </c>
      <c r="D56" s="1179" t="s">
        <v>1873</v>
      </c>
      <c r="E56" s="1179" t="s">
        <v>1427</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60"/>
      <c r="U56" s="1189">
        <v>10</v>
      </c>
      <c r="V56" s="1179" t="s">
        <v>1873</v>
      </c>
      <c r="W56" s="1179" t="s">
        <v>1427</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1492</v>
      </c>
      <c r="E59" s="1133" t="s">
        <v>766</v>
      </c>
      <c r="F59" s="1133" t="s">
        <v>1497</v>
      </c>
      <c r="G59" s="1133" t="s">
        <v>1850</v>
      </c>
      <c r="H59" s="1134" t="s">
        <v>1851</v>
      </c>
      <c r="I59" s="1134" t="s">
        <v>1852</v>
      </c>
      <c r="J59" s="1133" t="s">
        <v>1874</v>
      </c>
      <c r="K59" s="1133" t="s">
        <v>1853</v>
      </c>
      <c r="L59" s="1134" t="s">
        <v>1397</v>
      </c>
      <c r="M59" s="1134" t="s">
        <v>1381</v>
      </c>
      <c r="N59" s="1133" t="s">
        <v>1382</v>
      </c>
      <c r="O59" s="1133" t="s">
        <v>721</v>
      </c>
      <c r="P59" s="1133" t="s">
        <v>722</v>
      </c>
      <c r="Q59" s="1134" t="s">
        <v>1496</v>
      </c>
      <c r="R59" s="1140"/>
      <c r="S59" s="1140"/>
      <c r="T59" s="1163"/>
      <c r="U59" s="1133" t="s">
        <v>1383</v>
      </c>
      <c r="V59" s="1133" t="s">
        <v>1492</v>
      </c>
      <c r="W59" s="1133" t="s">
        <v>766</v>
      </c>
      <c r="X59" s="1133" t="s">
        <v>1497</v>
      </c>
      <c r="Y59" s="1133" t="s">
        <v>1850</v>
      </c>
      <c r="Z59" s="1134" t="s">
        <v>1851</v>
      </c>
      <c r="AA59" s="1134" t="s">
        <v>1852</v>
      </c>
      <c r="AB59" s="1133" t="s">
        <v>1874</v>
      </c>
      <c r="AC59" s="1133" t="s">
        <v>1853</v>
      </c>
      <c r="AD59" s="1134" t="s">
        <v>1397</v>
      </c>
      <c r="AE59" s="1134" t="s">
        <v>1381</v>
      </c>
      <c r="AF59" s="1133" t="s">
        <v>1382</v>
      </c>
      <c r="AG59" s="1133" t="s">
        <v>721</v>
      </c>
      <c r="AH59" s="1133" t="s">
        <v>722</v>
      </c>
      <c r="AI59" s="1134" t="s">
        <v>1496</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1854</v>
      </c>
      <c r="C60" s="1166" t="s">
        <v>1514</v>
      </c>
      <c r="D60" s="1167">
        <v>1501</v>
      </c>
      <c r="E60" s="1137" t="s">
        <v>2064</v>
      </c>
      <c r="F60" s="1137" t="s">
        <v>1498</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1854</v>
      </c>
      <c r="U60" s="1166" t="s">
        <v>1514</v>
      </c>
      <c r="V60" s="1167">
        <v>1502</v>
      </c>
      <c r="W60" s="1137" t="s">
        <v>2064</v>
      </c>
      <c r="X60" s="1137" t="s">
        <v>1498</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58" t="s">
        <v>1855</v>
      </c>
      <c r="C61" s="1193" t="s">
        <v>1875</v>
      </c>
      <c r="D61" s="1133" t="s">
        <v>1876</v>
      </c>
      <c r="E61" s="1134" t="s">
        <v>1359</v>
      </c>
      <c r="F61" s="1134" t="s">
        <v>1877</v>
      </c>
      <c r="G61" s="1133" t="s">
        <v>1878</v>
      </c>
      <c r="H61" s="1194" t="s">
        <v>1879</v>
      </c>
      <c r="I61" s="1194" t="s">
        <v>1880</v>
      </c>
      <c r="J61" s="1194" t="s">
        <v>1881</v>
      </c>
      <c r="K61" s="1195"/>
      <c r="L61" s="1195"/>
      <c r="M61" s="1195"/>
      <c r="N61" s="1195"/>
      <c r="O61" s="1195"/>
      <c r="P61" s="1195"/>
      <c r="Q61" s="1196"/>
      <c r="R61" s="1140"/>
      <c r="S61" s="1140"/>
      <c r="T61" s="1958" t="s">
        <v>1855</v>
      </c>
      <c r="U61" s="1197" t="s">
        <v>1875</v>
      </c>
      <c r="V61" s="1133" t="s">
        <v>1876</v>
      </c>
      <c r="W61" s="1134" t="s">
        <v>1359</v>
      </c>
      <c r="X61" s="1133" t="s">
        <v>1877</v>
      </c>
      <c r="Y61" s="1133" t="s">
        <v>1878</v>
      </c>
      <c r="Z61" s="1194" t="s">
        <v>1879</v>
      </c>
      <c r="AA61" s="1194" t="s">
        <v>1880</v>
      </c>
      <c r="AB61" s="1198" t="s">
        <v>1881</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61"/>
      <c r="C62" s="1228" t="s">
        <v>1882</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1858</v>
      </c>
      <c r="I62" s="1230" t="s">
        <v>1858</v>
      </c>
      <c r="J62" s="1230" t="str" cm="1">
        <f t="array" aca="1" ref="J62" ca="1">INDIRECT("'Incentives Worksheet'!N"&amp;'Configurable Tab'!H7+6)</f>
        <v>%</v>
      </c>
      <c r="K62" s="1169"/>
      <c r="L62" s="1169"/>
      <c r="M62" s="1169"/>
      <c r="N62" s="1169"/>
      <c r="O62" s="1169"/>
      <c r="P62" s="1169"/>
      <c r="Q62" s="1141"/>
      <c r="R62" s="1140"/>
      <c r="S62" s="1140"/>
      <c r="T62" s="1961"/>
      <c r="U62" s="1228" t="s">
        <v>1882</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1858</v>
      </c>
      <c r="AA62" s="1230" t="s">
        <v>1858</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59"/>
      <c r="C63" s="1203" t="s">
        <v>1885</v>
      </c>
      <c r="D63" s="1204" t="s">
        <v>126</v>
      </c>
      <c r="E63" s="1205" t="s">
        <v>128</v>
      </c>
      <c r="F63" s="1206" t="s">
        <v>1104</v>
      </c>
      <c r="G63" s="1169"/>
      <c r="H63" s="1169"/>
      <c r="I63" s="1169"/>
      <c r="J63" s="1169"/>
      <c r="K63" s="1169"/>
      <c r="L63" s="1169"/>
      <c r="M63" s="1169"/>
      <c r="N63" s="1169"/>
      <c r="O63" s="1169"/>
      <c r="P63" s="1169"/>
      <c r="Q63" s="1170"/>
      <c r="R63" s="1140"/>
      <c r="S63" s="1140"/>
      <c r="T63" s="1961"/>
      <c r="U63" s="1231" t="s">
        <v>1885</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59"/>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59"/>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59"/>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59"/>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59"/>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59"/>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59"/>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59"/>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59"/>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59"/>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60"/>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60"/>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58" t="s">
        <v>1859</v>
      </c>
      <c r="C70" s="1224" t="s">
        <v>1860</v>
      </c>
      <c r="D70" s="1225" t="s">
        <v>131</v>
      </c>
      <c r="E70" s="1225" t="s">
        <v>1861</v>
      </c>
      <c r="F70" s="1140"/>
      <c r="G70" s="1140"/>
      <c r="H70" s="1140"/>
      <c r="I70" s="1140"/>
      <c r="J70" s="1140"/>
      <c r="K70" s="1140"/>
      <c r="L70" s="1140"/>
      <c r="M70" s="1140"/>
      <c r="N70" s="1140"/>
      <c r="O70" s="1140"/>
      <c r="P70" s="1140"/>
      <c r="Q70" s="1141"/>
      <c r="R70" s="1140"/>
      <c r="S70" s="1140"/>
      <c r="T70" s="1958" t="s">
        <v>1859</v>
      </c>
      <c r="U70" s="1224" t="s">
        <v>1860</v>
      </c>
      <c r="V70" s="1225" t="s">
        <v>131</v>
      </c>
      <c r="W70" s="1225" t="s">
        <v>1861</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61"/>
      <c r="C71" s="1174" t="s">
        <v>1862</v>
      </c>
      <c r="D71" s="1174" t="s">
        <v>1863</v>
      </c>
      <c r="E71" s="1175"/>
      <c r="F71" s="1140"/>
      <c r="G71" s="1140"/>
      <c r="H71" s="1140"/>
      <c r="I71" s="1140"/>
      <c r="J71" s="1140"/>
      <c r="K71" s="1140"/>
      <c r="L71" s="1140"/>
      <c r="M71" s="1140"/>
      <c r="N71" s="1140"/>
      <c r="O71" s="1140"/>
      <c r="P71" s="1140"/>
      <c r="Q71" s="1141"/>
      <c r="R71" s="1140"/>
      <c r="S71" s="1140"/>
      <c r="T71" s="1961"/>
      <c r="U71" s="1174" t="s">
        <v>1862</v>
      </c>
      <c r="V71" s="1174" t="s">
        <v>1863</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61"/>
      <c r="C72" s="1176" t="s">
        <v>1862</v>
      </c>
      <c r="D72" s="1176" t="s">
        <v>1864</v>
      </c>
      <c r="E72" s="1177" t="s">
        <v>1865</v>
      </c>
      <c r="F72" s="1140"/>
      <c r="G72" s="1140"/>
      <c r="H72" s="1140"/>
      <c r="I72" s="1140"/>
      <c r="J72" s="1140"/>
      <c r="K72" s="1140"/>
      <c r="L72" s="1140"/>
      <c r="M72" s="1140"/>
      <c r="N72" s="1140"/>
      <c r="O72" s="1140"/>
      <c r="P72" s="1140"/>
      <c r="Q72" s="1141"/>
      <c r="R72" s="1140"/>
      <c r="S72" s="1140"/>
      <c r="T72" s="1961"/>
      <c r="U72" s="1176" t="s">
        <v>1862</v>
      </c>
      <c r="V72" s="1176" t="s">
        <v>1864</v>
      </c>
      <c r="W72" s="1177" t="s">
        <v>1865</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61"/>
      <c r="C73" s="1176" t="s">
        <v>1862</v>
      </c>
      <c r="D73" s="1176" t="s">
        <v>1866</v>
      </c>
      <c r="E73" s="1177" t="s">
        <v>1700</v>
      </c>
      <c r="F73" s="1140"/>
      <c r="G73" s="1140"/>
      <c r="H73" s="1140"/>
      <c r="I73" s="1140"/>
      <c r="J73" s="1140"/>
      <c r="K73" s="1140"/>
      <c r="L73" s="1140"/>
      <c r="M73" s="1140"/>
      <c r="N73" s="1140"/>
      <c r="O73" s="1140"/>
      <c r="P73" s="1140"/>
      <c r="Q73" s="1141"/>
      <c r="R73" s="1140"/>
      <c r="S73" s="1140"/>
      <c r="T73" s="1961"/>
      <c r="U73" s="1176" t="s">
        <v>1862</v>
      </c>
      <c r="V73" s="1176" t="s">
        <v>1866</v>
      </c>
      <c r="W73" s="1177" t="s">
        <v>1700</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62"/>
      <c r="C74" s="1178" t="s">
        <v>1862</v>
      </c>
      <c r="D74" s="1178" t="s">
        <v>1867</v>
      </c>
      <c r="E74" s="1179" t="s">
        <v>1868</v>
      </c>
      <c r="F74" s="1140"/>
      <c r="G74" s="1140"/>
      <c r="H74" s="1140"/>
      <c r="I74" s="1140"/>
      <c r="J74" s="1140"/>
      <c r="K74" s="1140"/>
      <c r="L74" s="1140"/>
      <c r="M74" s="1140"/>
      <c r="N74" s="1140"/>
      <c r="O74" s="1140"/>
      <c r="P74" s="1140"/>
      <c r="Q74" s="1141"/>
      <c r="R74" s="1140"/>
      <c r="S74" s="1140"/>
      <c r="T74" s="1962"/>
      <c r="U74" s="1178" t="s">
        <v>1862</v>
      </c>
      <c r="V74" s="1178" t="s">
        <v>1867</v>
      </c>
      <c r="W74" s="1179" t="s">
        <v>1868</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58" t="s">
        <v>1869</v>
      </c>
      <c r="C75" s="1180" t="s">
        <v>1870</v>
      </c>
      <c r="D75" s="1181" t="s">
        <v>1860</v>
      </c>
      <c r="E75" s="1181" t="s">
        <v>131</v>
      </c>
      <c r="F75" s="1181" t="s">
        <v>1861</v>
      </c>
      <c r="G75" s="1181" t="s">
        <v>1871</v>
      </c>
      <c r="H75" s="1182" t="s">
        <v>1872</v>
      </c>
      <c r="I75" s="1183" t="s">
        <v>766</v>
      </c>
      <c r="J75" s="1183" t="s">
        <v>767</v>
      </c>
      <c r="K75" s="1183" t="s">
        <v>768</v>
      </c>
      <c r="L75" s="1183" t="s">
        <v>769</v>
      </c>
      <c r="M75" s="1183" t="s">
        <v>204</v>
      </c>
      <c r="N75" s="1140"/>
      <c r="O75" s="1140"/>
      <c r="P75" s="1140"/>
      <c r="Q75" s="1141"/>
      <c r="R75" s="1140"/>
      <c r="S75" s="1140"/>
      <c r="T75" s="1958" t="s">
        <v>1869</v>
      </c>
      <c r="U75" s="1180" t="s">
        <v>1870</v>
      </c>
      <c r="V75" s="1181" t="s">
        <v>1860</v>
      </c>
      <c r="W75" s="1181" t="s">
        <v>131</v>
      </c>
      <c r="X75" s="1181" t="s">
        <v>1861</v>
      </c>
      <c r="Y75" s="1181" t="s">
        <v>1871</v>
      </c>
      <c r="Z75" s="1182" t="s">
        <v>1872</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59"/>
      <c r="C76" s="1184">
        <v>1</v>
      </c>
      <c r="D76" s="1177" t="s">
        <v>1873</v>
      </c>
      <c r="E76" s="1177" t="s">
        <v>1427</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59"/>
      <c r="U76" s="1184">
        <v>1</v>
      </c>
      <c r="V76" s="1177" t="s">
        <v>1873</v>
      </c>
      <c r="W76" s="1177" t="s">
        <v>1427</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59"/>
      <c r="C77" s="1187">
        <v>2</v>
      </c>
      <c r="D77" s="1177" t="s">
        <v>1873</v>
      </c>
      <c r="E77" s="1177" t="s">
        <v>1427</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59"/>
      <c r="U77" s="1187">
        <v>2</v>
      </c>
      <c r="V77" s="1177" t="s">
        <v>1873</v>
      </c>
      <c r="W77" s="1177" t="s">
        <v>1427</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59"/>
      <c r="C78" s="1187">
        <v>3</v>
      </c>
      <c r="D78" s="1177" t="s">
        <v>1873</v>
      </c>
      <c r="E78" s="1177" t="s">
        <v>1427</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59"/>
      <c r="U78" s="1187">
        <v>3</v>
      </c>
      <c r="V78" s="1177" t="s">
        <v>1873</v>
      </c>
      <c r="W78" s="1177" t="s">
        <v>1427</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59"/>
      <c r="C79" s="1187">
        <v>4</v>
      </c>
      <c r="D79" s="1177" t="s">
        <v>1873</v>
      </c>
      <c r="E79" s="1177" t="s">
        <v>1427</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59"/>
      <c r="U79" s="1187">
        <v>4</v>
      </c>
      <c r="V79" s="1177" t="s">
        <v>1873</v>
      </c>
      <c r="W79" s="1177" t="s">
        <v>1427</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59"/>
      <c r="C80" s="1187">
        <v>5</v>
      </c>
      <c r="D80" s="1177" t="s">
        <v>1873</v>
      </c>
      <c r="E80" s="1177" t="s">
        <v>1427</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59"/>
      <c r="U80" s="1187">
        <v>5</v>
      </c>
      <c r="V80" s="1177" t="s">
        <v>1873</v>
      </c>
      <c r="W80" s="1177" t="s">
        <v>1427</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59"/>
      <c r="C81" s="1187">
        <v>6</v>
      </c>
      <c r="D81" s="1177" t="s">
        <v>1873</v>
      </c>
      <c r="E81" s="1177" t="s">
        <v>1427</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59"/>
      <c r="U81" s="1187">
        <v>6</v>
      </c>
      <c r="V81" s="1177" t="s">
        <v>1873</v>
      </c>
      <c r="W81" s="1177" t="s">
        <v>1427</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59"/>
      <c r="C82" s="1187">
        <v>7</v>
      </c>
      <c r="D82" s="1177" t="s">
        <v>1873</v>
      </c>
      <c r="E82" s="1177" t="s">
        <v>1427</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59"/>
      <c r="U82" s="1187">
        <v>7</v>
      </c>
      <c r="V82" s="1177" t="s">
        <v>1873</v>
      </c>
      <c r="W82" s="1177" t="s">
        <v>1427</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59"/>
      <c r="C83" s="1187">
        <v>8</v>
      </c>
      <c r="D83" s="1177" t="s">
        <v>1873</v>
      </c>
      <c r="E83" s="1177" t="s">
        <v>1427</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59"/>
      <c r="U83" s="1187">
        <v>8</v>
      </c>
      <c r="V83" s="1177" t="s">
        <v>1873</v>
      </c>
      <c r="W83" s="1177" t="s">
        <v>1427</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59"/>
      <c r="C84" s="1187">
        <v>9</v>
      </c>
      <c r="D84" s="1177" t="s">
        <v>1873</v>
      </c>
      <c r="E84" s="1177" t="s">
        <v>1427</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59"/>
      <c r="U84" s="1187">
        <v>9</v>
      </c>
      <c r="V84" s="1177" t="s">
        <v>1873</v>
      </c>
      <c r="W84" s="1177" t="s">
        <v>1427</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60"/>
      <c r="C85" s="1189">
        <v>10</v>
      </c>
      <c r="D85" s="1179" t="s">
        <v>1873</v>
      </c>
      <c r="E85" s="1179" t="s">
        <v>1427</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60"/>
      <c r="U85" s="1189">
        <v>10</v>
      </c>
      <c r="V85" s="1179" t="s">
        <v>1873</v>
      </c>
      <c r="W85" s="1179" t="s">
        <v>1427</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1492</v>
      </c>
      <c r="E88" s="1133" t="s">
        <v>766</v>
      </c>
      <c r="F88" s="1133" t="s">
        <v>1497</v>
      </c>
      <c r="G88" s="1133" t="s">
        <v>1850</v>
      </c>
      <c r="H88" s="1134" t="s">
        <v>1851</v>
      </c>
      <c r="I88" s="1134" t="s">
        <v>1852</v>
      </c>
      <c r="J88" s="1133" t="s">
        <v>1874</v>
      </c>
      <c r="K88" s="1133" t="s">
        <v>1853</v>
      </c>
      <c r="L88" s="1134" t="s">
        <v>1397</v>
      </c>
      <c r="M88" s="1134" t="s">
        <v>1381</v>
      </c>
      <c r="N88" s="1133" t="s">
        <v>1382</v>
      </c>
      <c r="O88" s="1133" t="s">
        <v>721</v>
      </c>
      <c r="P88" s="1133" t="s">
        <v>722</v>
      </c>
      <c r="Q88" s="1134" t="s">
        <v>1496</v>
      </c>
      <c r="R88" s="1140"/>
      <c r="S88" s="1140"/>
      <c r="T88" s="1163"/>
      <c r="U88" s="1133" t="s">
        <v>1383</v>
      </c>
      <c r="V88" s="1133" t="s">
        <v>1492</v>
      </c>
      <c r="W88" s="1133" t="s">
        <v>766</v>
      </c>
      <c r="X88" s="1133" t="s">
        <v>1497</v>
      </c>
      <c r="Y88" s="1133" t="s">
        <v>1850</v>
      </c>
      <c r="Z88" s="1134" t="s">
        <v>1851</v>
      </c>
      <c r="AA88" s="1134" t="s">
        <v>1852</v>
      </c>
      <c r="AB88" s="1133" t="s">
        <v>1874</v>
      </c>
      <c r="AC88" s="1133" t="s">
        <v>1853</v>
      </c>
      <c r="AD88" s="1134" t="s">
        <v>1397</v>
      </c>
      <c r="AE88" s="1134" t="s">
        <v>1381</v>
      </c>
      <c r="AF88" s="1133" t="s">
        <v>1382</v>
      </c>
      <c r="AG88" s="1133" t="s">
        <v>721</v>
      </c>
      <c r="AH88" s="1133" t="s">
        <v>722</v>
      </c>
      <c r="AI88" s="1134" t="s">
        <v>1496</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1854</v>
      </c>
      <c r="C89" s="1166" t="s">
        <v>1523</v>
      </c>
      <c r="D89" s="1167">
        <v>5501</v>
      </c>
      <c r="E89" s="1137" t="s">
        <v>2065</v>
      </c>
      <c r="F89" s="1137" t="s">
        <v>1526</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1854</v>
      </c>
      <c r="U89" s="1166" t="s">
        <v>1523</v>
      </c>
      <c r="V89" s="1167">
        <v>5502</v>
      </c>
      <c r="W89" s="1137" t="s">
        <v>2065</v>
      </c>
      <c r="X89" s="1137" t="s">
        <v>1526</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58" t="s">
        <v>1886</v>
      </c>
      <c r="C90" s="1193" t="s">
        <v>1887</v>
      </c>
      <c r="D90" s="1134" t="s">
        <v>1359</v>
      </c>
      <c r="E90" s="1133" t="s">
        <v>1878</v>
      </c>
      <c r="F90" s="1133" t="s">
        <v>1888</v>
      </c>
      <c r="G90" s="1194" t="s">
        <v>1881</v>
      </c>
      <c r="H90" s="1242" t="s">
        <v>1881</v>
      </c>
      <c r="I90" s="1195"/>
      <c r="J90" s="1195"/>
      <c r="K90" s="1195"/>
      <c r="L90" s="1195"/>
      <c r="M90" s="1195"/>
      <c r="N90" s="1195"/>
      <c r="O90" s="1195"/>
      <c r="P90" s="1195"/>
      <c r="Q90" s="1196"/>
      <c r="R90" s="1140"/>
      <c r="S90" s="1140"/>
      <c r="T90" s="1958" t="s">
        <v>1886</v>
      </c>
      <c r="U90" s="1193" t="s">
        <v>1887</v>
      </c>
      <c r="V90" s="1134" t="s">
        <v>1359</v>
      </c>
      <c r="W90" s="1133" t="s">
        <v>1878</v>
      </c>
      <c r="X90" s="1133" t="s">
        <v>1888</v>
      </c>
      <c r="Y90" s="1198" t="s">
        <v>1881</v>
      </c>
      <c r="Z90" s="1242" t="s">
        <v>1881</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61"/>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2001</v>
      </c>
      <c r="G91" s="1230" t="str" cm="1">
        <f t="array" aca="1" ref="G91" ca="1">INDIRECT("'Incentives Worksheet'!N"&amp;'Configurable Tab'!H9+6)</f>
        <v>%</v>
      </c>
      <c r="H91" s="1169"/>
      <c r="I91" s="1169"/>
      <c r="J91" s="1169"/>
      <c r="K91" s="1169"/>
      <c r="L91" s="1169"/>
      <c r="M91" s="1169"/>
      <c r="N91" s="1169"/>
      <c r="O91" s="1169"/>
      <c r="P91" s="1169"/>
      <c r="Q91" s="1141"/>
      <c r="R91" s="1140"/>
      <c r="S91" s="1140"/>
      <c r="T91" s="1961"/>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2001</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59"/>
      <c r="C92" s="1203" t="s">
        <v>1885</v>
      </c>
      <c r="D92" s="1204" t="s">
        <v>126</v>
      </c>
      <c r="E92" s="1205" t="s">
        <v>128</v>
      </c>
      <c r="F92" s="1206" t="s">
        <v>1104</v>
      </c>
      <c r="G92" s="1169"/>
      <c r="H92" s="1169"/>
      <c r="I92" s="1169"/>
      <c r="J92" s="1169"/>
      <c r="K92" s="1169"/>
      <c r="L92" s="1169"/>
      <c r="M92" s="1169"/>
      <c r="N92" s="1169"/>
      <c r="O92" s="1169"/>
      <c r="P92" s="1169"/>
      <c r="Q92" s="1170"/>
      <c r="R92" s="1140"/>
      <c r="S92" s="1140"/>
      <c r="T92" s="1961"/>
      <c r="U92" s="1231" t="s">
        <v>1885</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59"/>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59"/>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59"/>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59"/>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58" t="s">
        <v>1859</v>
      </c>
      <c r="C95" s="1224" t="s">
        <v>1860</v>
      </c>
      <c r="D95" s="1225" t="s">
        <v>131</v>
      </c>
      <c r="E95" s="1225" t="s">
        <v>1861</v>
      </c>
      <c r="F95" s="1140"/>
      <c r="G95" s="1140"/>
      <c r="H95" s="1140"/>
      <c r="I95" s="1140"/>
      <c r="J95" s="1140"/>
      <c r="K95" s="1140"/>
      <c r="L95" s="1140"/>
      <c r="M95" s="1140"/>
      <c r="N95" s="1140"/>
      <c r="O95" s="1140"/>
      <c r="P95" s="1140"/>
      <c r="Q95" s="1141"/>
      <c r="R95" s="1140"/>
      <c r="S95" s="1140"/>
      <c r="T95" s="1958" t="s">
        <v>1859</v>
      </c>
      <c r="U95" s="1224" t="s">
        <v>1860</v>
      </c>
      <c r="V95" s="1225" t="s">
        <v>131</v>
      </c>
      <c r="W95" s="1225" t="s">
        <v>1861</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61"/>
      <c r="C96" s="1174" t="s">
        <v>1862</v>
      </c>
      <c r="D96" s="1174" t="s">
        <v>1863</v>
      </c>
      <c r="E96" s="1175"/>
      <c r="F96" s="1140"/>
      <c r="G96" s="1140"/>
      <c r="H96" s="1140"/>
      <c r="I96" s="1140"/>
      <c r="J96" s="1140"/>
      <c r="K96" s="1140"/>
      <c r="L96" s="1140"/>
      <c r="M96" s="1140"/>
      <c r="N96" s="1140"/>
      <c r="O96" s="1140"/>
      <c r="P96" s="1140"/>
      <c r="Q96" s="1141"/>
      <c r="R96" s="1140"/>
      <c r="S96" s="1140"/>
      <c r="T96" s="1961"/>
      <c r="U96" s="1174" t="s">
        <v>1862</v>
      </c>
      <c r="V96" s="1174" t="s">
        <v>1863</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61"/>
      <c r="C97" s="1176" t="s">
        <v>1862</v>
      </c>
      <c r="D97" s="1176" t="s">
        <v>1864</v>
      </c>
      <c r="E97" s="1177" t="s">
        <v>1865</v>
      </c>
      <c r="F97" s="1140"/>
      <c r="G97" s="1140"/>
      <c r="H97" s="1140"/>
      <c r="I97" s="1140"/>
      <c r="J97" s="1140"/>
      <c r="K97" s="1140"/>
      <c r="L97" s="1140"/>
      <c r="M97" s="1140"/>
      <c r="N97" s="1140"/>
      <c r="O97" s="1140"/>
      <c r="P97" s="1140"/>
      <c r="Q97" s="1141"/>
      <c r="R97" s="1140"/>
      <c r="S97" s="1140"/>
      <c r="T97" s="1961"/>
      <c r="U97" s="1176" t="s">
        <v>1862</v>
      </c>
      <c r="V97" s="1176" t="s">
        <v>1864</v>
      </c>
      <c r="W97" s="1177" t="s">
        <v>1865</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61"/>
      <c r="C98" s="1176" t="s">
        <v>1862</v>
      </c>
      <c r="D98" s="1176" t="s">
        <v>1866</v>
      </c>
      <c r="E98" s="1177" t="s">
        <v>1700</v>
      </c>
      <c r="F98" s="1140"/>
      <c r="G98" s="1140"/>
      <c r="H98" s="1140"/>
      <c r="I98" s="1140"/>
      <c r="J98" s="1140"/>
      <c r="K98" s="1140"/>
      <c r="L98" s="1140"/>
      <c r="M98" s="1140"/>
      <c r="N98" s="1140"/>
      <c r="O98" s="1140"/>
      <c r="P98" s="1140"/>
      <c r="Q98" s="1141"/>
      <c r="R98" s="1140"/>
      <c r="S98" s="1140"/>
      <c r="T98" s="1961"/>
      <c r="U98" s="1176" t="s">
        <v>1862</v>
      </c>
      <c r="V98" s="1176" t="s">
        <v>1866</v>
      </c>
      <c r="W98" s="1177" t="s">
        <v>1700</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62"/>
      <c r="C99" s="1178" t="s">
        <v>1862</v>
      </c>
      <c r="D99" s="1178" t="s">
        <v>1867</v>
      </c>
      <c r="E99" s="1179" t="s">
        <v>1868</v>
      </c>
      <c r="F99" s="1140"/>
      <c r="G99" s="1140"/>
      <c r="H99" s="1140"/>
      <c r="I99" s="1140"/>
      <c r="J99" s="1140"/>
      <c r="K99" s="1140"/>
      <c r="L99" s="1140"/>
      <c r="M99" s="1140"/>
      <c r="N99" s="1140"/>
      <c r="O99" s="1140"/>
      <c r="P99" s="1140"/>
      <c r="Q99" s="1141"/>
      <c r="R99" s="1140"/>
      <c r="S99" s="1140"/>
      <c r="T99" s="1962"/>
      <c r="U99" s="1178" t="s">
        <v>1862</v>
      </c>
      <c r="V99" s="1178" t="s">
        <v>1867</v>
      </c>
      <c r="W99" s="1179" t="s">
        <v>1868</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58" t="s">
        <v>1869</v>
      </c>
      <c r="C100" s="1180" t="s">
        <v>1870</v>
      </c>
      <c r="D100" s="1181" t="s">
        <v>1860</v>
      </c>
      <c r="E100" s="1181" t="s">
        <v>131</v>
      </c>
      <c r="F100" s="1181" t="s">
        <v>1861</v>
      </c>
      <c r="G100" s="1181" t="s">
        <v>1871</v>
      </c>
      <c r="H100" s="1182" t="s">
        <v>1872</v>
      </c>
      <c r="I100" s="1183" t="s">
        <v>766</v>
      </c>
      <c r="J100" s="1183" t="s">
        <v>767</v>
      </c>
      <c r="K100" s="1183" t="s">
        <v>768</v>
      </c>
      <c r="L100" s="1183" t="s">
        <v>769</v>
      </c>
      <c r="M100" s="1183" t="s">
        <v>204</v>
      </c>
      <c r="N100" s="1140"/>
      <c r="O100" s="1140"/>
      <c r="P100" s="1140"/>
      <c r="Q100" s="1141"/>
      <c r="R100" s="1140"/>
      <c r="S100" s="1140"/>
      <c r="T100" s="1958" t="s">
        <v>1869</v>
      </c>
      <c r="U100" s="1180" t="s">
        <v>1870</v>
      </c>
      <c r="V100" s="1181" t="s">
        <v>1860</v>
      </c>
      <c r="W100" s="1181" t="s">
        <v>131</v>
      </c>
      <c r="X100" s="1181" t="s">
        <v>1861</v>
      </c>
      <c r="Y100" s="1181" t="s">
        <v>1871</v>
      </c>
      <c r="Z100" s="1182" t="s">
        <v>1872</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59"/>
      <c r="C101" s="1184">
        <v>1</v>
      </c>
      <c r="D101" s="1177" t="s">
        <v>1873</v>
      </c>
      <c r="E101" s="1177" t="s">
        <v>1427</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59"/>
      <c r="U101" s="1184">
        <v>1</v>
      </c>
      <c r="V101" s="1177" t="s">
        <v>1873</v>
      </c>
      <c r="W101" s="1177" t="s">
        <v>1427</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59"/>
      <c r="C102" s="1187">
        <v>2</v>
      </c>
      <c r="D102" s="1177" t="s">
        <v>1873</v>
      </c>
      <c r="E102" s="1177" t="s">
        <v>1427</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59"/>
      <c r="U102" s="1187">
        <v>2</v>
      </c>
      <c r="V102" s="1177" t="s">
        <v>1873</v>
      </c>
      <c r="W102" s="1177" t="s">
        <v>1427</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59"/>
      <c r="C103" s="1187">
        <v>3</v>
      </c>
      <c r="D103" s="1177" t="s">
        <v>1873</v>
      </c>
      <c r="E103" s="1177" t="s">
        <v>1427</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59"/>
      <c r="U103" s="1187">
        <v>3</v>
      </c>
      <c r="V103" s="1177" t="s">
        <v>1873</v>
      </c>
      <c r="W103" s="1177" t="s">
        <v>1427</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59"/>
      <c r="C104" s="1187">
        <v>4</v>
      </c>
      <c r="D104" s="1177" t="s">
        <v>1873</v>
      </c>
      <c r="E104" s="1177" t="s">
        <v>1427</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59"/>
      <c r="U104" s="1187">
        <v>4</v>
      </c>
      <c r="V104" s="1177" t="s">
        <v>1873</v>
      </c>
      <c r="W104" s="1177" t="s">
        <v>1427</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59"/>
      <c r="C105" s="1187">
        <v>5</v>
      </c>
      <c r="D105" s="1177" t="s">
        <v>1873</v>
      </c>
      <c r="E105" s="1177" t="s">
        <v>1427</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59"/>
      <c r="U105" s="1187">
        <v>5</v>
      </c>
      <c r="V105" s="1177" t="s">
        <v>1873</v>
      </c>
      <c r="W105" s="1177" t="s">
        <v>1427</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59"/>
      <c r="C106" s="1187">
        <v>6</v>
      </c>
      <c r="D106" s="1177" t="s">
        <v>1873</v>
      </c>
      <c r="E106" s="1177" t="s">
        <v>1427</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59"/>
      <c r="U106" s="1187">
        <v>6</v>
      </c>
      <c r="V106" s="1177" t="s">
        <v>1873</v>
      </c>
      <c r="W106" s="1177" t="s">
        <v>1427</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59"/>
      <c r="C107" s="1187">
        <v>7</v>
      </c>
      <c r="D107" s="1177" t="s">
        <v>1873</v>
      </c>
      <c r="E107" s="1177" t="s">
        <v>1427</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59"/>
      <c r="U107" s="1187">
        <v>7</v>
      </c>
      <c r="V107" s="1177" t="s">
        <v>1873</v>
      </c>
      <c r="W107" s="1177" t="s">
        <v>1427</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59"/>
      <c r="C108" s="1187">
        <v>8</v>
      </c>
      <c r="D108" s="1177" t="s">
        <v>1873</v>
      </c>
      <c r="E108" s="1177" t="s">
        <v>1427</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59"/>
      <c r="U108" s="1187">
        <v>8</v>
      </c>
      <c r="V108" s="1177" t="s">
        <v>1873</v>
      </c>
      <c r="W108" s="1177" t="s">
        <v>1427</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59"/>
      <c r="C109" s="1187">
        <v>9</v>
      </c>
      <c r="D109" s="1177" t="s">
        <v>1873</v>
      </c>
      <c r="E109" s="1177" t="s">
        <v>1427</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59"/>
      <c r="U109" s="1187">
        <v>9</v>
      </c>
      <c r="V109" s="1177" t="s">
        <v>1873</v>
      </c>
      <c r="W109" s="1177" t="s">
        <v>1427</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60"/>
      <c r="C110" s="1189">
        <v>10</v>
      </c>
      <c r="D110" s="1179" t="s">
        <v>1873</v>
      </c>
      <c r="E110" s="1179" t="s">
        <v>1427</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60"/>
      <c r="U110" s="1189">
        <v>10</v>
      </c>
      <c r="V110" s="1179" t="s">
        <v>1873</v>
      </c>
      <c r="W110" s="1179" t="s">
        <v>1427</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1492</v>
      </c>
      <c r="E113" s="1133" t="s">
        <v>766</v>
      </c>
      <c r="F113" s="1133" t="s">
        <v>1497</v>
      </c>
      <c r="G113" s="1133" t="s">
        <v>1850</v>
      </c>
      <c r="H113" s="1134" t="s">
        <v>1851</v>
      </c>
      <c r="I113" s="1134" t="s">
        <v>1852</v>
      </c>
      <c r="J113" s="1133" t="s">
        <v>1874</v>
      </c>
      <c r="K113" s="1133" t="s">
        <v>1853</v>
      </c>
      <c r="L113" s="1134" t="s">
        <v>1397</v>
      </c>
      <c r="M113" s="1134" t="s">
        <v>1381</v>
      </c>
      <c r="N113" s="1133" t="s">
        <v>1382</v>
      </c>
      <c r="O113" s="1133" t="s">
        <v>721</v>
      </c>
      <c r="P113" s="1133" t="s">
        <v>722</v>
      </c>
      <c r="Q113" s="1134" t="s">
        <v>1496</v>
      </c>
      <c r="R113" s="1140"/>
      <c r="S113" s="1140"/>
      <c r="T113" s="1340"/>
      <c r="U113" s="1133" t="s">
        <v>1383</v>
      </c>
      <c r="V113" s="1133" t="s">
        <v>1492</v>
      </c>
      <c r="W113" s="1133" t="s">
        <v>766</v>
      </c>
      <c r="X113" s="1133" t="s">
        <v>1497</v>
      </c>
      <c r="Y113" s="1133" t="s">
        <v>1850</v>
      </c>
      <c r="Z113" s="1134" t="s">
        <v>1851</v>
      </c>
      <c r="AA113" s="1134" t="s">
        <v>1852</v>
      </c>
      <c r="AB113" s="1133" t="s">
        <v>1874</v>
      </c>
      <c r="AC113" s="1133" t="s">
        <v>1853</v>
      </c>
      <c r="AD113" s="1134" t="s">
        <v>1397</v>
      </c>
      <c r="AE113" s="1134" t="s">
        <v>1381</v>
      </c>
      <c r="AF113" s="1133" t="s">
        <v>1382</v>
      </c>
      <c r="AG113" s="1133" t="s">
        <v>721</v>
      </c>
      <c r="AH113" s="1133" t="s">
        <v>722</v>
      </c>
      <c r="AI113" s="1134" t="s">
        <v>1496</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1854</v>
      </c>
      <c r="C114" s="1166" t="s">
        <v>1524</v>
      </c>
      <c r="D114" s="1167">
        <v>2801</v>
      </c>
      <c r="E114" s="1137" t="s">
        <v>2066</v>
      </c>
      <c r="F114" s="1137" t="s">
        <v>1526</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1854</v>
      </c>
      <c r="U114" s="1166" t="s">
        <v>1524</v>
      </c>
      <c r="V114" s="1167">
        <v>2802</v>
      </c>
      <c r="W114" s="1137" t="s">
        <v>2066</v>
      </c>
      <c r="X114" s="1137" t="s">
        <v>1526</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58" t="s">
        <v>1886</v>
      </c>
      <c r="C115" s="1193" t="s">
        <v>1887</v>
      </c>
      <c r="D115" s="1134" t="s">
        <v>1359</v>
      </c>
      <c r="E115" s="1133" t="s">
        <v>1878</v>
      </c>
      <c r="F115" s="1133" t="s">
        <v>1888</v>
      </c>
      <c r="G115" s="1194" t="s">
        <v>1881</v>
      </c>
      <c r="H115" s="1242" t="s">
        <v>1881</v>
      </c>
      <c r="I115" s="1195"/>
      <c r="J115" s="1195"/>
      <c r="K115" s="1195"/>
      <c r="L115" s="1195"/>
      <c r="M115" s="1195"/>
      <c r="N115" s="1195"/>
      <c r="O115" s="1195"/>
      <c r="P115" s="1195"/>
      <c r="Q115" s="1196"/>
      <c r="R115" s="1140"/>
      <c r="S115" s="1140"/>
      <c r="T115" s="1958" t="s">
        <v>1886</v>
      </c>
      <c r="U115" s="1193" t="s">
        <v>1887</v>
      </c>
      <c r="V115" s="1134" t="s">
        <v>1359</v>
      </c>
      <c r="W115" s="1133" t="s">
        <v>1878</v>
      </c>
      <c r="X115" s="1133" t="s">
        <v>1888</v>
      </c>
      <c r="Y115" s="1198" t="s">
        <v>1881</v>
      </c>
      <c r="Z115" s="1242" t="s">
        <v>1881</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61"/>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2001</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61"/>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2001</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59"/>
      <c r="C117" s="1203" t="s">
        <v>1885</v>
      </c>
      <c r="D117" s="1204" t="s">
        <v>126</v>
      </c>
      <c r="E117" s="1205" t="s">
        <v>128</v>
      </c>
      <c r="F117" s="1206" t="s">
        <v>1104</v>
      </c>
      <c r="G117" s="1169"/>
      <c r="H117" s="1169"/>
      <c r="I117" s="1169"/>
      <c r="J117" s="1169"/>
      <c r="K117" s="1169"/>
      <c r="L117" s="1169"/>
      <c r="M117" s="1169"/>
      <c r="N117" s="1169"/>
      <c r="O117" s="1169"/>
      <c r="P117" s="1169"/>
      <c r="Q117" s="1170"/>
      <c r="R117" s="1140"/>
      <c r="S117" s="1140"/>
      <c r="T117" s="1961"/>
      <c r="U117" s="1231" t="s">
        <v>1885</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59"/>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59"/>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59"/>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59"/>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59"/>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59"/>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59"/>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59"/>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59"/>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59"/>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60"/>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60"/>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58" t="s">
        <v>1859</v>
      </c>
      <c r="C124" s="1224" t="s">
        <v>1860</v>
      </c>
      <c r="D124" s="1225" t="s">
        <v>131</v>
      </c>
      <c r="E124" s="1225" t="s">
        <v>1861</v>
      </c>
      <c r="F124" s="1140"/>
      <c r="G124" s="1140"/>
      <c r="H124" s="1140"/>
      <c r="I124" s="1140"/>
      <c r="J124" s="1140"/>
      <c r="K124" s="1140"/>
      <c r="L124" s="1140"/>
      <c r="M124" s="1140"/>
      <c r="N124" s="1140"/>
      <c r="O124" s="1140"/>
      <c r="P124" s="1140"/>
      <c r="Q124" s="1141"/>
      <c r="R124" s="1140"/>
      <c r="S124" s="1140"/>
      <c r="T124" s="1958" t="s">
        <v>1859</v>
      </c>
      <c r="U124" s="1224" t="s">
        <v>1860</v>
      </c>
      <c r="V124" s="1225" t="s">
        <v>131</v>
      </c>
      <c r="W124" s="1225" t="s">
        <v>1861</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61"/>
      <c r="C125" s="1174" t="s">
        <v>1862</v>
      </c>
      <c r="D125" s="1174" t="s">
        <v>1863</v>
      </c>
      <c r="E125" s="1175"/>
      <c r="F125" s="1140"/>
      <c r="G125" s="1140"/>
      <c r="H125" s="1140"/>
      <c r="I125" s="1140"/>
      <c r="J125" s="1140"/>
      <c r="K125" s="1140"/>
      <c r="L125" s="1140"/>
      <c r="M125" s="1140"/>
      <c r="N125" s="1140"/>
      <c r="O125" s="1140"/>
      <c r="P125" s="1140"/>
      <c r="Q125" s="1141"/>
      <c r="R125" s="1140"/>
      <c r="S125" s="1140"/>
      <c r="T125" s="1961"/>
      <c r="U125" s="1174" t="s">
        <v>1862</v>
      </c>
      <c r="V125" s="1174" t="s">
        <v>1863</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61"/>
      <c r="C126" s="1176" t="s">
        <v>1862</v>
      </c>
      <c r="D126" s="1176" t="s">
        <v>1864</v>
      </c>
      <c r="E126" s="1177" t="s">
        <v>1865</v>
      </c>
      <c r="F126" s="1140"/>
      <c r="G126" s="1140"/>
      <c r="H126" s="1140"/>
      <c r="I126" s="1140"/>
      <c r="J126" s="1140"/>
      <c r="K126" s="1140"/>
      <c r="L126" s="1140"/>
      <c r="M126" s="1140"/>
      <c r="N126" s="1140"/>
      <c r="O126" s="1140"/>
      <c r="P126" s="1140"/>
      <c r="Q126" s="1141"/>
      <c r="R126" s="1140"/>
      <c r="S126" s="1140"/>
      <c r="T126" s="1961"/>
      <c r="U126" s="1176" t="s">
        <v>1862</v>
      </c>
      <c r="V126" s="1176" t="s">
        <v>1864</v>
      </c>
      <c r="W126" s="1177" t="s">
        <v>1865</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61"/>
      <c r="C127" s="1176" t="s">
        <v>1862</v>
      </c>
      <c r="D127" s="1176" t="s">
        <v>1866</v>
      </c>
      <c r="E127" s="1177" t="s">
        <v>1700</v>
      </c>
      <c r="F127" s="1140"/>
      <c r="G127" s="1140"/>
      <c r="H127" s="1140"/>
      <c r="I127" s="1140"/>
      <c r="J127" s="1140"/>
      <c r="K127" s="1140"/>
      <c r="L127" s="1140"/>
      <c r="M127" s="1140"/>
      <c r="N127" s="1140"/>
      <c r="O127" s="1140"/>
      <c r="P127" s="1140"/>
      <c r="Q127" s="1141"/>
      <c r="R127" s="1140"/>
      <c r="S127" s="1140"/>
      <c r="T127" s="1961"/>
      <c r="U127" s="1176" t="s">
        <v>1862</v>
      </c>
      <c r="V127" s="1176" t="s">
        <v>1866</v>
      </c>
      <c r="W127" s="1177" t="s">
        <v>1700</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62"/>
      <c r="C128" s="1178" t="s">
        <v>1862</v>
      </c>
      <c r="D128" s="1178" t="s">
        <v>1867</v>
      </c>
      <c r="E128" s="1179" t="s">
        <v>1868</v>
      </c>
      <c r="F128" s="1140"/>
      <c r="G128" s="1140"/>
      <c r="H128" s="1140"/>
      <c r="I128" s="1140"/>
      <c r="J128" s="1140"/>
      <c r="K128" s="1140"/>
      <c r="L128" s="1140"/>
      <c r="M128" s="1140"/>
      <c r="N128" s="1140"/>
      <c r="O128" s="1140"/>
      <c r="P128" s="1140"/>
      <c r="Q128" s="1141"/>
      <c r="R128" s="1140"/>
      <c r="S128" s="1140"/>
      <c r="T128" s="1962"/>
      <c r="U128" s="1178" t="s">
        <v>1862</v>
      </c>
      <c r="V128" s="1178" t="s">
        <v>1867</v>
      </c>
      <c r="W128" s="1179" t="s">
        <v>1868</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58" t="s">
        <v>1869</v>
      </c>
      <c r="C129" s="1180" t="s">
        <v>1870</v>
      </c>
      <c r="D129" s="1181" t="s">
        <v>1860</v>
      </c>
      <c r="E129" s="1181" t="s">
        <v>131</v>
      </c>
      <c r="F129" s="1181" t="s">
        <v>1861</v>
      </c>
      <c r="G129" s="1181" t="s">
        <v>1871</v>
      </c>
      <c r="H129" s="1182" t="s">
        <v>1872</v>
      </c>
      <c r="I129" s="1183" t="s">
        <v>766</v>
      </c>
      <c r="J129" s="1183" t="s">
        <v>767</v>
      </c>
      <c r="K129" s="1183" t="s">
        <v>768</v>
      </c>
      <c r="L129" s="1183" t="s">
        <v>769</v>
      </c>
      <c r="M129" s="1183" t="s">
        <v>204</v>
      </c>
      <c r="N129" s="1140"/>
      <c r="O129" s="1140"/>
      <c r="P129" s="1140"/>
      <c r="Q129" s="1141"/>
      <c r="R129" s="1140"/>
      <c r="S129" s="1140"/>
      <c r="T129" s="1958" t="s">
        <v>1869</v>
      </c>
      <c r="U129" s="1180" t="s">
        <v>1870</v>
      </c>
      <c r="V129" s="1181" t="s">
        <v>1860</v>
      </c>
      <c r="W129" s="1181" t="s">
        <v>131</v>
      </c>
      <c r="X129" s="1181" t="s">
        <v>1861</v>
      </c>
      <c r="Y129" s="1181" t="s">
        <v>1871</v>
      </c>
      <c r="Z129" s="1182" t="s">
        <v>1872</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59"/>
      <c r="C130" s="1184">
        <v>1</v>
      </c>
      <c r="D130" s="1177" t="s">
        <v>1873</v>
      </c>
      <c r="E130" s="1177" t="s">
        <v>1427</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59"/>
      <c r="U130" s="1184">
        <v>1</v>
      </c>
      <c r="V130" s="1177" t="s">
        <v>1873</v>
      </c>
      <c r="W130" s="1177" t="s">
        <v>1427</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59"/>
      <c r="C131" s="1187">
        <v>2</v>
      </c>
      <c r="D131" s="1177" t="s">
        <v>1873</v>
      </c>
      <c r="E131" s="1177" t="s">
        <v>1427</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59"/>
      <c r="U131" s="1187">
        <v>2</v>
      </c>
      <c r="V131" s="1177" t="s">
        <v>1873</v>
      </c>
      <c r="W131" s="1177" t="s">
        <v>1427</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59"/>
      <c r="C132" s="1187">
        <v>3</v>
      </c>
      <c r="D132" s="1177" t="s">
        <v>1873</v>
      </c>
      <c r="E132" s="1177" t="s">
        <v>1427</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59"/>
      <c r="U132" s="1187">
        <v>3</v>
      </c>
      <c r="V132" s="1177" t="s">
        <v>1873</v>
      </c>
      <c r="W132" s="1177" t="s">
        <v>1427</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59"/>
      <c r="C133" s="1187">
        <v>4</v>
      </c>
      <c r="D133" s="1177" t="s">
        <v>1873</v>
      </c>
      <c r="E133" s="1177" t="s">
        <v>1427</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59"/>
      <c r="U133" s="1187">
        <v>4</v>
      </c>
      <c r="V133" s="1177" t="s">
        <v>1873</v>
      </c>
      <c r="W133" s="1177" t="s">
        <v>1427</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59"/>
      <c r="C134" s="1187">
        <v>5</v>
      </c>
      <c r="D134" s="1177" t="s">
        <v>1873</v>
      </c>
      <c r="E134" s="1177" t="s">
        <v>1427</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59"/>
      <c r="U134" s="1187">
        <v>5</v>
      </c>
      <c r="V134" s="1177" t="s">
        <v>1873</v>
      </c>
      <c r="W134" s="1177" t="s">
        <v>1427</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59"/>
      <c r="C135" s="1187">
        <v>6</v>
      </c>
      <c r="D135" s="1177" t="s">
        <v>1873</v>
      </c>
      <c r="E135" s="1177" t="s">
        <v>1427</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59"/>
      <c r="U135" s="1187">
        <v>6</v>
      </c>
      <c r="V135" s="1177" t="s">
        <v>1873</v>
      </c>
      <c r="W135" s="1177" t="s">
        <v>1427</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59"/>
      <c r="C136" s="1187">
        <v>7</v>
      </c>
      <c r="D136" s="1177" t="s">
        <v>1873</v>
      </c>
      <c r="E136" s="1177" t="s">
        <v>1427</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59"/>
      <c r="U136" s="1187">
        <v>7</v>
      </c>
      <c r="V136" s="1177" t="s">
        <v>1873</v>
      </c>
      <c r="W136" s="1177" t="s">
        <v>1427</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59"/>
      <c r="C137" s="1187">
        <v>8</v>
      </c>
      <c r="D137" s="1177" t="s">
        <v>1873</v>
      </c>
      <c r="E137" s="1177" t="s">
        <v>1427</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59"/>
      <c r="U137" s="1187">
        <v>8</v>
      </c>
      <c r="V137" s="1177" t="s">
        <v>1873</v>
      </c>
      <c r="W137" s="1177" t="s">
        <v>1427</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59"/>
      <c r="C138" s="1187">
        <v>9</v>
      </c>
      <c r="D138" s="1177" t="s">
        <v>1873</v>
      </c>
      <c r="E138" s="1177" t="s">
        <v>1427</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59"/>
      <c r="U138" s="1187">
        <v>9</v>
      </c>
      <c r="V138" s="1177" t="s">
        <v>1873</v>
      </c>
      <c r="W138" s="1177" t="s">
        <v>1427</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60"/>
      <c r="C139" s="1189">
        <v>10</v>
      </c>
      <c r="D139" s="1179" t="s">
        <v>1873</v>
      </c>
      <c r="E139" s="1179" t="s">
        <v>1427</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60"/>
      <c r="U139" s="1189">
        <v>10</v>
      </c>
      <c r="V139" s="1179" t="s">
        <v>1873</v>
      </c>
      <c r="W139" s="1179" t="s">
        <v>1427</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1492</v>
      </c>
      <c r="E142" s="1133" t="s">
        <v>766</v>
      </c>
      <c r="F142" s="1133" t="s">
        <v>1497</v>
      </c>
      <c r="G142" s="1133" t="s">
        <v>1850</v>
      </c>
      <c r="H142" s="1134" t="s">
        <v>1851</v>
      </c>
      <c r="I142" s="1134" t="s">
        <v>1852</v>
      </c>
      <c r="J142" s="1133" t="s">
        <v>1853</v>
      </c>
      <c r="K142" s="1134" t="s">
        <v>1397</v>
      </c>
      <c r="L142" s="1134" t="s">
        <v>1381</v>
      </c>
      <c r="M142" s="1133" t="s">
        <v>1382</v>
      </c>
      <c r="N142" s="1133" t="s">
        <v>721</v>
      </c>
      <c r="O142" s="1133" t="s">
        <v>722</v>
      </c>
      <c r="P142" s="1134" t="s">
        <v>1496</v>
      </c>
      <c r="Q142" s="1140"/>
      <c r="R142" s="1140"/>
      <c r="S142" s="1140"/>
      <c r="T142" s="1340"/>
      <c r="U142" s="1133" t="s">
        <v>1383</v>
      </c>
      <c r="V142" s="1133" t="s">
        <v>1492</v>
      </c>
      <c r="W142" s="1133" t="s">
        <v>766</v>
      </c>
      <c r="X142" s="1133" t="s">
        <v>1497</v>
      </c>
      <c r="Y142" s="1133" t="s">
        <v>1850</v>
      </c>
      <c r="Z142" s="1134" t="s">
        <v>1851</v>
      </c>
      <c r="AA142" s="1134" t="s">
        <v>1852</v>
      </c>
      <c r="AB142" s="1133" t="s">
        <v>1853</v>
      </c>
      <c r="AC142" s="1134" t="s">
        <v>1397</v>
      </c>
      <c r="AD142" s="1134" t="s">
        <v>1381</v>
      </c>
      <c r="AE142" s="1133" t="s">
        <v>1382</v>
      </c>
      <c r="AF142" s="1133" t="s">
        <v>721</v>
      </c>
      <c r="AG142" s="1133" t="s">
        <v>722</v>
      </c>
      <c r="AH142" s="1134" t="s">
        <v>1496</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1854</v>
      </c>
      <c r="C143" s="1166" t="s">
        <v>1531</v>
      </c>
      <c r="D143" s="1167">
        <v>3401</v>
      </c>
      <c r="E143" s="1137" t="s">
        <v>1531</v>
      </c>
      <c r="F143" s="1137" t="s">
        <v>1532</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1854</v>
      </c>
      <c r="U143" s="1166" t="s">
        <v>1531</v>
      </c>
      <c r="V143" s="1167">
        <v>3402</v>
      </c>
      <c r="W143" s="1137" t="s">
        <v>1531</v>
      </c>
      <c r="X143" s="1137" t="s">
        <v>1532</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63" t="s">
        <v>1889</v>
      </c>
      <c r="C144" s="1133" t="s">
        <v>1856</v>
      </c>
      <c r="D144" s="1134" t="s">
        <v>1857</v>
      </c>
      <c r="E144" s="1169"/>
      <c r="F144" s="1169"/>
      <c r="G144" s="1169"/>
      <c r="H144" s="1169"/>
      <c r="I144" s="1169"/>
      <c r="J144" s="1169"/>
      <c r="K144" s="1169"/>
      <c r="L144" s="1169"/>
      <c r="M144" s="1169"/>
      <c r="N144" s="1169"/>
      <c r="O144" s="1169"/>
      <c r="P144" s="1170"/>
      <c r="Q144" s="1140"/>
      <c r="R144" s="1140"/>
      <c r="S144" s="1140"/>
      <c r="T144" s="1963" t="s">
        <v>1889</v>
      </c>
      <c r="U144" s="1133" t="s">
        <v>1856</v>
      </c>
      <c r="V144" s="1134" t="s">
        <v>1857</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64"/>
      <c r="C145" s="1171" t="s">
        <v>1858</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64"/>
      <c r="U145" s="1171" t="s">
        <v>1858</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65" t="s">
        <v>1859</v>
      </c>
      <c r="C146" s="1172" t="s">
        <v>1860</v>
      </c>
      <c r="D146" s="1173" t="s">
        <v>131</v>
      </c>
      <c r="E146" s="1173" t="s">
        <v>1861</v>
      </c>
      <c r="F146" s="1140"/>
      <c r="G146" s="1140"/>
      <c r="H146" s="1140"/>
      <c r="I146" s="1140"/>
      <c r="J146" s="1140"/>
      <c r="K146" s="1140"/>
      <c r="L146" s="1140"/>
      <c r="M146" s="1140"/>
      <c r="N146" s="1140"/>
      <c r="O146" s="1140"/>
      <c r="P146" s="1141"/>
      <c r="Q146" s="1140"/>
      <c r="R146" s="1140"/>
      <c r="S146" s="1140"/>
      <c r="T146" s="1965" t="s">
        <v>1859</v>
      </c>
      <c r="U146" s="1172" t="s">
        <v>1860</v>
      </c>
      <c r="V146" s="1173" t="s">
        <v>131</v>
      </c>
      <c r="W146" s="1173" t="s">
        <v>1861</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59"/>
      <c r="C147" s="1174" t="s">
        <v>1862</v>
      </c>
      <c r="D147" s="1174" t="s">
        <v>1863</v>
      </c>
      <c r="E147" s="1175"/>
      <c r="F147" s="1140"/>
      <c r="G147" s="1140"/>
      <c r="H147" s="1140"/>
      <c r="I147" s="1140"/>
      <c r="J147" s="1140"/>
      <c r="K147" s="1140"/>
      <c r="L147" s="1140"/>
      <c r="M147" s="1140"/>
      <c r="N147" s="1140"/>
      <c r="O147" s="1140"/>
      <c r="P147" s="1141"/>
      <c r="Q147" s="1140"/>
      <c r="R147" s="1140"/>
      <c r="S147" s="1140"/>
      <c r="T147" s="1959"/>
      <c r="U147" s="1174" t="s">
        <v>1862</v>
      </c>
      <c r="V147" s="1174" t="s">
        <v>1863</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59"/>
      <c r="C148" s="1176" t="s">
        <v>1862</v>
      </c>
      <c r="D148" s="1176" t="s">
        <v>1864</v>
      </c>
      <c r="E148" s="1177" t="s">
        <v>1865</v>
      </c>
      <c r="F148" s="1140"/>
      <c r="G148" s="1140"/>
      <c r="H148" s="1140"/>
      <c r="I148" s="1140"/>
      <c r="J148" s="1140"/>
      <c r="K148" s="1140"/>
      <c r="L148" s="1140"/>
      <c r="M148" s="1140"/>
      <c r="N148" s="1140"/>
      <c r="O148" s="1140"/>
      <c r="P148" s="1141"/>
      <c r="Q148" s="1140"/>
      <c r="R148" s="1140"/>
      <c r="S148" s="1140"/>
      <c r="T148" s="1959"/>
      <c r="U148" s="1176" t="s">
        <v>1862</v>
      </c>
      <c r="V148" s="1176" t="s">
        <v>1864</v>
      </c>
      <c r="W148" s="1177" t="s">
        <v>1865</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59"/>
      <c r="C149" s="1176" t="s">
        <v>1862</v>
      </c>
      <c r="D149" s="1176" t="s">
        <v>1866</v>
      </c>
      <c r="E149" s="1177" t="s">
        <v>1700</v>
      </c>
      <c r="F149" s="1140"/>
      <c r="G149" s="1140"/>
      <c r="H149" s="1140"/>
      <c r="I149" s="1140"/>
      <c r="J149" s="1140"/>
      <c r="K149" s="1140"/>
      <c r="L149" s="1140"/>
      <c r="M149" s="1140"/>
      <c r="N149" s="1140"/>
      <c r="O149" s="1140"/>
      <c r="P149" s="1141"/>
      <c r="Q149" s="1140"/>
      <c r="R149" s="1140"/>
      <c r="S149" s="1140"/>
      <c r="T149" s="1959"/>
      <c r="U149" s="1176" t="s">
        <v>1862</v>
      </c>
      <c r="V149" s="1176" t="s">
        <v>1866</v>
      </c>
      <c r="W149" s="1177" t="s">
        <v>1700</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60"/>
      <c r="C150" s="1178" t="s">
        <v>1862</v>
      </c>
      <c r="D150" s="1178" t="s">
        <v>1867</v>
      </c>
      <c r="E150" s="1179" t="s">
        <v>1868</v>
      </c>
      <c r="F150" s="1140"/>
      <c r="G150" s="1140"/>
      <c r="H150" s="1140"/>
      <c r="I150" s="1140"/>
      <c r="J150" s="1140"/>
      <c r="K150" s="1140"/>
      <c r="L150" s="1140"/>
      <c r="M150" s="1140"/>
      <c r="N150" s="1140"/>
      <c r="O150" s="1140"/>
      <c r="P150" s="1141"/>
      <c r="Q150" s="1140"/>
      <c r="R150" s="1140"/>
      <c r="S150" s="1140"/>
      <c r="T150" s="1960"/>
      <c r="U150" s="1178" t="s">
        <v>1862</v>
      </c>
      <c r="V150" s="1178" t="s">
        <v>1867</v>
      </c>
      <c r="W150" s="1179" t="s">
        <v>1868</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58" t="s">
        <v>1869</v>
      </c>
      <c r="C151" s="1180" t="s">
        <v>1870</v>
      </c>
      <c r="D151" s="1181" t="s">
        <v>1860</v>
      </c>
      <c r="E151" s="1181" t="s">
        <v>131</v>
      </c>
      <c r="F151" s="1181" t="s">
        <v>1861</v>
      </c>
      <c r="G151" s="1181" t="s">
        <v>1871</v>
      </c>
      <c r="H151" s="1182" t="s">
        <v>1872</v>
      </c>
      <c r="I151" s="1183" t="s">
        <v>766</v>
      </c>
      <c r="J151" s="1183" t="s">
        <v>767</v>
      </c>
      <c r="K151" s="1183" t="s">
        <v>768</v>
      </c>
      <c r="L151" s="1183" t="s">
        <v>769</v>
      </c>
      <c r="M151" s="1183" t="s">
        <v>204</v>
      </c>
      <c r="N151" s="1140"/>
      <c r="O151" s="1140"/>
      <c r="P151" s="1141"/>
      <c r="Q151" s="1140"/>
      <c r="R151" s="1140"/>
      <c r="S151" s="1140"/>
      <c r="T151" s="1958" t="s">
        <v>1869</v>
      </c>
      <c r="U151" s="1180" t="s">
        <v>1870</v>
      </c>
      <c r="V151" s="1181" t="s">
        <v>1860</v>
      </c>
      <c r="W151" s="1181" t="s">
        <v>131</v>
      </c>
      <c r="X151" s="1181" t="s">
        <v>1861</v>
      </c>
      <c r="Y151" s="1181" t="s">
        <v>1871</v>
      </c>
      <c r="Z151" s="1182" t="s">
        <v>1872</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59"/>
      <c r="C152" s="1184">
        <v>1</v>
      </c>
      <c r="D152" s="1177" t="s">
        <v>1873</v>
      </c>
      <c r="E152" s="1177" t="s">
        <v>1427</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59"/>
      <c r="U152" s="1184">
        <v>1</v>
      </c>
      <c r="V152" s="1177" t="s">
        <v>1873</v>
      </c>
      <c r="W152" s="1177" t="s">
        <v>1427</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59"/>
      <c r="C153" s="1187">
        <v>2</v>
      </c>
      <c r="D153" s="1177" t="s">
        <v>1873</v>
      </c>
      <c r="E153" s="1177" t="s">
        <v>1427</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59"/>
      <c r="U153" s="1187">
        <v>2</v>
      </c>
      <c r="V153" s="1177" t="s">
        <v>1873</v>
      </c>
      <c r="W153" s="1177" t="s">
        <v>1427</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59"/>
      <c r="C154" s="1187">
        <v>3</v>
      </c>
      <c r="D154" s="1177" t="s">
        <v>1873</v>
      </c>
      <c r="E154" s="1177" t="s">
        <v>1427</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59"/>
      <c r="U154" s="1187">
        <v>3</v>
      </c>
      <c r="V154" s="1177" t="s">
        <v>1873</v>
      </c>
      <c r="W154" s="1177" t="s">
        <v>1427</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59"/>
      <c r="C155" s="1187">
        <v>4</v>
      </c>
      <c r="D155" s="1177" t="s">
        <v>1873</v>
      </c>
      <c r="E155" s="1177" t="s">
        <v>1427</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59"/>
      <c r="U155" s="1187">
        <v>4</v>
      </c>
      <c r="V155" s="1177" t="s">
        <v>1873</v>
      </c>
      <c r="W155" s="1177" t="s">
        <v>1427</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59"/>
      <c r="C156" s="1187">
        <v>5</v>
      </c>
      <c r="D156" s="1177" t="s">
        <v>1873</v>
      </c>
      <c r="E156" s="1177" t="s">
        <v>1427</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59"/>
      <c r="U156" s="1187">
        <v>5</v>
      </c>
      <c r="V156" s="1177" t="s">
        <v>1873</v>
      </c>
      <c r="W156" s="1177" t="s">
        <v>1427</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59"/>
      <c r="C157" s="1187">
        <v>6</v>
      </c>
      <c r="D157" s="1177" t="s">
        <v>1873</v>
      </c>
      <c r="E157" s="1177" t="s">
        <v>1427</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59"/>
      <c r="U157" s="1187">
        <v>6</v>
      </c>
      <c r="V157" s="1177" t="s">
        <v>1873</v>
      </c>
      <c r="W157" s="1177" t="s">
        <v>1427</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59"/>
      <c r="C158" s="1187">
        <v>7</v>
      </c>
      <c r="D158" s="1177" t="s">
        <v>1873</v>
      </c>
      <c r="E158" s="1177" t="s">
        <v>1427</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59"/>
      <c r="U158" s="1187">
        <v>7</v>
      </c>
      <c r="V158" s="1177" t="s">
        <v>1873</v>
      </c>
      <c r="W158" s="1177" t="s">
        <v>1427</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59"/>
      <c r="C159" s="1187">
        <v>8</v>
      </c>
      <c r="D159" s="1177" t="s">
        <v>1873</v>
      </c>
      <c r="E159" s="1177" t="s">
        <v>1427</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59"/>
      <c r="U159" s="1187">
        <v>8</v>
      </c>
      <c r="V159" s="1177" t="s">
        <v>1873</v>
      </c>
      <c r="W159" s="1177" t="s">
        <v>1427</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59"/>
      <c r="C160" s="1187">
        <v>9</v>
      </c>
      <c r="D160" s="1177" t="s">
        <v>1873</v>
      </c>
      <c r="E160" s="1177" t="s">
        <v>1427</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59"/>
      <c r="U160" s="1187">
        <v>9</v>
      </c>
      <c r="V160" s="1177" t="s">
        <v>1873</v>
      </c>
      <c r="W160" s="1177" t="s">
        <v>1427</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60"/>
      <c r="C161" s="1189">
        <v>10</v>
      </c>
      <c r="D161" s="1179" t="s">
        <v>1873</v>
      </c>
      <c r="E161" s="1179" t="s">
        <v>1427</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60"/>
      <c r="U161" s="1189">
        <v>10</v>
      </c>
      <c r="V161" s="1179" t="s">
        <v>1873</v>
      </c>
      <c r="W161" s="1179" t="s">
        <v>1427</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1492</v>
      </c>
      <c r="E164" s="1133" t="s">
        <v>766</v>
      </c>
      <c r="F164" s="1133" t="s">
        <v>1497</v>
      </c>
      <c r="G164" s="1133" t="s">
        <v>1850</v>
      </c>
      <c r="H164" s="1134" t="s">
        <v>1851</v>
      </c>
      <c r="I164" s="1134" t="s">
        <v>1852</v>
      </c>
      <c r="J164" s="1133" t="s">
        <v>1874</v>
      </c>
      <c r="K164" s="1133" t="s">
        <v>1853</v>
      </c>
      <c r="L164" s="1134" t="s">
        <v>1397</v>
      </c>
      <c r="M164" s="1134" t="s">
        <v>1381</v>
      </c>
      <c r="N164" s="1133" t="s">
        <v>1382</v>
      </c>
      <c r="O164" s="1133" t="s">
        <v>721</v>
      </c>
      <c r="P164" s="1133" t="s">
        <v>722</v>
      </c>
      <c r="Q164" s="1134" t="s">
        <v>1496</v>
      </c>
      <c r="R164" s="1140"/>
      <c r="S164" s="1140"/>
      <c r="T164" s="1340"/>
      <c r="U164" s="1133" t="s">
        <v>1383</v>
      </c>
      <c r="V164" s="1133" t="s">
        <v>1492</v>
      </c>
      <c r="W164" s="1133" t="s">
        <v>766</v>
      </c>
      <c r="X164" s="1133" t="s">
        <v>1497</v>
      </c>
      <c r="Y164" s="1133" t="s">
        <v>1850</v>
      </c>
      <c r="Z164" s="1134" t="s">
        <v>1851</v>
      </c>
      <c r="AA164" s="1134" t="s">
        <v>1852</v>
      </c>
      <c r="AB164" s="1133" t="s">
        <v>1874</v>
      </c>
      <c r="AC164" s="1133" t="s">
        <v>1853</v>
      </c>
      <c r="AD164" s="1134" t="s">
        <v>1397</v>
      </c>
      <c r="AE164" s="1134" t="s">
        <v>1381</v>
      </c>
      <c r="AF164" s="1133" t="s">
        <v>1382</v>
      </c>
      <c r="AG164" s="1133" t="s">
        <v>721</v>
      </c>
      <c r="AH164" s="1133" t="s">
        <v>722</v>
      </c>
      <c r="AI164" s="1134" t="s">
        <v>1496</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1854</v>
      </c>
      <c r="C165" s="1166" t="s">
        <v>1535</v>
      </c>
      <c r="D165" s="1167">
        <v>3501</v>
      </c>
      <c r="E165" s="1137" t="s">
        <v>1890</v>
      </c>
      <c r="F165" s="1137" t="s">
        <v>1532</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1854</v>
      </c>
      <c r="U165" s="1166" t="s">
        <v>1535</v>
      </c>
      <c r="V165" s="1167">
        <v>3502</v>
      </c>
      <c r="W165" s="1137" t="s">
        <v>1890</v>
      </c>
      <c r="X165" s="1137" t="s">
        <v>1532</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58" t="s">
        <v>1889</v>
      </c>
      <c r="C166" s="1193" t="s">
        <v>1875</v>
      </c>
      <c r="D166" s="1133" t="s">
        <v>1876</v>
      </c>
      <c r="E166" s="1134" t="s">
        <v>1359</v>
      </c>
      <c r="F166" s="1133" t="s">
        <v>1878</v>
      </c>
      <c r="G166" s="1194" t="s">
        <v>1881</v>
      </c>
      <c r="H166" s="1195"/>
      <c r="I166" s="1195"/>
      <c r="J166" s="1140"/>
      <c r="K166" s="1195"/>
      <c r="L166" s="1195"/>
      <c r="M166" s="1195"/>
      <c r="N166" s="1195"/>
      <c r="O166" s="1195"/>
      <c r="P166" s="1140"/>
      <c r="Q166" s="1196"/>
      <c r="R166" s="1140"/>
      <c r="S166" s="1140"/>
      <c r="T166" s="1958" t="s">
        <v>1889</v>
      </c>
      <c r="U166" s="1197" t="s">
        <v>1875</v>
      </c>
      <c r="V166" s="1133" t="s">
        <v>1876</v>
      </c>
      <c r="W166" s="1134" t="s">
        <v>1359</v>
      </c>
      <c r="X166" s="1133" t="s">
        <v>1878</v>
      </c>
      <c r="Y166" s="1198" t="s">
        <v>1881</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61"/>
      <c r="C167" s="1228" t="s">
        <v>1891</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61"/>
      <c r="U167" s="1228" t="s">
        <v>1882</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59"/>
      <c r="C168" s="1203" t="s">
        <v>1885</v>
      </c>
      <c r="D168" s="1204" t="s">
        <v>126</v>
      </c>
      <c r="E168" s="1205" t="s">
        <v>128</v>
      </c>
      <c r="F168" s="1206" t="s">
        <v>1104</v>
      </c>
      <c r="G168" s="1169"/>
      <c r="H168" s="1169"/>
      <c r="I168" s="1247"/>
      <c r="J168" s="1169"/>
      <c r="K168" s="1169"/>
      <c r="L168" s="1169"/>
      <c r="M168" s="1169"/>
      <c r="N168" s="1169"/>
      <c r="O168" s="1169"/>
      <c r="P168" s="1140"/>
      <c r="Q168" s="1170"/>
      <c r="R168" s="1140"/>
      <c r="S168" s="1140"/>
      <c r="T168" s="1961"/>
      <c r="U168" s="1133" t="s">
        <v>1885</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59"/>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61"/>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60"/>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62"/>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58" t="s">
        <v>1859</v>
      </c>
      <c r="C171" s="1224" t="s">
        <v>1860</v>
      </c>
      <c r="D171" s="1225" t="s">
        <v>131</v>
      </c>
      <c r="E171" s="1225" t="s">
        <v>1861</v>
      </c>
      <c r="F171" s="1140"/>
      <c r="G171" s="1140"/>
      <c r="H171" s="1140"/>
      <c r="I171" s="1140"/>
      <c r="J171" s="1140"/>
      <c r="K171" s="1140"/>
      <c r="L171" s="1140"/>
      <c r="M171" s="1140"/>
      <c r="N171" s="1140"/>
      <c r="O171" s="1140"/>
      <c r="P171" s="1140"/>
      <c r="Q171" s="1141"/>
      <c r="R171" s="1140"/>
      <c r="S171" s="1140"/>
      <c r="T171" s="1958" t="s">
        <v>1859</v>
      </c>
      <c r="U171" s="1224" t="s">
        <v>1860</v>
      </c>
      <c r="V171" s="1173" t="s">
        <v>131</v>
      </c>
      <c r="W171" s="1173" t="s">
        <v>1861</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61"/>
      <c r="C172" s="1174" t="s">
        <v>1862</v>
      </c>
      <c r="D172" s="1174" t="s">
        <v>1863</v>
      </c>
      <c r="E172" s="1175"/>
      <c r="F172" s="1140"/>
      <c r="G172" s="1140"/>
      <c r="H172" s="1140"/>
      <c r="I172" s="1140"/>
      <c r="J172" s="1140"/>
      <c r="K172" s="1140"/>
      <c r="L172" s="1140"/>
      <c r="M172" s="1140"/>
      <c r="N172" s="1140"/>
      <c r="O172" s="1140"/>
      <c r="P172" s="1140"/>
      <c r="Q172" s="1141"/>
      <c r="R172" s="1140"/>
      <c r="S172" s="1140"/>
      <c r="T172" s="1961"/>
      <c r="U172" s="1174" t="s">
        <v>1862</v>
      </c>
      <c r="V172" s="1174" t="s">
        <v>1863</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61"/>
      <c r="C173" s="1176" t="s">
        <v>1862</v>
      </c>
      <c r="D173" s="1176" t="s">
        <v>1864</v>
      </c>
      <c r="E173" s="1177" t="s">
        <v>1865</v>
      </c>
      <c r="F173" s="1140"/>
      <c r="G173" s="1140"/>
      <c r="H173" s="1140"/>
      <c r="I173" s="1140"/>
      <c r="J173" s="1140"/>
      <c r="K173" s="1140"/>
      <c r="L173" s="1140"/>
      <c r="M173" s="1140"/>
      <c r="N173" s="1140"/>
      <c r="O173" s="1140"/>
      <c r="P173" s="1140"/>
      <c r="Q173" s="1141"/>
      <c r="R173" s="1140"/>
      <c r="S173" s="1140"/>
      <c r="T173" s="1961"/>
      <c r="U173" s="1176" t="s">
        <v>1862</v>
      </c>
      <c r="V173" s="1176" t="s">
        <v>1864</v>
      </c>
      <c r="W173" s="1177" t="s">
        <v>1865</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61"/>
      <c r="C174" s="1176" t="s">
        <v>1862</v>
      </c>
      <c r="D174" s="1176" t="s">
        <v>1866</v>
      </c>
      <c r="E174" s="1177" t="s">
        <v>1700</v>
      </c>
      <c r="F174" s="1140"/>
      <c r="G174" s="1140"/>
      <c r="H174" s="1140"/>
      <c r="I174" s="1140"/>
      <c r="J174" s="1140"/>
      <c r="K174" s="1140"/>
      <c r="L174" s="1140"/>
      <c r="M174" s="1140"/>
      <c r="N174" s="1140"/>
      <c r="O174" s="1140"/>
      <c r="P174" s="1140"/>
      <c r="Q174" s="1141"/>
      <c r="R174" s="1140"/>
      <c r="S174" s="1140"/>
      <c r="T174" s="1961"/>
      <c r="U174" s="1176" t="s">
        <v>1862</v>
      </c>
      <c r="V174" s="1176" t="s">
        <v>1866</v>
      </c>
      <c r="W174" s="1177" t="s">
        <v>1700</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62"/>
      <c r="C175" s="1178" t="s">
        <v>1862</v>
      </c>
      <c r="D175" s="1178" t="s">
        <v>1867</v>
      </c>
      <c r="E175" s="1179" t="s">
        <v>1868</v>
      </c>
      <c r="F175" s="1140"/>
      <c r="G175" s="1140"/>
      <c r="H175" s="1140"/>
      <c r="I175" s="1140"/>
      <c r="J175" s="1140"/>
      <c r="K175" s="1140"/>
      <c r="L175" s="1140"/>
      <c r="M175" s="1140"/>
      <c r="N175" s="1140"/>
      <c r="O175" s="1140"/>
      <c r="P175" s="1140"/>
      <c r="Q175" s="1141"/>
      <c r="R175" s="1140"/>
      <c r="S175" s="1140"/>
      <c r="T175" s="1962"/>
      <c r="U175" s="1178" t="s">
        <v>1862</v>
      </c>
      <c r="V175" s="1178" t="s">
        <v>1867</v>
      </c>
      <c r="W175" s="1179" t="s">
        <v>1868</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58" t="s">
        <v>1869</v>
      </c>
      <c r="C176" s="1180" t="s">
        <v>1870</v>
      </c>
      <c r="D176" s="1181" t="s">
        <v>1860</v>
      </c>
      <c r="E176" s="1181" t="s">
        <v>131</v>
      </c>
      <c r="F176" s="1181" t="s">
        <v>1861</v>
      </c>
      <c r="G176" s="1181" t="s">
        <v>1871</v>
      </c>
      <c r="H176" s="1182" t="s">
        <v>1872</v>
      </c>
      <c r="I176" s="1183" t="s">
        <v>766</v>
      </c>
      <c r="J176" s="1183" t="s">
        <v>767</v>
      </c>
      <c r="K176" s="1183" t="s">
        <v>768</v>
      </c>
      <c r="L176" s="1183" t="s">
        <v>769</v>
      </c>
      <c r="M176" s="1183" t="s">
        <v>204</v>
      </c>
      <c r="N176" s="1140"/>
      <c r="O176" s="1140"/>
      <c r="P176" s="1140"/>
      <c r="Q176" s="1141"/>
      <c r="R176" s="1140"/>
      <c r="S176" s="1140"/>
      <c r="T176" s="1958" t="s">
        <v>1869</v>
      </c>
      <c r="U176" s="1180" t="s">
        <v>1870</v>
      </c>
      <c r="V176" s="1181" t="s">
        <v>1860</v>
      </c>
      <c r="W176" s="1181" t="s">
        <v>131</v>
      </c>
      <c r="X176" s="1181" t="s">
        <v>1861</v>
      </c>
      <c r="Y176" s="1181" t="s">
        <v>1871</v>
      </c>
      <c r="Z176" s="1182" t="s">
        <v>1872</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59"/>
      <c r="C177" s="1184">
        <v>1</v>
      </c>
      <c r="D177" s="1177" t="s">
        <v>1873</v>
      </c>
      <c r="E177" s="1177" t="s">
        <v>1427</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59"/>
      <c r="U177" s="1184">
        <v>1</v>
      </c>
      <c r="V177" s="1177" t="s">
        <v>1873</v>
      </c>
      <c r="W177" s="1177" t="s">
        <v>1427</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59"/>
      <c r="C178" s="1187">
        <v>2</v>
      </c>
      <c r="D178" s="1177" t="s">
        <v>1873</v>
      </c>
      <c r="E178" s="1177" t="s">
        <v>1427</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59"/>
      <c r="U178" s="1187">
        <v>2</v>
      </c>
      <c r="V178" s="1177" t="s">
        <v>1873</v>
      </c>
      <c r="W178" s="1177" t="s">
        <v>1427</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59"/>
      <c r="C179" s="1187">
        <v>3</v>
      </c>
      <c r="D179" s="1177" t="s">
        <v>1873</v>
      </c>
      <c r="E179" s="1177" t="s">
        <v>1427</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59"/>
      <c r="U179" s="1187">
        <v>3</v>
      </c>
      <c r="V179" s="1177" t="s">
        <v>1873</v>
      </c>
      <c r="W179" s="1177" t="s">
        <v>1427</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59"/>
      <c r="C180" s="1187">
        <v>4</v>
      </c>
      <c r="D180" s="1177" t="s">
        <v>1873</v>
      </c>
      <c r="E180" s="1177" t="s">
        <v>1427</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59"/>
      <c r="U180" s="1187">
        <v>4</v>
      </c>
      <c r="V180" s="1177" t="s">
        <v>1873</v>
      </c>
      <c r="W180" s="1177" t="s">
        <v>1427</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59"/>
      <c r="C181" s="1187">
        <v>5</v>
      </c>
      <c r="D181" s="1177" t="s">
        <v>1873</v>
      </c>
      <c r="E181" s="1177" t="s">
        <v>1427</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59"/>
      <c r="U181" s="1187">
        <v>5</v>
      </c>
      <c r="V181" s="1177" t="s">
        <v>1873</v>
      </c>
      <c r="W181" s="1177" t="s">
        <v>1427</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59"/>
      <c r="C182" s="1187">
        <v>6</v>
      </c>
      <c r="D182" s="1177" t="s">
        <v>1873</v>
      </c>
      <c r="E182" s="1177" t="s">
        <v>1427</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59"/>
      <c r="U182" s="1187">
        <v>6</v>
      </c>
      <c r="V182" s="1177" t="s">
        <v>1873</v>
      </c>
      <c r="W182" s="1177" t="s">
        <v>1427</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59"/>
      <c r="C183" s="1187">
        <v>7</v>
      </c>
      <c r="D183" s="1177" t="s">
        <v>1873</v>
      </c>
      <c r="E183" s="1177" t="s">
        <v>1427</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59"/>
      <c r="U183" s="1187">
        <v>7</v>
      </c>
      <c r="V183" s="1177" t="s">
        <v>1873</v>
      </c>
      <c r="W183" s="1177" t="s">
        <v>1427</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59"/>
      <c r="C184" s="1187">
        <v>8</v>
      </c>
      <c r="D184" s="1177" t="s">
        <v>1873</v>
      </c>
      <c r="E184" s="1177" t="s">
        <v>1427</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59"/>
      <c r="U184" s="1187">
        <v>8</v>
      </c>
      <c r="V184" s="1177" t="s">
        <v>1873</v>
      </c>
      <c r="W184" s="1177" t="s">
        <v>1427</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59"/>
      <c r="C185" s="1187">
        <v>9</v>
      </c>
      <c r="D185" s="1177" t="s">
        <v>1873</v>
      </c>
      <c r="E185" s="1177" t="s">
        <v>1427</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59"/>
      <c r="U185" s="1187">
        <v>9</v>
      </c>
      <c r="V185" s="1177" t="s">
        <v>1873</v>
      </c>
      <c r="W185" s="1177" t="s">
        <v>1427</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60"/>
      <c r="C186" s="1189">
        <v>10</v>
      </c>
      <c r="D186" s="1179" t="s">
        <v>1873</v>
      </c>
      <c r="E186" s="1179" t="s">
        <v>1427</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60"/>
      <c r="U186" s="1189">
        <v>10</v>
      </c>
      <c r="V186" s="1179" t="s">
        <v>1873</v>
      </c>
      <c r="W186" s="1179" t="s">
        <v>1427</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1492</v>
      </c>
      <c r="E189" s="1133" t="s">
        <v>766</v>
      </c>
      <c r="F189" s="1133" t="s">
        <v>1497</v>
      </c>
      <c r="G189" s="1133" t="s">
        <v>1850</v>
      </c>
      <c r="H189" s="1134" t="s">
        <v>1851</v>
      </c>
      <c r="I189" s="1134" t="s">
        <v>1852</v>
      </c>
      <c r="J189" s="1133" t="s">
        <v>1874</v>
      </c>
      <c r="K189" s="1133" t="s">
        <v>1853</v>
      </c>
      <c r="L189" s="1134" t="s">
        <v>1397</v>
      </c>
      <c r="M189" s="1134" t="s">
        <v>1381</v>
      </c>
      <c r="N189" s="1133" t="s">
        <v>1382</v>
      </c>
      <c r="O189" s="1133" t="s">
        <v>721</v>
      </c>
      <c r="P189" s="1133" t="s">
        <v>722</v>
      </c>
      <c r="Q189" s="1134" t="s">
        <v>1496</v>
      </c>
      <c r="R189" s="1140"/>
      <c r="S189" s="1140"/>
      <c r="T189" s="1340"/>
      <c r="U189" s="1133" t="s">
        <v>1383</v>
      </c>
      <c r="V189" s="1133" t="s">
        <v>1492</v>
      </c>
      <c r="W189" s="1133" t="s">
        <v>766</v>
      </c>
      <c r="X189" s="1133" t="s">
        <v>1497</v>
      </c>
      <c r="Y189" s="1133" t="s">
        <v>1850</v>
      </c>
      <c r="Z189" s="1134" t="s">
        <v>1851</v>
      </c>
      <c r="AA189" s="1134" t="s">
        <v>1852</v>
      </c>
      <c r="AB189" s="1133" t="s">
        <v>1874</v>
      </c>
      <c r="AC189" s="1133" t="s">
        <v>1853</v>
      </c>
      <c r="AD189" s="1134" t="s">
        <v>1397</v>
      </c>
      <c r="AE189" s="1134" t="s">
        <v>1381</v>
      </c>
      <c r="AF189" s="1133" t="s">
        <v>1382</v>
      </c>
      <c r="AG189" s="1133" t="s">
        <v>721</v>
      </c>
      <c r="AH189" s="1133" t="s">
        <v>722</v>
      </c>
      <c r="AI189" s="1134" t="s">
        <v>1496</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1854</v>
      </c>
      <c r="C190" s="1166" t="s">
        <v>1538</v>
      </c>
      <c r="D190" s="1167">
        <v>3601</v>
      </c>
      <c r="E190" s="1137" t="s">
        <v>1892</v>
      </c>
      <c r="F190" s="1137" t="s">
        <v>1532</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1854</v>
      </c>
      <c r="U190" s="1166" t="s">
        <v>1538</v>
      </c>
      <c r="V190" s="1167">
        <v>3602</v>
      </c>
      <c r="W190" s="1137" t="s">
        <v>1892</v>
      </c>
      <c r="X190" s="1137" t="s">
        <v>1532</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58" t="s">
        <v>1889</v>
      </c>
      <c r="C191" s="1193" t="s">
        <v>1875</v>
      </c>
      <c r="D191" s="1133" t="s">
        <v>1876</v>
      </c>
      <c r="E191" s="1134" t="s">
        <v>1359</v>
      </c>
      <c r="F191" s="1133" t="s">
        <v>1878</v>
      </c>
      <c r="G191" s="1194" t="s">
        <v>1881</v>
      </c>
      <c r="H191" s="1140"/>
      <c r="I191" s="1140"/>
      <c r="J191" s="1140"/>
      <c r="K191" s="1195"/>
      <c r="L191" s="1195"/>
      <c r="M191" s="1195"/>
      <c r="N191" s="1195"/>
      <c r="O191" s="1195"/>
      <c r="P191" s="1195"/>
      <c r="Q191" s="1196"/>
      <c r="R191" s="1140"/>
      <c r="S191" s="1140"/>
      <c r="T191" s="1958" t="s">
        <v>1889</v>
      </c>
      <c r="U191" s="1193" t="s">
        <v>1875</v>
      </c>
      <c r="V191" s="1133" t="s">
        <v>1876</v>
      </c>
      <c r="W191" s="1134" t="s">
        <v>1359</v>
      </c>
      <c r="X191" s="1133" t="s">
        <v>1878</v>
      </c>
      <c r="Y191" s="1198" t="s">
        <v>1881</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61"/>
      <c r="C192" s="1228" t="s">
        <v>1891</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61"/>
      <c r="U192" s="1228" t="s">
        <v>1882</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59"/>
      <c r="C193" s="1203" t="s">
        <v>1885</v>
      </c>
      <c r="D193" s="1204" t="s">
        <v>126</v>
      </c>
      <c r="E193" s="1205" t="s">
        <v>128</v>
      </c>
      <c r="F193" s="1206" t="s">
        <v>1104</v>
      </c>
      <c r="G193" s="1169"/>
      <c r="H193" s="1169"/>
      <c r="I193" s="1169"/>
      <c r="J193" s="1169"/>
      <c r="K193" s="1169"/>
      <c r="L193" s="1169"/>
      <c r="M193" s="1169"/>
      <c r="N193" s="1169"/>
      <c r="O193" s="1169"/>
      <c r="P193" s="1169"/>
      <c r="Q193" s="1170"/>
      <c r="R193" s="1140"/>
      <c r="S193" s="1140"/>
      <c r="T193" s="1961"/>
      <c r="U193" s="1231" t="s">
        <v>1885</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59"/>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59"/>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59"/>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59"/>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59"/>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59"/>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59"/>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59"/>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59"/>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59"/>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60"/>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60"/>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58" t="s">
        <v>1859</v>
      </c>
      <c r="C200" s="1224" t="s">
        <v>1860</v>
      </c>
      <c r="D200" s="1225" t="s">
        <v>131</v>
      </c>
      <c r="E200" s="1225" t="s">
        <v>1861</v>
      </c>
      <c r="F200" s="1140"/>
      <c r="G200" s="1140"/>
      <c r="H200" s="1140"/>
      <c r="I200" s="1140"/>
      <c r="J200" s="1140"/>
      <c r="K200" s="1140"/>
      <c r="L200" s="1140"/>
      <c r="M200" s="1140"/>
      <c r="N200" s="1140"/>
      <c r="O200" s="1140"/>
      <c r="P200" s="1140"/>
      <c r="Q200" s="1141"/>
      <c r="R200" s="1140"/>
      <c r="S200" s="1140"/>
      <c r="T200" s="1958" t="s">
        <v>1859</v>
      </c>
      <c r="U200" s="1224" t="s">
        <v>1860</v>
      </c>
      <c r="V200" s="1225" t="s">
        <v>131</v>
      </c>
      <c r="W200" s="1225" t="s">
        <v>1861</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61"/>
      <c r="C201" s="1174" t="s">
        <v>1862</v>
      </c>
      <c r="D201" s="1174" t="s">
        <v>1863</v>
      </c>
      <c r="E201" s="1175"/>
      <c r="F201" s="1140"/>
      <c r="G201" s="1140"/>
      <c r="H201" s="1140"/>
      <c r="I201" s="1140"/>
      <c r="J201" s="1140"/>
      <c r="K201" s="1140"/>
      <c r="L201" s="1140"/>
      <c r="M201" s="1140"/>
      <c r="N201" s="1140"/>
      <c r="O201" s="1140"/>
      <c r="P201" s="1140"/>
      <c r="Q201" s="1141"/>
      <c r="R201" s="1140"/>
      <c r="S201" s="1140"/>
      <c r="T201" s="1961"/>
      <c r="U201" s="1174" t="s">
        <v>1862</v>
      </c>
      <c r="V201" s="1174" t="s">
        <v>1863</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61"/>
      <c r="C202" s="1176" t="s">
        <v>1862</v>
      </c>
      <c r="D202" s="1176" t="s">
        <v>1864</v>
      </c>
      <c r="E202" s="1177" t="s">
        <v>1865</v>
      </c>
      <c r="F202" s="1140"/>
      <c r="G202" s="1140"/>
      <c r="H202" s="1140"/>
      <c r="I202" s="1140"/>
      <c r="J202" s="1140"/>
      <c r="K202" s="1140"/>
      <c r="L202" s="1140"/>
      <c r="M202" s="1140"/>
      <c r="N202" s="1140"/>
      <c r="O202" s="1140"/>
      <c r="P202" s="1140"/>
      <c r="Q202" s="1141"/>
      <c r="R202" s="1140"/>
      <c r="S202" s="1140"/>
      <c r="T202" s="1961"/>
      <c r="U202" s="1176" t="s">
        <v>1862</v>
      </c>
      <c r="V202" s="1176" t="s">
        <v>1864</v>
      </c>
      <c r="W202" s="1177" t="s">
        <v>1865</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61"/>
      <c r="C203" s="1176" t="s">
        <v>1862</v>
      </c>
      <c r="D203" s="1176" t="s">
        <v>1866</v>
      </c>
      <c r="E203" s="1177" t="s">
        <v>1700</v>
      </c>
      <c r="F203" s="1140"/>
      <c r="G203" s="1140"/>
      <c r="H203" s="1140"/>
      <c r="I203" s="1140"/>
      <c r="J203" s="1140"/>
      <c r="K203" s="1140"/>
      <c r="L203" s="1140"/>
      <c r="M203" s="1140"/>
      <c r="N203" s="1140"/>
      <c r="O203" s="1140"/>
      <c r="P203" s="1140"/>
      <c r="Q203" s="1141"/>
      <c r="R203" s="1140"/>
      <c r="S203" s="1140"/>
      <c r="T203" s="1961"/>
      <c r="U203" s="1176" t="s">
        <v>1862</v>
      </c>
      <c r="V203" s="1176" t="s">
        <v>1866</v>
      </c>
      <c r="W203" s="1177" t="s">
        <v>1700</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62"/>
      <c r="C204" s="1178" t="s">
        <v>1862</v>
      </c>
      <c r="D204" s="1178" t="s">
        <v>1867</v>
      </c>
      <c r="E204" s="1179" t="s">
        <v>1868</v>
      </c>
      <c r="F204" s="1140"/>
      <c r="G204" s="1140"/>
      <c r="H204" s="1140"/>
      <c r="I204" s="1140"/>
      <c r="J204" s="1140"/>
      <c r="K204" s="1140"/>
      <c r="L204" s="1140"/>
      <c r="M204" s="1140"/>
      <c r="N204" s="1140"/>
      <c r="O204" s="1140"/>
      <c r="P204" s="1140"/>
      <c r="Q204" s="1141"/>
      <c r="R204" s="1140"/>
      <c r="S204" s="1140"/>
      <c r="T204" s="1962"/>
      <c r="U204" s="1178" t="s">
        <v>1862</v>
      </c>
      <c r="V204" s="1178" t="s">
        <v>1867</v>
      </c>
      <c r="W204" s="1179" t="s">
        <v>1868</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58" t="s">
        <v>1869</v>
      </c>
      <c r="C205" s="1180" t="s">
        <v>1870</v>
      </c>
      <c r="D205" s="1181" t="s">
        <v>1860</v>
      </c>
      <c r="E205" s="1181" t="s">
        <v>131</v>
      </c>
      <c r="F205" s="1181" t="s">
        <v>1861</v>
      </c>
      <c r="G205" s="1181" t="s">
        <v>1871</v>
      </c>
      <c r="H205" s="1182" t="s">
        <v>1872</v>
      </c>
      <c r="I205" s="1183" t="s">
        <v>766</v>
      </c>
      <c r="J205" s="1183" t="s">
        <v>767</v>
      </c>
      <c r="K205" s="1183" t="s">
        <v>768</v>
      </c>
      <c r="L205" s="1183" t="s">
        <v>769</v>
      </c>
      <c r="M205" s="1183" t="s">
        <v>204</v>
      </c>
      <c r="N205" s="1140"/>
      <c r="O205" s="1140"/>
      <c r="P205" s="1140"/>
      <c r="Q205" s="1141"/>
      <c r="R205" s="1140"/>
      <c r="S205" s="1140"/>
      <c r="T205" s="1958" t="s">
        <v>1869</v>
      </c>
      <c r="U205" s="1180" t="s">
        <v>1870</v>
      </c>
      <c r="V205" s="1181" t="s">
        <v>1860</v>
      </c>
      <c r="W205" s="1181" t="s">
        <v>131</v>
      </c>
      <c r="X205" s="1181" t="s">
        <v>1861</v>
      </c>
      <c r="Y205" s="1181" t="s">
        <v>1871</v>
      </c>
      <c r="Z205" s="1182" t="s">
        <v>1872</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59"/>
      <c r="C206" s="1184">
        <v>1</v>
      </c>
      <c r="D206" s="1177" t="s">
        <v>1873</v>
      </c>
      <c r="E206" s="1177" t="s">
        <v>1427</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59"/>
      <c r="U206" s="1184">
        <v>1</v>
      </c>
      <c r="V206" s="1177" t="s">
        <v>1873</v>
      </c>
      <c r="W206" s="1177" t="s">
        <v>1427</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59"/>
      <c r="C207" s="1187">
        <v>2</v>
      </c>
      <c r="D207" s="1177" t="s">
        <v>1873</v>
      </c>
      <c r="E207" s="1177" t="s">
        <v>1427</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59"/>
      <c r="U207" s="1187">
        <v>2</v>
      </c>
      <c r="V207" s="1177" t="s">
        <v>1873</v>
      </c>
      <c r="W207" s="1177" t="s">
        <v>1427</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59"/>
      <c r="C208" s="1187">
        <v>3</v>
      </c>
      <c r="D208" s="1177" t="s">
        <v>1873</v>
      </c>
      <c r="E208" s="1177" t="s">
        <v>1427</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59"/>
      <c r="U208" s="1187">
        <v>3</v>
      </c>
      <c r="V208" s="1177" t="s">
        <v>1873</v>
      </c>
      <c r="W208" s="1177" t="s">
        <v>1427</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59"/>
      <c r="C209" s="1187">
        <v>4</v>
      </c>
      <c r="D209" s="1177" t="s">
        <v>1873</v>
      </c>
      <c r="E209" s="1177" t="s">
        <v>1427</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59"/>
      <c r="U209" s="1187">
        <v>4</v>
      </c>
      <c r="V209" s="1177" t="s">
        <v>1873</v>
      </c>
      <c r="W209" s="1177" t="s">
        <v>1427</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59"/>
      <c r="C210" s="1187">
        <v>5</v>
      </c>
      <c r="D210" s="1177" t="s">
        <v>1873</v>
      </c>
      <c r="E210" s="1177" t="s">
        <v>1427</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59"/>
      <c r="U210" s="1187">
        <v>5</v>
      </c>
      <c r="V210" s="1177" t="s">
        <v>1873</v>
      </c>
      <c r="W210" s="1177" t="s">
        <v>1427</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59"/>
      <c r="C211" s="1187">
        <v>6</v>
      </c>
      <c r="D211" s="1177" t="s">
        <v>1873</v>
      </c>
      <c r="E211" s="1177" t="s">
        <v>1427</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59"/>
      <c r="U211" s="1187">
        <v>6</v>
      </c>
      <c r="V211" s="1177" t="s">
        <v>1873</v>
      </c>
      <c r="W211" s="1177" t="s">
        <v>1427</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59"/>
      <c r="C212" s="1187">
        <v>7</v>
      </c>
      <c r="D212" s="1177" t="s">
        <v>1873</v>
      </c>
      <c r="E212" s="1177" t="s">
        <v>1427</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59"/>
      <c r="U212" s="1187">
        <v>7</v>
      </c>
      <c r="V212" s="1177" t="s">
        <v>1873</v>
      </c>
      <c r="W212" s="1177" t="s">
        <v>1427</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59"/>
      <c r="C213" s="1187">
        <v>8</v>
      </c>
      <c r="D213" s="1177" t="s">
        <v>1873</v>
      </c>
      <c r="E213" s="1177" t="s">
        <v>1427</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59"/>
      <c r="U213" s="1187">
        <v>8</v>
      </c>
      <c r="V213" s="1177" t="s">
        <v>1873</v>
      </c>
      <c r="W213" s="1177" t="s">
        <v>1427</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59"/>
      <c r="C214" s="1187">
        <v>9</v>
      </c>
      <c r="D214" s="1177" t="s">
        <v>1873</v>
      </c>
      <c r="E214" s="1177" t="s">
        <v>1427</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59"/>
      <c r="U214" s="1187">
        <v>9</v>
      </c>
      <c r="V214" s="1177" t="s">
        <v>1873</v>
      </c>
      <c r="W214" s="1177" t="s">
        <v>1427</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60"/>
      <c r="C215" s="1189">
        <v>10</v>
      </c>
      <c r="D215" s="1179" t="s">
        <v>1873</v>
      </c>
      <c r="E215" s="1179" t="s">
        <v>1427</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60"/>
      <c r="U215" s="1189">
        <v>10</v>
      </c>
      <c r="V215" s="1179" t="s">
        <v>1873</v>
      </c>
      <c r="W215" s="1179" t="s">
        <v>1427</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1492</v>
      </c>
      <c r="E218" s="1133" t="s">
        <v>766</v>
      </c>
      <c r="F218" s="1133" t="s">
        <v>1497</v>
      </c>
      <c r="G218" s="1133" t="s">
        <v>1850</v>
      </c>
      <c r="H218" s="1134" t="s">
        <v>1851</v>
      </c>
      <c r="I218" s="1134" t="s">
        <v>1852</v>
      </c>
      <c r="J218" s="1133" t="s">
        <v>1874</v>
      </c>
      <c r="K218" s="1133" t="s">
        <v>1853</v>
      </c>
      <c r="L218" s="1134" t="s">
        <v>1397</v>
      </c>
      <c r="M218" s="1134" t="s">
        <v>1381</v>
      </c>
      <c r="N218" s="1133" t="s">
        <v>1382</v>
      </c>
      <c r="O218" s="1134" t="s">
        <v>721</v>
      </c>
      <c r="P218" s="1134" t="s">
        <v>722</v>
      </c>
      <c r="Q218" s="1134" t="s">
        <v>1496</v>
      </c>
      <c r="R218" s="1140"/>
      <c r="S218" s="1140"/>
      <c r="T218" s="1340"/>
      <c r="U218" s="1133" t="s">
        <v>1383</v>
      </c>
      <c r="V218" s="1133" t="s">
        <v>1492</v>
      </c>
      <c r="W218" s="1133" t="s">
        <v>766</v>
      </c>
      <c r="X218" s="1133" t="s">
        <v>1497</v>
      </c>
      <c r="Y218" s="1133" t="s">
        <v>1850</v>
      </c>
      <c r="Z218" s="1134" t="s">
        <v>1851</v>
      </c>
      <c r="AA218" s="1134" t="s">
        <v>1852</v>
      </c>
      <c r="AB218" s="1133" t="s">
        <v>1874</v>
      </c>
      <c r="AC218" s="1133" t="s">
        <v>1853</v>
      </c>
      <c r="AD218" s="1134" t="s">
        <v>1397</v>
      </c>
      <c r="AE218" s="1134" t="s">
        <v>1381</v>
      </c>
      <c r="AF218" s="1133" t="s">
        <v>1382</v>
      </c>
      <c r="AG218" s="1133" t="s">
        <v>721</v>
      </c>
      <c r="AH218" s="1133" t="s">
        <v>722</v>
      </c>
      <c r="AI218" s="1134" t="s">
        <v>1496</v>
      </c>
      <c r="AJ218" s="1140"/>
      <c r="AK218" s="1140"/>
      <c r="AL218" s="1340"/>
      <c r="AM218" s="1133" t="s">
        <v>1383</v>
      </c>
      <c r="AN218" s="1133" t="s">
        <v>1492</v>
      </c>
      <c r="AO218" s="1133" t="s">
        <v>766</v>
      </c>
      <c r="AP218" s="1133" t="s">
        <v>1497</v>
      </c>
      <c r="AQ218" s="1133" t="s">
        <v>1850</v>
      </c>
      <c r="AR218" s="1134" t="s">
        <v>1851</v>
      </c>
      <c r="AS218" s="1134" t="s">
        <v>1852</v>
      </c>
      <c r="AT218" s="1133" t="s">
        <v>1874</v>
      </c>
      <c r="AU218" s="1133" t="s">
        <v>1853</v>
      </c>
      <c r="AV218" s="1134" t="s">
        <v>1397</v>
      </c>
      <c r="AW218" s="1134" t="s">
        <v>1381</v>
      </c>
      <c r="AX218" s="1133" t="s">
        <v>1382</v>
      </c>
      <c r="AY218" s="1133" t="s">
        <v>721</v>
      </c>
      <c r="AZ218" s="1133" t="s">
        <v>722</v>
      </c>
      <c r="BA218" s="1134" t="s">
        <v>1496</v>
      </c>
      <c r="BB218" s="1140"/>
      <c r="BC218" s="1340"/>
      <c r="BD218" s="1133" t="s">
        <v>1383</v>
      </c>
      <c r="BE218" s="1133" t="s">
        <v>1492</v>
      </c>
      <c r="BF218" s="1133" t="s">
        <v>766</v>
      </c>
      <c r="BG218" s="1133" t="s">
        <v>1497</v>
      </c>
      <c r="BH218" s="1133" t="s">
        <v>1850</v>
      </c>
      <c r="BI218" s="1134" t="s">
        <v>1851</v>
      </c>
      <c r="BJ218" s="1134" t="s">
        <v>1852</v>
      </c>
      <c r="BK218" s="1133" t="s">
        <v>1874</v>
      </c>
      <c r="BL218" s="1133" t="s">
        <v>1853</v>
      </c>
      <c r="BM218" s="1134" t="s">
        <v>1397</v>
      </c>
      <c r="BN218" s="1134" t="s">
        <v>1381</v>
      </c>
      <c r="BO218" s="1133" t="s">
        <v>1382</v>
      </c>
      <c r="BP218" s="1133" t="s">
        <v>721</v>
      </c>
      <c r="BQ218" s="1133" t="s">
        <v>722</v>
      </c>
      <c r="BR218" s="1134" t="s">
        <v>1496</v>
      </c>
      <c r="BS218" s="1140"/>
      <c r="BT218" s="1340"/>
      <c r="BU218" s="1133" t="s">
        <v>1383</v>
      </c>
      <c r="BV218" s="1133" t="s">
        <v>1492</v>
      </c>
      <c r="BW218" s="1133" t="s">
        <v>766</v>
      </c>
      <c r="BX218" s="1133" t="s">
        <v>1497</v>
      </c>
      <c r="BY218" s="1133" t="s">
        <v>1850</v>
      </c>
      <c r="BZ218" s="1134" t="s">
        <v>1851</v>
      </c>
      <c r="CA218" s="1134" t="s">
        <v>1852</v>
      </c>
      <c r="CB218" s="1133" t="s">
        <v>1874</v>
      </c>
      <c r="CC218" s="1133" t="s">
        <v>1853</v>
      </c>
      <c r="CD218" s="1134" t="s">
        <v>1397</v>
      </c>
      <c r="CE218" s="1134" t="s">
        <v>1381</v>
      </c>
      <c r="CF218" s="1133" t="s">
        <v>1382</v>
      </c>
      <c r="CG218" s="1133" t="s">
        <v>721</v>
      </c>
      <c r="CH218" s="1133" t="s">
        <v>722</v>
      </c>
      <c r="CI218" s="1134" t="s">
        <v>1496</v>
      </c>
      <c r="CJ218" s="1140"/>
      <c r="CK218" s="1140"/>
    </row>
    <row r="219" spans="1:89" ht="63" customHeight="1" thickBot="1" x14ac:dyDescent="0.3">
      <c r="A219" s="1140"/>
      <c r="B219" s="1165" t="s">
        <v>1854</v>
      </c>
      <c r="C219" s="1166" t="s">
        <v>1540</v>
      </c>
      <c r="D219" s="1167">
        <v>1301</v>
      </c>
      <c r="E219" s="1137" t="s">
        <v>1893</v>
      </c>
      <c r="F219" s="1137" t="s">
        <v>1498</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1854</v>
      </c>
      <c r="U219" s="1166" t="s">
        <v>1540</v>
      </c>
      <c r="V219" s="1167">
        <v>1302</v>
      </c>
      <c r="W219" s="1137" t="s">
        <v>1893</v>
      </c>
      <c r="X219" s="1137" t="s">
        <v>1498</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1854</v>
      </c>
      <c r="AM219" s="1166" t="s">
        <v>1540</v>
      </c>
      <c r="AN219" s="1167">
        <v>1303</v>
      </c>
      <c r="AO219" s="1137" t="s">
        <v>1893</v>
      </c>
      <c r="AP219" s="1137" t="s">
        <v>1498</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1854</v>
      </c>
      <c r="BD219" s="1166" t="s">
        <v>1540</v>
      </c>
      <c r="BE219" s="1167">
        <v>1304</v>
      </c>
      <c r="BF219" s="1137" t="s">
        <v>1893</v>
      </c>
      <c r="BG219" s="1137" t="s">
        <v>1498</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1854</v>
      </c>
      <c r="BU219" s="1166" t="s">
        <v>1540</v>
      </c>
      <c r="BV219" s="1167">
        <v>1305</v>
      </c>
      <c r="BW219" s="1137" t="s">
        <v>1893</v>
      </c>
      <c r="BX219" s="1137" t="s">
        <v>1498</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58" t="s">
        <v>1859</v>
      </c>
      <c r="C220" s="1193" t="s">
        <v>1875</v>
      </c>
      <c r="D220" s="1133" t="s">
        <v>1876</v>
      </c>
      <c r="E220" s="1134" t="s">
        <v>1359</v>
      </c>
      <c r="F220" s="1134" t="s">
        <v>1877</v>
      </c>
      <c r="G220" s="1133" t="s">
        <v>1894</v>
      </c>
      <c r="H220" s="1133" t="s">
        <v>1878</v>
      </c>
      <c r="I220" s="1194" t="s">
        <v>1879</v>
      </c>
      <c r="J220" s="1194" t="s">
        <v>1880</v>
      </c>
      <c r="K220" s="1194" t="s">
        <v>1881</v>
      </c>
      <c r="L220" s="1195"/>
      <c r="M220" s="1195"/>
      <c r="N220" s="1195"/>
      <c r="O220" s="1195"/>
      <c r="P220" s="1195"/>
      <c r="Q220" s="1196"/>
      <c r="R220" s="1195"/>
      <c r="S220" s="1140"/>
      <c r="T220" s="1958" t="s">
        <v>1855</v>
      </c>
      <c r="U220" s="1193" t="s">
        <v>1875</v>
      </c>
      <c r="V220" s="1133" t="s">
        <v>1876</v>
      </c>
      <c r="W220" s="1134" t="s">
        <v>1359</v>
      </c>
      <c r="X220" s="1134" t="s">
        <v>1877</v>
      </c>
      <c r="Y220" s="1133" t="s">
        <v>1894</v>
      </c>
      <c r="Z220" s="1133" t="s">
        <v>1878</v>
      </c>
      <c r="AA220" s="1194" t="s">
        <v>1879</v>
      </c>
      <c r="AB220" s="1194" t="s">
        <v>1880</v>
      </c>
      <c r="AC220" s="1194" t="s">
        <v>1881</v>
      </c>
      <c r="AD220" s="1195"/>
      <c r="AE220" s="1195"/>
      <c r="AF220" s="1195"/>
      <c r="AG220" s="1195"/>
      <c r="AH220" s="1195"/>
      <c r="AI220" s="1196"/>
      <c r="AJ220" s="1140"/>
      <c r="AK220" s="1140"/>
      <c r="AL220" s="1958" t="s">
        <v>1855</v>
      </c>
      <c r="AM220" s="1193" t="s">
        <v>1875</v>
      </c>
      <c r="AN220" s="1133" t="s">
        <v>1876</v>
      </c>
      <c r="AO220" s="1134" t="s">
        <v>1359</v>
      </c>
      <c r="AP220" s="1134" t="s">
        <v>1877</v>
      </c>
      <c r="AQ220" s="1133" t="s">
        <v>1894</v>
      </c>
      <c r="AR220" s="1133" t="s">
        <v>1878</v>
      </c>
      <c r="AS220" s="1194" t="s">
        <v>1879</v>
      </c>
      <c r="AT220" s="1194" t="s">
        <v>1880</v>
      </c>
      <c r="AU220" s="1194" t="s">
        <v>1881</v>
      </c>
      <c r="AV220" s="1195"/>
      <c r="AW220" s="1195"/>
      <c r="AX220" s="1195"/>
      <c r="AY220" s="1195"/>
      <c r="AZ220" s="1195"/>
      <c r="BA220" s="1196"/>
      <c r="BB220" s="1140"/>
      <c r="BC220" s="1958" t="s">
        <v>1855</v>
      </c>
      <c r="BD220" s="1193" t="s">
        <v>1875</v>
      </c>
      <c r="BE220" s="1133" t="s">
        <v>1876</v>
      </c>
      <c r="BF220" s="1134" t="s">
        <v>1359</v>
      </c>
      <c r="BG220" s="1134" t="s">
        <v>1877</v>
      </c>
      <c r="BH220" s="1133" t="s">
        <v>1894</v>
      </c>
      <c r="BI220" s="1133" t="s">
        <v>1878</v>
      </c>
      <c r="BJ220" s="1194" t="s">
        <v>1879</v>
      </c>
      <c r="BK220" s="1194" t="s">
        <v>1880</v>
      </c>
      <c r="BL220" s="1194" t="s">
        <v>1881</v>
      </c>
      <c r="BM220" s="1195"/>
      <c r="BN220" s="1195"/>
      <c r="BO220" s="1195"/>
      <c r="BP220" s="1195"/>
      <c r="BQ220" s="1195"/>
      <c r="BR220" s="1196"/>
      <c r="BS220" s="1140"/>
      <c r="BT220" s="1958" t="s">
        <v>1855</v>
      </c>
      <c r="BU220" s="1193" t="s">
        <v>1875</v>
      </c>
      <c r="BV220" s="1133" t="s">
        <v>1876</v>
      </c>
      <c r="BW220" s="1134" t="s">
        <v>1359</v>
      </c>
      <c r="BX220" s="1134" t="s">
        <v>1877</v>
      </c>
      <c r="BY220" s="1133" t="s">
        <v>1894</v>
      </c>
      <c r="BZ220" s="1133" t="s">
        <v>1878</v>
      </c>
      <c r="CA220" s="1194" t="s">
        <v>1879</v>
      </c>
      <c r="CB220" s="1194" t="s">
        <v>1880</v>
      </c>
      <c r="CC220" s="1194" t="s">
        <v>1881</v>
      </c>
      <c r="CD220" s="1195"/>
      <c r="CE220" s="1195"/>
      <c r="CF220" s="1195"/>
      <c r="CG220" s="1195"/>
      <c r="CH220" s="1195"/>
      <c r="CI220" s="1196"/>
      <c r="CJ220" s="1140"/>
      <c r="CK220" s="1140"/>
    </row>
    <row r="221" spans="1:89" ht="15.75" thickBot="1" x14ac:dyDescent="0.3">
      <c r="A221" s="1140"/>
      <c r="B221" s="1961"/>
      <c r="C221" s="1228" t="s">
        <v>1882</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1858</v>
      </c>
      <c r="J221" s="1230" t="s">
        <v>1895</v>
      </c>
      <c r="K221" s="1230" t="str" cm="1">
        <f t="array" aca="1" ref="K221" ca="1">INDIRECT("'Incentives Worksheet'!N"&amp;'Configurable Tab'!H19+6)</f>
        <v>%</v>
      </c>
      <c r="L221" s="1169"/>
      <c r="M221" s="1169"/>
      <c r="N221" s="1169"/>
      <c r="O221" s="1169"/>
      <c r="P221" s="1169"/>
      <c r="Q221" s="1170"/>
      <c r="R221" s="1140"/>
      <c r="S221" s="1140"/>
      <c r="T221" s="1961"/>
      <c r="U221" s="1228" t="s">
        <v>1882</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1858</v>
      </c>
      <c r="AB221" s="1230" t="s">
        <v>1895</v>
      </c>
      <c r="AC221" s="1230" t="str" cm="1">
        <f t="array" aca="1" ref="AC221" ca="1">INDIRECT("'Incentives Worksheet'!N"&amp;'Configurable Tab'!H20+6)</f>
        <v>%</v>
      </c>
      <c r="AD221" s="1169"/>
      <c r="AE221" s="1169"/>
      <c r="AF221" s="1169"/>
      <c r="AG221" s="1169"/>
      <c r="AH221" s="1169"/>
      <c r="AI221" s="1170"/>
      <c r="AJ221" s="1140"/>
      <c r="AK221" s="1140"/>
      <c r="AL221" s="1961"/>
      <c r="AM221" s="1228" t="s">
        <v>1882</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1858</v>
      </c>
      <c r="AT221" s="1230" t="s">
        <v>1895</v>
      </c>
      <c r="AU221" s="1230" t="str" cm="1">
        <f t="array" aca="1" ref="AU221" ca="1">INDIRECT("'Incentives Worksheet'!N"&amp;'Configurable Tab'!H21+6)</f>
        <v>%</v>
      </c>
      <c r="AV221" s="1169"/>
      <c r="AW221" s="1169"/>
      <c r="AX221" s="1169"/>
      <c r="AY221" s="1169"/>
      <c r="AZ221" s="1169"/>
      <c r="BA221" s="1170"/>
      <c r="BB221" s="1140"/>
      <c r="BC221" s="1961"/>
      <c r="BD221" s="1228" t="s">
        <v>1882</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1858</v>
      </c>
      <c r="BK221" s="1230" t="s">
        <v>1895</v>
      </c>
      <c r="BL221" s="1230" t="str" cm="1">
        <f t="array" aca="1" ref="BL221" ca="1">INDIRECT("'Incentives Worksheet'!N"&amp;'Configurable Tab'!H22+6)</f>
        <v>%</v>
      </c>
      <c r="BM221" s="1169"/>
      <c r="BN221" s="1169"/>
      <c r="BO221" s="1169"/>
      <c r="BP221" s="1169"/>
      <c r="BQ221" s="1169"/>
      <c r="BR221" s="1170"/>
      <c r="BS221" s="1140"/>
      <c r="BT221" s="1961"/>
      <c r="BU221" s="1228" t="s">
        <v>1882</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1858</v>
      </c>
      <c r="CB221" s="1230" t="s">
        <v>1895</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59"/>
      <c r="C222" s="1203" t="s">
        <v>1885</v>
      </c>
      <c r="D222" s="1204" t="s">
        <v>126</v>
      </c>
      <c r="E222" s="1205" t="s">
        <v>128</v>
      </c>
      <c r="F222" s="1206" t="s">
        <v>1104</v>
      </c>
      <c r="G222" s="1169"/>
      <c r="H222" s="1169"/>
      <c r="I222" s="1169"/>
      <c r="J222" s="1169"/>
      <c r="K222" s="1169"/>
      <c r="L222" s="1169"/>
      <c r="M222" s="1169"/>
      <c r="N222" s="1169"/>
      <c r="O222" s="1169"/>
      <c r="P222" s="1169"/>
      <c r="Q222" s="1170"/>
      <c r="R222" s="1140"/>
      <c r="S222" s="1140"/>
      <c r="T222" s="1961"/>
      <c r="U222" s="1203" t="s">
        <v>1885</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61"/>
      <c r="AM222" s="1203" t="s">
        <v>1885</v>
      </c>
      <c r="AN222" s="1204" t="s">
        <v>126</v>
      </c>
      <c r="AO222" s="1205" t="s">
        <v>128</v>
      </c>
      <c r="AP222" s="1206" t="s">
        <v>1104</v>
      </c>
      <c r="AQ222" s="1169"/>
      <c r="AR222" s="1169"/>
      <c r="AS222" s="1169"/>
      <c r="AT222" s="1169"/>
      <c r="AU222" s="1169"/>
      <c r="AV222" s="1169"/>
      <c r="AW222" s="1169"/>
      <c r="AX222" s="1169"/>
      <c r="AY222" s="1169"/>
      <c r="AZ222" s="1169"/>
      <c r="BA222" s="1170"/>
      <c r="BB222" s="1140"/>
      <c r="BC222" s="1961"/>
      <c r="BD222" s="1203" t="s">
        <v>1885</v>
      </c>
      <c r="BE222" s="1204" t="s">
        <v>126</v>
      </c>
      <c r="BF222" s="1205" t="s">
        <v>128</v>
      </c>
      <c r="BG222" s="1206" t="s">
        <v>1104</v>
      </c>
      <c r="BH222" s="1169"/>
      <c r="BI222" s="1169"/>
      <c r="BJ222" s="1169"/>
      <c r="BK222" s="1169"/>
      <c r="BL222" s="1169"/>
      <c r="BM222" s="1169"/>
      <c r="BN222" s="1169"/>
      <c r="BO222" s="1169"/>
      <c r="BP222" s="1169"/>
      <c r="BQ222" s="1169"/>
      <c r="BR222" s="1170"/>
      <c r="BS222" s="1140"/>
      <c r="BT222" s="1961"/>
      <c r="BU222" s="1203" t="s">
        <v>1885</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59"/>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61"/>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61"/>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61"/>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61"/>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60"/>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62"/>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62"/>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62"/>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62"/>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58" t="s">
        <v>1859</v>
      </c>
      <c r="C225" s="1224" t="s">
        <v>1860</v>
      </c>
      <c r="D225" s="1225" t="s">
        <v>131</v>
      </c>
      <c r="E225" s="1225" t="s">
        <v>1861</v>
      </c>
      <c r="F225" s="1140"/>
      <c r="G225" s="1140"/>
      <c r="H225" s="1140"/>
      <c r="I225" s="1140"/>
      <c r="J225" s="1140"/>
      <c r="K225" s="1140"/>
      <c r="L225" s="1140"/>
      <c r="M225" s="1140"/>
      <c r="N225" s="1140"/>
      <c r="O225" s="1140"/>
      <c r="P225" s="1140"/>
      <c r="Q225" s="1141"/>
      <c r="R225" s="1140"/>
      <c r="S225" s="1140"/>
      <c r="T225" s="1958" t="s">
        <v>1859</v>
      </c>
      <c r="U225" s="1224" t="s">
        <v>1860</v>
      </c>
      <c r="V225" s="1173" t="s">
        <v>131</v>
      </c>
      <c r="W225" s="1173" t="s">
        <v>1861</v>
      </c>
      <c r="X225" s="1140"/>
      <c r="Y225" s="1140"/>
      <c r="Z225" s="1140"/>
      <c r="AA225" s="1140"/>
      <c r="AB225" s="1140"/>
      <c r="AC225" s="1140"/>
      <c r="AD225" s="1140"/>
      <c r="AE225" s="1140"/>
      <c r="AF225" s="1140"/>
      <c r="AG225" s="1140"/>
      <c r="AH225" s="1140"/>
      <c r="AI225" s="1141"/>
      <c r="AJ225" s="1140"/>
      <c r="AK225" s="1140"/>
      <c r="AL225" s="1958" t="s">
        <v>1859</v>
      </c>
      <c r="AM225" s="1224" t="s">
        <v>1860</v>
      </c>
      <c r="AN225" s="1173" t="s">
        <v>131</v>
      </c>
      <c r="AO225" s="1173" t="s">
        <v>1861</v>
      </c>
      <c r="AP225" s="1140"/>
      <c r="AQ225" s="1140"/>
      <c r="AR225" s="1140"/>
      <c r="AS225" s="1140"/>
      <c r="AT225" s="1140"/>
      <c r="AU225" s="1140"/>
      <c r="AV225" s="1140"/>
      <c r="AW225" s="1140"/>
      <c r="AX225" s="1140"/>
      <c r="AY225" s="1140"/>
      <c r="AZ225" s="1140"/>
      <c r="BA225" s="1141"/>
      <c r="BB225" s="1140"/>
      <c r="BC225" s="1958" t="s">
        <v>1859</v>
      </c>
      <c r="BD225" s="1224" t="s">
        <v>1860</v>
      </c>
      <c r="BE225" s="1173" t="s">
        <v>131</v>
      </c>
      <c r="BF225" s="1173" t="s">
        <v>1861</v>
      </c>
      <c r="BG225" s="1140"/>
      <c r="BH225" s="1140"/>
      <c r="BI225" s="1140"/>
      <c r="BJ225" s="1140"/>
      <c r="BK225" s="1140"/>
      <c r="BL225" s="1140"/>
      <c r="BM225" s="1140"/>
      <c r="BN225" s="1140"/>
      <c r="BO225" s="1140"/>
      <c r="BP225" s="1140"/>
      <c r="BQ225" s="1140"/>
      <c r="BR225" s="1141"/>
      <c r="BS225" s="1140"/>
      <c r="BT225" s="1958" t="s">
        <v>1859</v>
      </c>
      <c r="BU225" s="1224" t="s">
        <v>1860</v>
      </c>
      <c r="BV225" s="1173" t="s">
        <v>131</v>
      </c>
      <c r="BW225" s="1173" t="s">
        <v>1861</v>
      </c>
      <c r="BX225" s="1140"/>
      <c r="BY225" s="1140"/>
      <c r="BZ225" s="1140"/>
      <c r="CA225" s="1140"/>
      <c r="CB225" s="1140"/>
      <c r="CC225" s="1140"/>
      <c r="CD225" s="1140"/>
      <c r="CE225" s="1140"/>
      <c r="CF225" s="1140"/>
      <c r="CG225" s="1140"/>
      <c r="CH225" s="1140"/>
      <c r="CI225" s="1141"/>
      <c r="CJ225" s="1140"/>
      <c r="CK225" s="1140"/>
    </row>
    <row r="226" spans="1:89" x14ac:dyDescent="0.25">
      <c r="A226" s="1140"/>
      <c r="B226" s="1961"/>
      <c r="C226" s="1174" t="s">
        <v>1862</v>
      </c>
      <c r="D226" s="1174" t="s">
        <v>1863</v>
      </c>
      <c r="E226" s="1175"/>
      <c r="F226" s="1140"/>
      <c r="G226" s="1140"/>
      <c r="H226" s="1140"/>
      <c r="I226" s="1140"/>
      <c r="J226" s="1140"/>
      <c r="K226" s="1140"/>
      <c r="L226" s="1140"/>
      <c r="M226" s="1140"/>
      <c r="N226" s="1140"/>
      <c r="O226" s="1140"/>
      <c r="P226" s="1140"/>
      <c r="Q226" s="1141"/>
      <c r="R226" s="1140"/>
      <c r="S226" s="1140"/>
      <c r="T226" s="1961"/>
      <c r="U226" s="1174" t="s">
        <v>1862</v>
      </c>
      <c r="V226" s="1174" t="s">
        <v>1863</v>
      </c>
      <c r="W226" s="1175"/>
      <c r="X226" s="1140"/>
      <c r="Y226" s="1140"/>
      <c r="Z226" s="1140"/>
      <c r="AA226" s="1140"/>
      <c r="AB226" s="1140"/>
      <c r="AC226" s="1140"/>
      <c r="AD226" s="1140"/>
      <c r="AE226" s="1140"/>
      <c r="AF226" s="1140"/>
      <c r="AG226" s="1140"/>
      <c r="AH226" s="1140"/>
      <c r="AI226" s="1141"/>
      <c r="AJ226" s="1140"/>
      <c r="AK226" s="1140"/>
      <c r="AL226" s="1961"/>
      <c r="AM226" s="1174" t="s">
        <v>1862</v>
      </c>
      <c r="AN226" s="1174" t="s">
        <v>1863</v>
      </c>
      <c r="AO226" s="1175"/>
      <c r="AP226" s="1140"/>
      <c r="AQ226" s="1140"/>
      <c r="AR226" s="1140"/>
      <c r="AS226" s="1140"/>
      <c r="AT226" s="1140"/>
      <c r="AU226" s="1140"/>
      <c r="AV226" s="1140"/>
      <c r="AW226" s="1140"/>
      <c r="AX226" s="1140"/>
      <c r="AY226" s="1140"/>
      <c r="AZ226" s="1140"/>
      <c r="BA226" s="1141"/>
      <c r="BB226" s="1140"/>
      <c r="BC226" s="1961"/>
      <c r="BD226" s="1174" t="s">
        <v>1862</v>
      </c>
      <c r="BE226" s="1174" t="s">
        <v>1863</v>
      </c>
      <c r="BF226" s="1175"/>
      <c r="BG226" s="1140"/>
      <c r="BH226" s="1140"/>
      <c r="BI226" s="1140"/>
      <c r="BJ226" s="1140"/>
      <c r="BK226" s="1140"/>
      <c r="BL226" s="1140"/>
      <c r="BM226" s="1140"/>
      <c r="BN226" s="1140"/>
      <c r="BO226" s="1140"/>
      <c r="BP226" s="1140"/>
      <c r="BQ226" s="1140"/>
      <c r="BR226" s="1141"/>
      <c r="BS226" s="1140"/>
      <c r="BT226" s="1961"/>
      <c r="BU226" s="1174" t="s">
        <v>1862</v>
      </c>
      <c r="BV226" s="1174" t="s">
        <v>1863</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61"/>
      <c r="C227" s="1176" t="s">
        <v>1862</v>
      </c>
      <c r="D227" s="1176" t="s">
        <v>1864</v>
      </c>
      <c r="E227" s="1177" t="s">
        <v>1865</v>
      </c>
      <c r="F227" s="1140"/>
      <c r="G227" s="1140"/>
      <c r="H227" s="1140"/>
      <c r="I227" s="1140"/>
      <c r="J227" s="1140"/>
      <c r="K227" s="1140"/>
      <c r="L227" s="1140"/>
      <c r="M227" s="1140"/>
      <c r="N227" s="1140"/>
      <c r="O227" s="1140"/>
      <c r="P227" s="1140"/>
      <c r="Q227" s="1141"/>
      <c r="R227" s="1140"/>
      <c r="S227" s="1140"/>
      <c r="T227" s="1961"/>
      <c r="U227" s="1176" t="s">
        <v>1862</v>
      </c>
      <c r="V227" s="1176" t="s">
        <v>1864</v>
      </c>
      <c r="W227" s="1177" t="s">
        <v>1865</v>
      </c>
      <c r="X227" s="1140"/>
      <c r="Y227" s="1140"/>
      <c r="Z227" s="1140"/>
      <c r="AA227" s="1140"/>
      <c r="AB227" s="1140"/>
      <c r="AC227" s="1140"/>
      <c r="AD227" s="1140"/>
      <c r="AE227" s="1140"/>
      <c r="AF227" s="1140"/>
      <c r="AG227" s="1140"/>
      <c r="AH227" s="1140"/>
      <c r="AI227" s="1141"/>
      <c r="AJ227" s="1140"/>
      <c r="AK227" s="1140"/>
      <c r="AL227" s="1961"/>
      <c r="AM227" s="1176" t="s">
        <v>1862</v>
      </c>
      <c r="AN227" s="1176" t="s">
        <v>1864</v>
      </c>
      <c r="AO227" s="1177" t="s">
        <v>1865</v>
      </c>
      <c r="AP227" s="1140"/>
      <c r="AQ227" s="1140"/>
      <c r="AR227" s="1140"/>
      <c r="AS227" s="1140"/>
      <c r="AT227" s="1140"/>
      <c r="AU227" s="1140"/>
      <c r="AV227" s="1140"/>
      <c r="AW227" s="1140"/>
      <c r="AX227" s="1140"/>
      <c r="AY227" s="1140"/>
      <c r="AZ227" s="1140"/>
      <c r="BA227" s="1141"/>
      <c r="BB227" s="1140"/>
      <c r="BC227" s="1961"/>
      <c r="BD227" s="1176" t="s">
        <v>1862</v>
      </c>
      <c r="BE227" s="1176" t="s">
        <v>1864</v>
      </c>
      <c r="BF227" s="1177" t="s">
        <v>1865</v>
      </c>
      <c r="BG227" s="1140"/>
      <c r="BH227" s="1140"/>
      <c r="BI227" s="1140"/>
      <c r="BJ227" s="1140"/>
      <c r="BK227" s="1140"/>
      <c r="BL227" s="1140"/>
      <c r="BM227" s="1140"/>
      <c r="BN227" s="1140"/>
      <c r="BO227" s="1140"/>
      <c r="BP227" s="1140"/>
      <c r="BQ227" s="1140"/>
      <c r="BR227" s="1141"/>
      <c r="BS227" s="1140"/>
      <c r="BT227" s="1961"/>
      <c r="BU227" s="1176" t="s">
        <v>1862</v>
      </c>
      <c r="BV227" s="1176" t="s">
        <v>1864</v>
      </c>
      <c r="BW227" s="1177" t="s">
        <v>1865</v>
      </c>
      <c r="BX227" s="1140"/>
      <c r="BY227" s="1140"/>
      <c r="BZ227" s="1140"/>
      <c r="CA227" s="1140"/>
      <c r="CB227" s="1140"/>
      <c r="CC227" s="1140"/>
      <c r="CD227" s="1140"/>
      <c r="CE227" s="1140"/>
      <c r="CF227" s="1140"/>
      <c r="CG227" s="1140"/>
      <c r="CH227" s="1140"/>
      <c r="CI227" s="1141"/>
      <c r="CJ227" s="1140"/>
      <c r="CK227" s="1140"/>
    </row>
    <row r="228" spans="1:89" x14ac:dyDescent="0.25">
      <c r="A228" s="1140"/>
      <c r="B228" s="1961"/>
      <c r="C228" s="1176" t="s">
        <v>1862</v>
      </c>
      <c r="D228" s="1176" t="s">
        <v>1866</v>
      </c>
      <c r="E228" s="1177" t="s">
        <v>1700</v>
      </c>
      <c r="F228" s="1140"/>
      <c r="G228" s="1140"/>
      <c r="H228" s="1140"/>
      <c r="I228" s="1140"/>
      <c r="J228" s="1140"/>
      <c r="K228" s="1140"/>
      <c r="L228" s="1140"/>
      <c r="M228" s="1140"/>
      <c r="N228" s="1140"/>
      <c r="O228" s="1140"/>
      <c r="P228" s="1140"/>
      <c r="Q228" s="1141"/>
      <c r="R228" s="1140"/>
      <c r="S228" s="1140"/>
      <c r="T228" s="1961"/>
      <c r="U228" s="1176" t="s">
        <v>1862</v>
      </c>
      <c r="V228" s="1176" t="s">
        <v>1866</v>
      </c>
      <c r="W228" s="1177" t="s">
        <v>1700</v>
      </c>
      <c r="X228" s="1140"/>
      <c r="Y228" s="1140"/>
      <c r="Z228" s="1140"/>
      <c r="AA228" s="1140"/>
      <c r="AB228" s="1140"/>
      <c r="AC228" s="1140"/>
      <c r="AD228" s="1140"/>
      <c r="AE228" s="1140"/>
      <c r="AF228" s="1140"/>
      <c r="AG228" s="1140"/>
      <c r="AH228" s="1140"/>
      <c r="AI228" s="1141"/>
      <c r="AJ228" s="1140"/>
      <c r="AK228" s="1140"/>
      <c r="AL228" s="1961"/>
      <c r="AM228" s="1176" t="s">
        <v>1862</v>
      </c>
      <c r="AN228" s="1176" t="s">
        <v>1866</v>
      </c>
      <c r="AO228" s="1177" t="s">
        <v>1700</v>
      </c>
      <c r="AP228" s="1140"/>
      <c r="AQ228" s="1140"/>
      <c r="AR228" s="1140"/>
      <c r="AS228" s="1140"/>
      <c r="AT228" s="1140"/>
      <c r="AU228" s="1140"/>
      <c r="AV228" s="1140"/>
      <c r="AW228" s="1140"/>
      <c r="AX228" s="1140"/>
      <c r="AY228" s="1140"/>
      <c r="AZ228" s="1140"/>
      <c r="BA228" s="1141"/>
      <c r="BB228" s="1140"/>
      <c r="BC228" s="1961"/>
      <c r="BD228" s="1176" t="s">
        <v>1862</v>
      </c>
      <c r="BE228" s="1176" t="s">
        <v>1866</v>
      </c>
      <c r="BF228" s="1177" t="s">
        <v>1700</v>
      </c>
      <c r="BG228" s="1140"/>
      <c r="BH228" s="1140"/>
      <c r="BI228" s="1140"/>
      <c r="BJ228" s="1140"/>
      <c r="BK228" s="1140"/>
      <c r="BL228" s="1140"/>
      <c r="BM228" s="1140"/>
      <c r="BN228" s="1140"/>
      <c r="BO228" s="1140"/>
      <c r="BP228" s="1140"/>
      <c r="BQ228" s="1140"/>
      <c r="BR228" s="1141"/>
      <c r="BS228" s="1140"/>
      <c r="BT228" s="1961"/>
      <c r="BU228" s="1176" t="s">
        <v>1862</v>
      </c>
      <c r="BV228" s="1176" t="s">
        <v>1866</v>
      </c>
      <c r="BW228" s="1177" t="s">
        <v>1700</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62"/>
      <c r="C229" s="1178" t="s">
        <v>1862</v>
      </c>
      <c r="D229" s="1178" t="s">
        <v>1867</v>
      </c>
      <c r="E229" s="1179" t="s">
        <v>1868</v>
      </c>
      <c r="F229" s="1140"/>
      <c r="G229" s="1140"/>
      <c r="H229" s="1140"/>
      <c r="I229" s="1140"/>
      <c r="J229" s="1140"/>
      <c r="K229" s="1140"/>
      <c r="L229" s="1140"/>
      <c r="M229" s="1140"/>
      <c r="N229" s="1140"/>
      <c r="O229" s="1140"/>
      <c r="P229" s="1140"/>
      <c r="Q229" s="1141"/>
      <c r="R229" s="1140"/>
      <c r="S229" s="1140"/>
      <c r="T229" s="1962"/>
      <c r="U229" s="1178" t="s">
        <v>1862</v>
      </c>
      <c r="V229" s="1178" t="s">
        <v>1867</v>
      </c>
      <c r="W229" s="1179" t="s">
        <v>1868</v>
      </c>
      <c r="X229" s="1140"/>
      <c r="Y229" s="1140"/>
      <c r="Z229" s="1140"/>
      <c r="AA229" s="1140"/>
      <c r="AB229" s="1140"/>
      <c r="AC229" s="1140"/>
      <c r="AD229" s="1140"/>
      <c r="AE229" s="1140"/>
      <c r="AF229" s="1140"/>
      <c r="AG229" s="1140"/>
      <c r="AH229" s="1140"/>
      <c r="AI229" s="1141"/>
      <c r="AJ229" s="1140"/>
      <c r="AK229" s="1140"/>
      <c r="AL229" s="1962"/>
      <c r="AM229" s="1178" t="s">
        <v>1862</v>
      </c>
      <c r="AN229" s="1178" t="s">
        <v>1867</v>
      </c>
      <c r="AO229" s="1179" t="s">
        <v>1868</v>
      </c>
      <c r="AP229" s="1140"/>
      <c r="AQ229" s="1140"/>
      <c r="AR229" s="1140"/>
      <c r="AS229" s="1140"/>
      <c r="AT229" s="1140"/>
      <c r="AU229" s="1140"/>
      <c r="AV229" s="1140"/>
      <c r="AW229" s="1140"/>
      <c r="AX229" s="1140"/>
      <c r="AY229" s="1140"/>
      <c r="AZ229" s="1140"/>
      <c r="BA229" s="1141"/>
      <c r="BB229" s="1140"/>
      <c r="BC229" s="1962"/>
      <c r="BD229" s="1178" t="s">
        <v>1862</v>
      </c>
      <c r="BE229" s="1178" t="s">
        <v>1867</v>
      </c>
      <c r="BF229" s="1179" t="s">
        <v>1868</v>
      </c>
      <c r="BG229" s="1140"/>
      <c r="BH229" s="1140"/>
      <c r="BI229" s="1140"/>
      <c r="BJ229" s="1140"/>
      <c r="BK229" s="1140"/>
      <c r="BL229" s="1140"/>
      <c r="BM229" s="1140"/>
      <c r="BN229" s="1140"/>
      <c r="BO229" s="1140"/>
      <c r="BP229" s="1140"/>
      <c r="BQ229" s="1140"/>
      <c r="BR229" s="1141"/>
      <c r="BS229" s="1140"/>
      <c r="BT229" s="1962"/>
      <c r="BU229" s="1178" t="s">
        <v>1862</v>
      </c>
      <c r="BV229" s="1178" t="s">
        <v>1867</v>
      </c>
      <c r="BW229" s="1179" t="s">
        <v>1868</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58" t="s">
        <v>1869</v>
      </c>
      <c r="C230" s="1180" t="s">
        <v>1870</v>
      </c>
      <c r="D230" s="1181" t="s">
        <v>1860</v>
      </c>
      <c r="E230" s="1181" t="s">
        <v>131</v>
      </c>
      <c r="F230" s="1181" t="s">
        <v>1861</v>
      </c>
      <c r="G230" s="1181" t="s">
        <v>1871</v>
      </c>
      <c r="H230" s="1182" t="s">
        <v>1872</v>
      </c>
      <c r="I230" s="1183" t="s">
        <v>766</v>
      </c>
      <c r="J230" s="1183" t="s">
        <v>767</v>
      </c>
      <c r="K230" s="1183" t="s">
        <v>768</v>
      </c>
      <c r="L230" s="1183" t="s">
        <v>769</v>
      </c>
      <c r="M230" s="1183" t="s">
        <v>204</v>
      </c>
      <c r="N230" s="1140"/>
      <c r="O230" s="1140"/>
      <c r="P230" s="1140"/>
      <c r="Q230" s="1141"/>
      <c r="R230" s="1140"/>
      <c r="S230" s="1140"/>
      <c r="T230" s="1958" t="s">
        <v>1869</v>
      </c>
      <c r="U230" s="1180" t="s">
        <v>1870</v>
      </c>
      <c r="V230" s="1181" t="s">
        <v>1860</v>
      </c>
      <c r="W230" s="1181" t="s">
        <v>131</v>
      </c>
      <c r="X230" s="1181" t="s">
        <v>1861</v>
      </c>
      <c r="Y230" s="1181" t="s">
        <v>1871</v>
      </c>
      <c r="Z230" s="1182" t="s">
        <v>1872</v>
      </c>
      <c r="AA230" s="1183" t="s">
        <v>766</v>
      </c>
      <c r="AB230" s="1183" t="s">
        <v>767</v>
      </c>
      <c r="AC230" s="1183" t="s">
        <v>768</v>
      </c>
      <c r="AD230" s="1183" t="s">
        <v>769</v>
      </c>
      <c r="AE230" s="1183" t="s">
        <v>204</v>
      </c>
      <c r="AF230" s="1140"/>
      <c r="AG230" s="1140"/>
      <c r="AH230" s="1140"/>
      <c r="AI230" s="1141"/>
      <c r="AJ230" s="1140"/>
      <c r="AK230" s="1140"/>
      <c r="AL230" s="1958" t="s">
        <v>1869</v>
      </c>
      <c r="AM230" s="1180" t="s">
        <v>1870</v>
      </c>
      <c r="AN230" s="1181" t="s">
        <v>1860</v>
      </c>
      <c r="AO230" s="1181" t="s">
        <v>131</v>
      </c>
      <c r="AP230" s="1181" t="s">
        <v>1861</v>
      </c>
      <c r="AQ230" s="1181" t="s">
        <v>1871</v>
      </c>
      <c r="AR230" s="1182" t="s">
        <v>1872</v>
      </c>
      <c r="AS230" s="1183" t="s">
        <v>766</v>
      </c>
      <c r="AT230" s="1183" t="s">
        <v>767</v>
      </c>
      <c r="AU230" s="1183" t="s">
        <v>768</v>
      </c>
      <c r="AV230" s="1183" t="s">
        <v>769</v>
      </c>
      <c r="AW230" s="1183" t="s">
        <v>204</v>
      </c>
      <c r="AX230" s="1140"/>
      <c r="AY230" s="1140"/>
      <c r="AZ230" s="1140"/>
      <c r="BA230" s="1141"/>
      <c r="BB230" s="1140"/>
      <c r="BC230" s="1958" t="s">
        <v>1869</v>
      </c>
      <c r="BD230" s="1180" t="s">
        <v>1870</v>
      </c>
      <c r="BE230" s="1181" t="s">
        <v>1860</v>
      </c>
      <c r="BF230" s="1181" t="s">
        <v>131</v>
      </c>
      <c r="BG230" s="1181" t="s">
        <v>1861</v>
      </c>
      <c r="BH230" s="1181" t="s">
        <v>1871</v>
      </c>
      <c r="BI230" s="1182" t="s">
        <v>1872</v>
      </c>
      <c r="BJ230" s="1183" t="s">
        <v>766</v>
      </c>
      <c r="BK230" s="1183" t="s">
        <v>767</v>
      </c>
      <c r="BL230" s="1183" t="s">
        <v>768</v>
      </c>
      <c r="BM230" s="1183" t="s">
        <v>769</v>
      </c>
      <c r="BN230" s="1183" t="s">
        <v>204</v>
      </c>
      <c r="BO230" s="1140"/>
      <c r="BP230" s="1140"/>
      <c r="BQ230" s="1140"/>
      <c r="BR230" s="1141"/>
      <c r="BS230" s="1140"/>
      <c r="BT230" s="1958" t="s">
        <v>1869</v>
      </c>
      <c r="BU230" s="1180" t="s">
        <v>1870</v>
      </c>
      <c r="BV230" s="1181" t="s">
        <v>1860</v>
      </c>
      <c r="BW230" s="1181" t="s">
        <v>131</v>
      </c>
      <c r="BX230" s="1181" t="s">
        <v>1861</v>
      </c>
      <c r="BY230" s="1181" t="s">
        <v>1871</v>
      </c>
      <c r="BZ230" s="1182" t="s">
        <v>1872</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59"/>
      <c r="C231" s="1184">
        <v>1</v>
      </c>
      <c r="D231" s="1177" t="s">
        <v>1873</v>
      </c>
      <c r="E231" s="1177" t="s">
        <v>1427</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59"/>
      <c r="U231" s="1184">
        <v>1</v>
      </c>
      <c r="V231" s="1177" t="s">
        <v>1873</v>
      </c>
      <c r="W231" s="1177" t="s">
        <v>1427</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59"/>
      <c r="AM231" s="1184">
        <v>1</v>
      </c>
      <c r="AN231" s="1177" t="s">
        <v>1873</v>
      </c>
      <c r="AO231" s="1177" t="s">
        <v>1427</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59"/>
      <c r="BD231" s="1184">
        <v>1</v>
      </c>
      <c r="BE231" s="1177" t="s">
        <v>1873</v>
      </c>
      <c r="BF231" s="1177" t="s">
        <v>1427</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59"/>
      <c r="BU231" s="1184">
        <v>1</v>
      </c>
      <c r="BV231" s="1177" t="s">
        <v>1873</v>
      </c>
      <c r="BW231" s="1177" t="s">
        <v>1427</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59"/>
      <c r="C232" s="1187">
        <v>2</v>
      </c>
      <c r="D232" s="1177" t="s">
        <v>1873</v>
      </c>
      <c r="E232" s="1177" t="s">
        <v>1427</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59"/>
      <c r="U232" s="1187">
        <v>2</v>
      </c>
      <c r="V232" s="1177" t="s">
        <v>1873</v>
      </c>
      <c r="W232" s="1177" t="s">
        <v>1427</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59"/>
      <c r="AM232" s="1187">
        <v>2</v>
      </c>
      <c r="AN232" s="1177" t="s">
        <v>1873</v>
      </c>
      <c r="AO232" s="1177" t="s">
        <v>1427</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59"/>
      <c r="BD232" s="1187">
        <v>2</v>
      </c>
      <c r="BE232" s="1177" t="s">
        <v>1873</v>
      </c>
      <c r="BF232" s="1177" t="s">
        <v>1427</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59"/>
      <c r="BU232" s="1187">
        <v>2</v>
      </c>
      <c r="BV232" s="1177" t="s">
        <v>1873</v>
      </c>
      <c r="BW232" s="1177" t="s">
        <v>1427</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59"/>
      <c r="C233" s="1187">
        <v>3</v>
      </c>
      <c r="D233" s="1177" t="s">
        <v>1873</v>
      </c>
      <c r="E233" s="1177" t="s">
        <v>1427</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59"/>
      <c r="U233" s="1187">
        <v>3</v>
      </c>
      <c r="V233" s="1177" t="s">
        <v>1873</v>
      </c>
      <c r="W233" s="1177" t="s">
        <v>1427</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59"/>
      <c r="AM233" s="1187">
        <v>3</v>
      </c>
      <c r="AN233" s="1177" t="s">
        <v>1873</v>
      </c>
      <c r="AO233" s="1177" t="s">
        <v>1427</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59"/>
      <c r="BD233" s="1187">
        <v>3</v>
      </c>
      <c r="BE233" s="1177" t="s">
        <v>1873</v>
      </c>
      <c r="BF233" s="1177" t="s">
        <v>1427</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59"/>
      <c r="BU233" s="1187">
        <v>3</v>
      </c>
      <c r="BV233" s="1177" t="s">
        <v>1873</v>
      </c>
      <c r="BW233" s="1177" t="s">
        <v>1427</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59"/>
      <c r="C234" s="1187">
        <v>4</v>
      </c>
      <c r="D234" s="1177" t="s">
        <v>1873</v>
      </c>
      <c r="E234" s="1177" t="s">
        <v>1427</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59"/>
      <c r="U234" s="1187">
        <v>4</v>
      </c>
      <c r="V234" s="1177" t="s">
        <v>1873</v>
      </c>
      <c r="W234" s="1177" t="s">
        <v>1427</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59"/>
      <c r="AM234" s="1187">
        <v>4</v>
      </c>
      <c r="AN234" s="1177" t="s">
        <v>1873</v>
      </c>
      <c r="AO234" s="1177" t="s">
        <v>1427</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59"/>
      <c r="BD234" s="1187">
        <v>4</v>
      </c>
      <c r="BE234" s="1177" t="s">
        <v>1873</v>
      </c>
      <c r="BF234" s="1177" t="s">
        <v>1427</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59"/>
      <c r="BU234" s="1187">
        <v>4</v>
      </c>
      <c r="BV234" s="1177" t="s">
        <v>1873</v>
      </c>
      <c r="BW234" s="1177" t="s">
        <v>1427</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59"/>
      <c r="C235" s="1187">
        <v>5</v>
      </c>
      <c r="D235" s="1177" t="s">
        <v>1873</v>
      </c>
      <c r="E235" s="1177" t="s">
        <v>1427</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59"/>
      <c r="U235" s="1187">
        <v>5</v>
      </c>
      <c r="V235" s="1177" t="s">
        <v>1873</v>
      </c>
      <c r="W235" s="1177" t="s">
        <v>1427</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59"/>
      <c r="AM235" s="1187">
        <v>5</v>
      </c>
      <c r="AN235" s="1177" t="s">
        <v>1873</v>
      </c>
      <c r="AO235" s="1177" t="s">
        <v>1427</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59"/>
      <c r="BD235" s="1187">
        <v>5</v>
      </c>
      <c r="BE235" s="1177" t="s">
        <v>1873</v>
      </c>
      <c r="BF235" s="1177" t="s">
        <v>1427</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59"/>
      <c r="BU235" s="1187">
        <v>5</v>
      </c>
      <c r="BV235" s="1177" t="s">
        <v>1873</v>
      </c>
      <c r="BW235" s="1177" t="s">
        <v>1427</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59"/>
      <c r="C236" s="1187">
        <v>6</v>
      </c>
      <c r="D236" s="1177" t="s">
        <v>1873</v>
      </c>
      <c r="E236" s="1177" t="s">
        <v>1427</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59"/>
      <c r="U236" s="1187">
        <v>6</v>
      </c>
      <c r="V236" s="1177" t="s">
        <v>1873</v>
      </c>
      <c r="W236" s="1177" t="s">
        <v>1427</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59"/>
      <c r="AM236" s="1187">
        <v>6</v>
      </c>
      <c r="AN236" s="1177" t="s">
        <v>1873</v>
      </c>
      <c r="AO236" s="1177" t="s">
        <v>1427</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59"/>
      <c r="BD236" s="1187">
        <v>6</v>
      </c>
      <c r="BE236" s="1177" t="s">
        <v>1873</v>
      </c>
      <c r="BF236" s="1177" t="s">
        <v>1427</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59"/>
      <c r="BU236" s="1187">
        <v>6</v>
      </c>
      <c r="BV236" s="1177" t="s">
        <v>1873</v>
      </c>
      <c r="BW236" s="1177" t="s">
        <v>1427</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59"/>
      <c r="C237" s="1187">
        <v>7</v>
      </c>
      <c r="D237" s="1177" t="s">
        <v>1873</v>
      </c>
      <c r="E237" s="1177" t="s">
        <v>1427</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59"/>
      <c r="U237" s="1187">
        <v>7</v>
      </c>
      <c r="V237" s="1177" t="s">
        <v>1873</v>
      </c>
      <c r="W237" s="1177" t="s">
        <v>1427</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59"/>
      <c r="AM237" s="1187">
        <v>7</v>
      </c>
      <c r="AN237" s="1177" t="s">
        <v>1873</v>
      </c>
      <c r="AO237" s="1177" t="s">
        <v>1427</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59"/>
      <c r="BD237" s="1187">
        <v>7</v>
      </c>
      <c r="BE237" s="1177" t="s">
        <v>1873</v>
      </c>
      <c r="BF237" s="1177" t="s">
        <v>1427</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59"/>
      <c r="BU237" s="1187">
        <v>7</v>
      </c>
      <c r="BV237" s="1177" t="s">
        <v>1873</v>
      </c>
      <c r="BW237" s="1177" t="s">
        <v>1427</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59"/>
      <c r="C238" s="1187">
        <v>8</v>
      </c>
      <c r="D238" s="1177" t="s">
        <v>1873</v>
      </c>
      <c r="E238" s="1177" t="s">
        <v>1427</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59"/>
      <c r="U238" s="1187">
        <v>8</v>
      </c>
      <c r="V238" s="1177" t="s">
        <v>1873</v>
      </c>
      <c r="W238" s="1177" t="s">
        <v>1427</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59"/>
      <c r="AM238" s="1187">
        <v>8</v>
      </c>
      <c r="AN238" s="1177" t="s">
        <v>1873</v>
      </c>
      <c r="AO238" s="1177" t="s">
        <v>1427</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59"/>
      <c r="BD238" s="1187">
        <v>8</v>
      </c>
      <c r="BE238" s="1177" t="s">
        <v>1873</v>
      </c>
      <c r="BF238" s="1177" t="s">
        <v>1427</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59"/>
      <c r="BU238" s="1187">
        <v>8</v>
      </c>
      <c r="BV238" s="1177" t="s">
        <v>1873</v>
      </c>
      <c r="BW238" s="1177" t="s">
        <v>1427</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59"/>
      <c r="C239" s="1187">
        <v>9</v>
      </c>
      <c r="D239" s="1177" t="s">
        <v>1873</v>
      </c>
      <c r="E239" s="1177" t="s">
        <v>1427</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59"/>
      <c r="U239" s="1187">
        <v>9</v>
      </c>
      <c r="V239" s="1177" t="s">
        <v>1873</v>
      </c>
      <c r="W239" s="1177" t="s">
        <v>1427</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59"/>
      <c r="AM239" s="1187">
        <v>9</v>
      </c>
      <c r="AN239" s="1177" t="s">
        <v>1873</v>
      </c>
      <c r="AO239" s="1177" t="s">
        <v>1427</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59"/>
      <c r="BD239" s="1187">
        <v>9</v>
      </c>
      <c r="BE239" s="1177" t="s">
        <v>1873</v>
      </c>
      <c r="BF239" s="1177" t="s">
        <v>1427</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59"/>
      <c r="BU239" s="1187">
        <v>9</v>
      </c>
      <c r="BV239" s="1177" t="s">
        <v>1873</v>
      </c>
      <c r="BW239" s="1177" t="s">
        <v>1427</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60"/>
      <c r="C240" s="1189">
        <v>10</v>
      </c>
      <c r="D240" s="1179" t="s">
        <v>1873</v>
      </c>
      <c r="E240" s="1179" t="s">
        <v>1427</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60"/>
      <c r="U240" s="1189">
        <v>10</v>
      </c>
      <c r="V240" s="1179" t="s">
        <v>1873</v>
      </c>
      <c r="W240" s="1179" t="s">
        <v>1427</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60"/>
      <c r="AM240" s="1189">
        <v>10</v>
      </c>
      <c r="AN240" s="1179" t="s">
        <v>1873</v>
      </c>
      <c r="AO240" s="1179" t="s">
        <v>1427</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60"/>
      <c r="BD240" s="1189">
        <v>10</v>
      </c>
      <c r="BE240" s="1179" t="s">
        <v>1873</v>
      </c>
      <c r="BF240" s="1179" t="s">
        <v>1427</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60"/>
      <c r="BU240" s="1189">
        <v>10</v>
      </c>
      <c r="BV240" s="1179" t="s">
        <v>1873</v>
      </c>
      <c r="BW240" s="1179" t="s">
        <v>1427</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1492</v>
      </c>
      <c r="E243" s="1133" t="s">
        <v>766</v>
      </c>
      <c r="F243" s="1133" t="s">
        <v>1497</v>
      </c>
      <c r="G243" s="1133" t="s">
        <v>1850</v>
      </c>
      <c r="H243" s="1134" t="s">
        <v>1851</v>
      </c>
      <c r="I243" s="1134" t="s">
        <v>1852</v>
      </c>
      <c r="J243" s="1133" t="s">
        <v>1874</v>
      </c>
      <c r="K243" s="1133" t="s">
        <v>1853</v>
      </c>
      <c r="L243" s="1134" t="s">
        <v>1397</v>
      </c>
      <c r="M243" s="1134" t="s">
        <v>1381</v>
      </c>
      <c r="N243" s="1133" t="s">
        <v>1382</v>
      </c>
      <c r="O243" s="1133" t="s">
        <v>721</v>
      </c>
      <c r="P243" s="1133" t="s">
        <v>722</v>
      </c>
      <c r="Q243" s="1134" t="s">
        <v>1496</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1854</v>
      </c>
      <c r="C244" s="1166" t="s">
        <v>1541</v>
      </c>
      <c r="D244" s="1167">
        <v>4001</v>
      </c>
      <c r="E244" s="1137" t="s">
        <v>1901</v>
      </c>
      <c r="F244" s="1137" t="s">
        <v>1498</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58" t="s">
        <v>1855</v>
      </c>
      <c r="C245" s="1193" t="s">
        <v>1875</v>
      </c>
      <c r="D245" s="1133" t="s">
        <v>1876</v>
      </c>
      <c r="E245" s="1134" t="s">
        <v>1359</v>
      </c>
      <c r="F245" s="1133" t="s">
        <v>1878</v>
      </c>
      <c r="G245" s="1194" t="s">
        <v>1881</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61"/>
      <c r="C246" s="1228" t="s">
        <v>1891</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59"/>
      <c r="C247" s="1203" t="s">
        <v>1885</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59"/>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60"/>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58" t="s">
        <v>1859</v>
      </c>
      <c r="C250" s="1224" t="s">
        <v>1860</v>
      </c>
      <c r="D250" s="1225" t="s">
        <v>131</v>
      </c>
      <c r="E250" s="1225" t="s">
        <v>1861</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61"/>
      <c r="C251" s="1174" t="s">
        <v>1862</v>
      </c>
      <c r="D251" s="1174" t="s">
        <v>1863</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61"/>
      <c r="C252" s="1176" t="s">
        <v>1862</v>
      </c>
      <c r="D252" s="1176" t="s">
        <v>1864</v>
      </c>
      <c r="E252" s="1177" t="s">
        <v>1865</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61"/>
      <c r="C253" s="1176" t="s">
        <v>1862</v>
      </c>
      <c r="D253" s="1176" t="s">
        <v>1866</v>
      </c>
      <c r="E253" s="1177" t="s">
        <v>1700</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61"/>
      <c r="C254" s="1176" t="s">
        <v>1862</v>
      </c>
      <c r="D254" s="1176" t="s">
        <v>1867</v>
      </c>
      <c r="E254" s="1177" t="s">
        <v>1868</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61"/>
      <c r="C255" s="1176" t="s">
        <v>1873</v>
      </c>
      <c r="D255" s="1176" t="s">
        <v>2059</v>
      </c>
      <c r="E255" s="1177" t="s">
        <v>2060</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62"/>
      <c r="C256" s="1178" t="s">
        <v>1873</v>
      </c>
      <c r="D256" s="1178" t="s">
        <v>2059</v>
      </c>
      <c r="E256" s="1179" t="s">
        <v>2061</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58" t="s">
        <v>1869</v>
      </c>
      <c r="C257" s="1180" t="s">
        <v>1870</v>
      </c>
      <c r="D257" s="1181" t="s">
        <v>1860</v>
      </c>
      <c r="E257" s="1181" t="s">
        <v>131</v>
      </c>
      <c r="F257" s="1181" t="s">
        <v>1861</v>
      </c>
      <c r="G257" s="1181" t="s">
        <v>1871</v>
      </c>
      <c r="H257" s="1182" t="s">
        <v>1872</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59"/>
      <c r="C258" s="1184">
        <v>1</v>
      </c>
      <c r="D258" s="1177" t="s">
        <v>1873</v>
      </c>
      <c r="E258" s="1177" t="s">
        <v>1427</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59"/>
      <c r="C259" s="1187">
        <v>2</v>
      </c>
      <c r="D259" s="1177" t="s">
        <v>1873</v>
      </c>
      <c r="E259" s="1177" t="s">
        <v>1427</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59"/>
      <c r="C260" s="1187">
        <v>3</v>
      </c>
      <c r="D260" s="1177" t="s">
        <v>1873</v>
      </c>
      <c r="E260" s="1177" t="s">
        <v>1427</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59"/>
      <c r="C261" s="1187">
        <v>4</v>
      </c>
      <c r="D261" s="1177" t="s">
        <v>1873</v>
      </c>
      <c r="E261" s="1177" t="s">
        <v>1427</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59"/>
      <c r="C262" s="1187">
        <v>5</v>
      </c>
      <c r="D262" s="1177" t="s">
        <v>1873</v>
      </c>
      <c r="E262" s="1177" t="s">
        <v>1427</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59"/>
      <c r="C263" s="1187">
        <v>6</v>
      </c>
      <c r="D263" s="1177" t="s">
        <v>1873</v>
      </c>
      <c r="E263" s="1177" t="s">
        <v>1427</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59"/>
      <c r="C264" s="1187">
        <v>7</v>
      </c>
      <c r="D264" s="1177" t="s">
        <v>1873</v>
      </c>
      <c r="E264" s="1177" t="s">
        <v>1427</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59"/>
      <c r="C265" s="1187">
        <v>8</v>
      </c>
      <c r="D265" s="1177" t="s">
        <v>1873</v>
      </c>
      <c r="E265" s="1177" t="s">
        <v>1427</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59"/>
      <c r="C266" s="1187">
        <v>9</v>
      </c>
      <c r="D266" s="1177" t="s">
        <v>1873</v>
      </c>
      <c r="E266" s="1177" t="s">
        <v>1427</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60"/>
      <c r="C267" s="1189">
        <v>10</v>
      </c>
      <c r="D267" s="1179" t="s">
        <v>1873</v>
      </c>
      <c r="E267" s="1179" t="s">
        <v>1427</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1492</v>
      </c>
      <c r="E270" s="1133" t="s">
        <v>766</v>
      </c>
      <c r="F270" s="1133" t="s">
        <v>1497</v>
      </c>
      <c r="G270" s="1134" t="s">
        <v>1851</v>
      </c>
      <c r="H270" s="1134" t="s">
        <v>1852</v>
      </c>
      <c r="I270" s="1133" t="s">
        <v>1853</v>
      </c>
      <c r="J270" s="1134" t="s">
        <v>1397</v>
      </c>
      <c r="K270" s="1134" t="s">
        <v>1381</v>
      </c>
      <c r="L270" s="1133" t="s">
        <v>1382</v>
      </c>
      <c r="M270" s="1133" t="s">
        <v>721</v>
      </c>
      <c r="N270" s="1133" t="s">
        <v>722</v>
      </c>
      <c r="O270" s="1134" t="s">
        <v>1496</v>
      </c>
      <c r="P270" s="1140"/>
      <c r="Q270" s="1140"/>
      <c r="R270" s="1140"/>
      <c r="S270" s="1140"/>
      <c r="T270" s="1340"/>
      <c r="U270" s="1133" t="s">
        <v>1383</v>
      </c>
      <c r="V270" s="1133" t="s">
        <v>1492</v>
      </c>
      <c r="W270" s="1133" t="s">
        <v>766</v>
      </c>
      <c r="X270" s="1133" t="s">
        <v>1497</v>
      </c>
      <c r="Y270" s="1134" t="s">
        <v>1851</v>
      </c>
      <c r="Z270" s="1134" t="s">
        <v>1852</v>
      </c>
      <c r="AA270" s="1133" t="s">
        <v>1853</v>
      </c>
      <c r="AB270" s="1134" t="s">
        <v>1397</v>
      </c>
      <c r="AC270" s="1134" t="s">
        <v>1381</v>
      </c>
      <c r="AD270" s="1133" t="s">
        <v>1382</v>
      </c>
      <c r="AE270" s="1133" t="s">
        <v>721</v>
      </c>
      <c r="AF270" s="1133" t="s">
        <v>722</v>
      </c>
      <c r="AG270" s="1134" t="s">
        <v>1496</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1854</v>
      </c>
      <c r="C271" s="1166" t="s">
        <v>1601</v>
      </c>
      <c r="D271" s="1145">
        <v>4601</v>
      </c>
      <c r="E271" s="1263" t="s">
        <v>1095</v>
      </c>
      <c r="F271" s="1263" t="s">
        <v>1607</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1854</v>
      </c>
      <c r="U271" s="1166" t="s">
        <v>1601</v>
      </c>
      <c r="V271" s="1145">
        <v>4602</v>
      </c>
      <c r="W271" s="1263" t="s">
        <v>1095</v>
      </c>
      <c r="X271" s="1263" t="s">
        <v>1607</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58" t="s">
        <v>1902</v>
      </c>
      <c r="C272" s="1193" t="s">
        <v>1903</v>
      </c>
      <c r="D272" s="1133" t="s">
        <v>1904</v>
      </c>
      <c r="E272" s="1134" t="s">
        <v>727</v>
      </c>
      <c r="F272" s="1133" t="s">
        <v>1905</v>
      </c>
      <c r="G272" s="1133" t="s">
        <v>1842</v>
      </c>
      <c r="H272" s="1164"/>
      <c r="I272" s="1164"/>
      <c r="J272" s="1266"/>
      <c r="K272" s="1266"/>
      <c r="L272" s="1266"/>
      <c r="M272" s="1266"/>
      <c r="N272" s="1266"/>
      <c r="O272" s="1267"/>
      <c r="P272" s="1268"/>
      <c r="Q272" s="1268"/>
      <c r="R272" s="1268"/>
      <c r="S272" s="1268"/>
      <c r="T272" s="1958" t="s">
        <v>1902</v>
      </c>
      <c r="U272" s="1193" t="s">
        <v>1903</v>
      </c>
      <c r="V272" s="1133" t="s">
        <v>1904</v>
      </c>
      <c r="W272" s="1134" t="s">
        <v>727</v>
      </c>
      <c r="X272" s="1133" t="s">
        <v>1905</v>
      </c>
      <c r="Y272" s="1133" t="s">
        <v>1842</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61"/>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61"/>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58" t="s">
        <v>1869</v>
      </c>
      <c r="C274" s="1272" t="s">
        <v>1870</v>
      </c>
      <c r="D274" s="1181" t="s">
        <v>1860</v>
      </c>
      <c r="E274" s="1181" t="s">
        <v>131</v>
      </c>
      <c r="F274" s="1181" t="s">
        <v>1861</v>
      </c>
      <c r="G274" s="1181" t="s">
        <v>1871</v>
      </c>
      <c r="H274" s="1182" t="s">
        <v>1872</v>
      </c>
      <c r="I274" s="1183" t="s">
        <v>766</v>
      </c>
      <c r="J274" s="1183" t="s">
        <v>767</v>
      </c>
      <c r="K274" s="1183" t="s">
        <v>768</v>
      </c>
      <c r="L274" s="1183" t="s">
        <v>769</v>
      </c>
      <c r="M274" s="1183" t="s">
        <v>204</v>
      </c>
      <c r="N274" s="1140"/>
      <c r="O274" s="1141"/>
      <c r="P274" s="1140"/>
      <c r="Q274" s="1140"/>
      <c r="R274" s="1140"/>
      <c r="S274" s="1140"/>
      <c r="T274" s="1958" t="s">
        <v>1869</v>
      </c>
      <c r="U274" s="1271" t="s">
        <v>1870</v>
      </c>
      <c r="V274" s="1181" t="s">
        <v>1860</v>
      </c>
      <c r="W274" s="1181" t="s">
        <v>131</v>
      </c>
      <c r="X274" s="1181" t="s">
        <v>1861</v>
      </c>
      <c r="Y274" s="1181" t="s">
        <v>1871</v>
      </c>
      <c r="Z274" s="1182" t="s">
        <v>1872</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59"/>
      <c r="C275" s="1184">
        <v>1</v>
      </c>
      <c r="D275" s="1177" t="s">
        <v>1873</v>
      </c>
      <c r="E275" s="1177" t="s">
        <v>1427</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59"/>
      <c r="U275" s="1184">
        <v>1</v>
      </c>
      <c r="V275" s="1177" t="s">
        <v>1873</v>
      </c>
      <c r="W275" s="1177" t="s">
        <v>1427</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59"/>
      <c r="C276" s="1187">
        <v>2</v>
      </c>
      <c r="D276" s="1177" t="s">
        <v>1873</v>
      </c>
      <c r="E276" s="1177" t="s">
        <v>1427</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59"/>
      <c r="U276" s="1187">
        <v>2</v>
      </c>
      <c r="V276" s="1177" t="s">
        <v>1873</v>
      </c>
      <c r="W276" s="1177" t="s">
        <v>1427</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59"/>
      <c r="C277" s="1187">
        <v>3</v>
      </c>
      <c r="D277" s="1177" t="s">
        <v>1873</v>
      </c>
      <c r="E277" s="1177" t="s">
        <v>1427</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59"/>
      <c r="U277" s="1187">
        <v>3</v>
      </c>
      <c r="V277" s="1177" t="s">
        <v>1873</v>
      </c>
      <c r="W277" s="1177" t="s">
        <v>1427</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59"/>
      <c r="C278" s="1187">
        <v>4</v>
      </c>
      <c r="D278" s="1177" t="s">
        <v>1873</v>
      </c>
      <c r="E278" s="1177" t="s">
        <v>1427</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59"/>
      <c r="U278" s="1187">
        <v>4</v>
      </c>
      <c r="V278" s="1177" t="s">
        <v>1873</v>
      </c>
      <c r="W278" s="1177" t="s">
        <v>1427</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59"/>
      <c r="C279" s="1187">
        <v>5</v>
      </c>
      <c r="D279" s="1177" t="s">
        <v>1873</v>
      </c>
      <c r="E279" s="1177" t="s">
        <v>1427</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59"/>
      <c r="U279" s="1187">
        <v>5</v>
      </c>
      <c r="V279" s="1177" t="s">
        <v>1873</v>
      </c>
      <c r="W279" s="1177" t="s">
        <v>1427</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59"/>
      <c r="C280" s="1187">
        <v>6</v>
      </c>
      <c r="D280" s="1177" t="s">
        <v>1873</v>
      </c>
      <c r="E280" s="1177" t="s">
        <v>1427</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59"/>
      <c r="U280" s="1187">
        <v>6</v>
      </c>
      <c r="V280" s="1177" t="s">
        <v>1873</v>
      </c>
      <c r="W280" s="1177" t="s">
        <v>1427</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59"/>
      <c r="C281" s="1187">
        <v>7</v>
      </c>
      <c r="D281" s="1177" t="s">
        <v>1873</v>
      </c>
      <c r="E281" s="1177" t="s">
        <v>1427</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59"/>
      <c r="U281" s="1187">
        <v>7</v>
      </c>
      <c r="V281" s="1177" t="s">
        <v>1873</v>
      </c>
      <c r="W281" s="1177" t="s">
        <v>1427</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59"/>
      <c r="C282" s="1187">
        <v>8</v>
      </c>
      <c r="D282" s="1177" t="s">
        <v>1873</v>
      </c>
      <c r="E282" s="1177" t="s">
        <v>1427</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59"/>
      <c r="U282" s="1187">
        <v>8</v>
      </c>
      <c r="V282" s="1177" t="s">
        <v>1873</v>
      </c>
      <c r="W282" s="1177" t="s">
        <v>1427</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59"/>
      <c r="C283" s="1187">
        <v>9</v>
      </c>
      <c r="D283" s="1177" t="s">
        <v>1873</v>
      </c>
      <c r="E283" s="1177" t="s">
        <v>1427</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59"/>
      <c r="U283" s="1187">
        <v>9</v>
      </c>
      <c r="V283" s="1177" t="s">
        <v>1873</v>
      </c>
      <c r="W283" s="1177" t="s">
        <v>1427</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60"/>
      <c r="C284" s="1189">
        <v>10</v>
      </c>
      <c r="D284" s="1179" t="s">
        <v>1873</v>
      </c>
      <c r="E284" s="1179" t="s">
        <v>1427</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60"/>
      <c r="U284" s="1189">
        <v>10</v>
      </c>
      <c r="V284" s="1179" t="s">
        <v>1873</v>
      </c>
      <c r="W284" s="1179" t="s">
        <v>1427</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1492</v>
      </c>
      <c r="E287" s="1133" t="s">
        <v>766</v>
      </c>
      <c r="F287" s="1133" t="s">
        <v>1497</v>
      </c>
      <c r="G287" s="1134" t="s">
        <v>1851</v>
      </c>
      <c r="H287" s="1134" t="s">
        <v>1852</v>
      </c>
      <c r="I287" s="1133" t="s">
        <v>1853</v>
      </c>
      <c r="J287" s="1134" t="s">
        <v>1397</v>
      </c>
      <c r="K287" s="1134" t="s">
        <v>1381</v>
      </c>
      <c r="L287" s="1133" t="s">
        <v>1382</v>
      </c>
      <c r="M287" s="1133" t="s">
        <v>721</v>
      </c>
      <c r="N287" s="1133" t="s">
        <v>722</v>
      </c>
      <c r="O287" s="1134" t="s">
        <v>1496</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1854</v>
      </c>
      <c r="C288" s="1166" t="s">
        <v>1631</v>
      </c>
      <c r="D288" s="1145">
        <v>4901</v>
      </c>
      <c r="E288" s="1263" t="s">
        <v>1631</v>
      </c>
      <c r="F288" s="1263" t="s">
        <v>1607</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58" t="s">
        <v>1902</v>
      </c>
      <c r="C289" s="1193" t="s">
        <v>1903</v>
      </c>
      <c r="D289" s="1133" t="s">
        <v>1904</v>
      </c>
      <c r="E289" s="1134" t="s">
        <v>727</v>
      </c>
      <c r="F289" s="1133" t="s">
        <v>1905</v>
      </c>
      <c r="G289" s="1133" t="s">
        <v>1842</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61"/>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58" t="s">
        <v>1869</v>
      </c>
      <c r="C291" s="1180" t="s">
        <v>1870</v>
      </c>
      <c r="D291" s="1181" t="s">
        <v>1860</v>
      </c>
      <c r="E291" s="1181" t="s">
        <v>131</v>
      </c>
      <c r="F291" s="1181" t="s">
        <v>1861</v>
      </c>
      <c r="G291" s="1181" t="s">
        <v>1871</v>
      </c>
      <c r="H291" s="1182" t="s">
        <v>1872</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59"/>
      <c r="C292" s="1184">
        <v>1</v>
      </c>
      <c r="D292" s="1177" t="s">
        <v>1873</v>
      </c>
      <c r="E292" s="1177" t="s">
        <v>1427</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59"/>
      <c r="C293" s="1187">
        <v>2</v>
      </c>
      <c r="D293" s="1177" t="s">
        <v>1873</v>
      </c>
      <c r="E293" s="1177" t="s">
        <v>1427</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59"/>
      <c r="C294" s="1187">
        <v>3</v>
      </c>
      <c r="D294" s="1177" t="s">
        <v>1873</v>
      </c>
      <c r="E294" s="1177" t="s">
        <v>1427</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59"/>
      <c r="C295" s="1187">
        <v>4</v>
      </c>
      <c r="D295" s="1177" t="s">
        <v>1873</v>
      </c>
      <c r="E295" s="1177" t="s">
        <v>1427</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59"/>
      <c r="C296" s="1187">
        <v>5</v>
      </c>
      <c r="D296" s="1177" t="s">
        <v>1873</v>
      </c>
      <c r="E296" s="1177" t="s">
        <v>1427</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59"/>
      <c r="C297" s="1187">
        <v>6</v>
      </c>
      <c r="D297" s="1177" t="s">
        <v>1873</v>
      </c>
      <c r="E297" s="1177" t="s">
        <v>1427</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59"/>
      <c r="C298" s="1187">
        <v>7</v>
      </c>
      <c r="D298" s="1177" t="s">
        <v>1873</v>
      </c>
      <c r="E298" s="1177" t="s">
        <v>1427</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59"/>
      <c r="C299" s="1187">
        <v>8</v>
      </c>
      <c r="D299" s="1177" t="s">
        <v>1873</v>
      </c>
      <c r="E299" s="1177" t="s">
        <v>1427</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59"/>
      <c r="C300" s="1187">
        <v>9</v>
      </c>
      <c r="D300" s="1177" t="s">
        <v>1873</v>
      </c>
      <c r="E300" s="1177" t="s">
        <v>1427</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60"/>
      <c r="C301" s="1189">
        <v>10</v>
      </c>
      <c r="D301" s="1179" t="s">
        <v>1873</v>
      </c>
      <c r="E301" s="1179" t="s">
        <v>1427</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1492</v>
      </c>
      <c r="E304" s="1133" t="s">
        <v>766</v>
      </c>
      <c r="F304" s="1133" t="s">
        <v>1497</v>
      </c>
      <c r="G304" s="1133" t="s">
        <v>1850</v>
      </c>
      <c r="H304" s="1134" t="s">
        <v>1851</v>
      </c>
      <c r="I304" s="1134" t="s">
        <v>1852</v>
      </c>
      <c r="J304" s="1133" t="s">
        <v>1853</v>
      </c>
      <c r="K304" s="1134" t="s">
        <v>1397</v>
      </c>
      <c r="L304" s="1134" t="s">
        <v>1381</v>
      </c>
      <c r="M304" s="1133" t="s">
        <v>1382</v>
      </c>
      <c r="N304" s="1133" t="s">
        <v>721</v>
      </c>
      <c r="O304" s="1133" t="s">
        <v>722</v>
      </c>
      <c r="P304" s="1134" t="s">
        <v>1496</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1854</v>
      </c>
      <c r="C305" s="1166" t="s">
        <v>1609</v>
      </c>
      <c r="D305" s="1145">
        <v>5001</v>
      </c>
      <c r="E305" s="1263" t="s">
        <v>1906</v>
      </c>
      <c r="F305" s="1263" t="s">
        <v>1498</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63" t="s">
        <v>1855</v>
      </c>
      <c r="C306" s="1133" t="s">
        <v>1856</v>
      </c>
      <c r="D306" s="1134" t="s">
        <v>1857</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64"/>
      <c r="C307" s="1171" t="s">
        <v>1858</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58" t="s">
        <v>1869</v>
      </c>
      <c r="C308" s="1180" t="s">
        <v>1870</v>
      </c>
      <c r="D308" s="1181" t="s">
        <v>1860</v>
      </c>
      <c r="E308" s="1181" t="s">
        <v>131</v>
      </c>
      <c r="F308" s="1181" t="s">
        <v>1861</v>
      </c>
      <c r="G308" s="1181" t="s">
        <v>1871</v>
      </c>
      <c r="H308" s="1182" t="s">
        <v>1872</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59"/>
      <c r="C309" s="1184">
        <v>1</v>
      </c>
      <c r="D309" s="1177" t="s">
        <v>1873</v>
      </c>
      <c r="E309" s="1177" t="s">
        <v>1427</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59"/>
      <c r="C310" s="1187">
        <v>2</v>
      </c>
      <c r="D310" s="1177" t="s">
        <v>1873</v>
      </c>
      <c r="E310" s="1177" t="s">
        <v>1427</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59"/>
      <c r="C311" s="1187">
        <v>3</v>
      </c>
      <c r="D311" s="1177" t="s">
        <v>1873</v>
      </c>
      <c r="E311" s="1177" t="s">
        <v>1427</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59"/>
      <c r="C312" s="1187">
        <v>4</v>
      </c>
      <c r="D312" s="1177" t="s">
        <v>1873</v>
      </c>
      <c r="E312" s="1177" t="s">
        <v>1427</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59"/>
      <c r="C313" s="1187">
        <v>5</v>
      </c>
      <c r="D313" s="1177" t="s">
        <v>1873</v>
      </c>
      <c r="E313" s="1177" t="s">
        <v>1427</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59"/>
      <c r="C314" s="1187">
        <v>6</v>
      </c>
      <c r="D314" s="1177" t="s">
        <v>1873</v>
      </c>
      <c r="E314" s="1177" t="s">
        <v>1427</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59"/>
      <c r="C315" s="1187">
        <v>7</v>
      </c>
      <c r="D315" s="1177" t="s">
        <v>1873</v>
      </c>
      <c r="E315" s="1177" t="s">
        <v>1427</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59"/>
      <c r="C316" s="1187">
        <v>8</v>
      </c>
      <c r="D316" s="1177" t="s">
        <v>1873</v>
      </c>
      <c r="E316" s="1177" t="s">
        <v>1427</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59"/>
      <c r="C317" s="1187">
        <v>9</v>
      </c>
      <c r="D317" s="1177" t="s">
        <v>1873</v>
      </c>
      <c r="E317" s="1177" t="s">
        <v>1427</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60"/>
      <c r="C318" s="1189">
        <v>10</v>
      </c>
      <c r="D318" s="1179" t="s">
        <v>1873</v>
      </c>
      <c r="E318" s="1179" t="s">
        <v>1427</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1492</v>
      </c>
      <c r="E321" s="1133" t="s">
        <v>766</v>
      </c>
      <c r="F321" s="1133" t="s">
        <v>1497</v>
      </c>
      <c r="G321" s="1134" t="s">
        <v>1851</v>
      </c>
      <c r="H321" s="1134" t="s">
        <v>1852</v>
      </c>
      <c r="I321" s="1134" t="s">
        <v>1397</v>
      </c>
      <c r="J321" s="1134" t="s">
        <v>1381</v>
      </c>
      <c r="K321" s="1133" t="s">
        <v>1382</v>
      </c>
      <c r="L321" s="1133" t="s">
        <v>721</v>
      </c>
      <c r="M321" s="1133" t="s">
        <v>722</v>
      </c>
      <c r="N321" s="1134" t="s">
        <v>1496</v>
      </c>
      <c r="O321" s="1134" t="s">
        <v>1842</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1854</v>
      </c>
      <c r="C322" s="1166" t="s">
        <v>1133</v>
      </c>
      <c r="D322" s="1145">
        <v>801</v>
      </c>
      <c r="E322" s="1263" t="s">
        <v>1907</v>
      </c>
      <c r="F322" s="1263" t="s">
        <v>1607</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1908</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58" t="s">
        <v>1902</v>
      </c>
      <c r="C323" s="1193" t="s">
        <v>1903</v>
      </c>
      <c r="D323" s="1133" t="s">
        <v>1904</v>
      </c>
      <c r="E323" s="1134" t="s">
        <v>727</v>
      </c>
      <c r="F323" s="1133" t="s">
        <v>1905</v>
      </c>
      <c r="G323" s="1133" t="s">
        <v>1909</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62"/>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58" t="s">
        <v>1869</v>
      </c>
      <c r="C325" s="1180" t="s">
        <v>1870</v>
      </c>
      <c r="D325" s="1181" t="s">
        <v>1860</v>
      </c>
      <c r="E325" s="1181" t="s">
        <v>131</v>
      </c>
      <c r="F325" s="1181" t="s">
        <v>1861</v>
      </c>
      <c r="G325" s="1181" t="s">
        <v>1871</v>
      </c>
      <c r="H325" s="1182" t="s">
        <v>1872</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59"/>
      <c r="C326" s="1184">
        <v>1</v>
      </c>
      <c r="D326" s="1177" t="s">
        <v>1873</v>
      </c>
      <c r="E326" s="1177" t="s">
        <v>1427</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59"/>
      <c r="C327" s="1187">
        <v>2</v>
      </c>
      <c r="D327" s="1177" t="s">
        <v>1873</v>
      </c>
      <c r="E327" s="1177" t="s">
        <v>1427</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59"/>
      <c r="C328" s="1187">
        <v>3</v>
      </c>
      <c r="D328" s="1177" t="s">
        <v>1873</v>
      </c>
      <c r="E328" s="1177" t="s">
        <v>1427</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59"/>
      <c r="C329" s="1187">
        <v>4</v>
      </c>
      <c r="D329" s="1177" t="s">
        <v>1873</v>
      </c>
      <c r="E329" s="1177" t="s">
        <v>1427</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59"/>
      <c r="C330" s="1187">
        <v>5</v>
      </c>
      <c r="D330" s="1177" t="s">
        <v>1873</v>
      </c>
      <c r="E330" s="1177" t="s">
        <v>1427</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59"/>
      <c r="C331" s="1187">
        <v>6</v>
      </c>
      <c r="D331" s="1177" t="s">
        <v>1873</v>
      </c>
      <c r="E331" s="1177" t="s">
        <v>1427</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59"/>
      <c r="C332" s="1187">
        <v>7</v>
      </c>
      <c r="D332" s="1177" t="s">
        <v>1873</v>
      </c>
      <c r="E332" s="1177" t="s">
        <v>1427</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59"/>
      <c r="C333" s="1187">
        <v>8</v>
      </c>
      <c r="D333" s="1177" t="s">
        <v>1873</v>
      </c>
      <c r="E333" s="1177" t="s">
        <v>1427</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59"/>
      <c r="C334" s="1187">
        <v>9</v>
      </c>
      <c r="D334" s="1177" t="s">
        <v>1873</v>
      </c>
      <c r="E334" s="1177" t="s">
        <v>1427</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60"/>
      <c r="C335" s="1275">
        <v>10</v>
      </c>
      <c r="D335" s="1276" t="s">
        <v>1873</v>
      </c>
      <c r="E335" s="1276" t="s">
        <v>1427</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58" t="s">
        <v>1910</v>
      </c>
      <c r="C336" s="1277" t="s">
        <v>1476</v>
      </c>
      <c r="D336" s="1278" t="s">
        <v>1402</v>
      </c>
      <c r="E336" s="1277" t="s">
        <v>1479</v>
      </c>
      <c r="F336" s="1279" t="s">
        <v>1135</v>
      </c>
      <c r="G336" s="1280" t="s">
        <v>1134</v>
      </c>
      <c r="H336" s="1280" t="s">
        <v>1673</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62"/>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1492</v>
      </c>
      <c r="E340" s="1133" t="s">
        <v>766</v>
      </c>
      <c r="F340" s="1133" t="s">
        <v>1497</v>
      </c>
      <c r="G340" s="1134" t="s">
        <v>1851</v>
      </c>
      <c r="H340" s="1134" t="s">
        <v>1852</v>
      </c>
      <c r="I340" s="1134" t="s">
        <v>1397</v>
      </c>
      <c r="J340" s="1134" t="s">
        <v>1381</v>
      </c>
      <c r="K340" s="1133" t="s">
        <v>1382</v>
      </c>
      <c r="L340" s="1133" t="s">
        <v>721</v>
      </c>
      <c r="M340" s="1133" t="s">
        <v>722</v>
      </c>
      <c r="N340" s="1134" t="s">
        <v>1496</v>
      </c>
      <c r="O340" s="1134" t="s">
        <v>1842</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1854</v>
      </c>
      <c r="C341" s="1166" t="s">
        <v>1613</v>
      </c>
      <c r="D341" s="1145">
        <v>901</v>
      </c>
      <c r="E341" s="1263" t="s">
        <v>1613</v>
      </c>
      <c r="F341" s="1263" t="s">
        <v>1607</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1908</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58" t="s">
        <v>1902</v>
      </c>
      <c r="C342" s="1193" t="s">
        <v>1903</v>
      </c>
      <c r="D342" s="1133" t="s">
        <v>1904</v>
      </c>
      <c r="E342" s="1134" t="s">
        <v>727</v>
      </c>
      <c r="F342" s="1133" t="s">
        <v>1905</v>
      </c>
      <c r="G342" s="1133" t="s">
        <v>1909</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62"/>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58" t="s">
        <v>1869</v>
      </c>
      <c r="C344" s="1180" t="s">
        <v>1870</v>
      </c>
      <c r="D344" s="1181" t="s">
        <v>1860</v>
      </c>
      <c r="E344" s="1181" t="s">
        <v>131</v>
      </c>
      <c r="F344" s="1181" t="s">
        <v>1861</v>
      </c>
      <c r="G344" s="1181" t="s">
        <v>1871</v>
      </c>
      <c r="H344" s="1182" t="s">
        <v>1872</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59"/>
      <c r="C345" s="1184">
        <v>1</v>
      </c>
      <c r="D345" s="1177" t="s">
        <v>1873</v>
      </c>
      <c r="E345" s="1177" t="s">
        <v>1427</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59"/>
      <c r="C346" s="1187">
        <v>2</v>
      </c>
      <c r="D346" s="1177" t="s">
        <v>1873</v>
      </c>
      <c r="E346" s="1177" t="s">
        <v>1427</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59"/>
      <c r="C347" s="1187">
        <v>3</v>
      </c>
      <c r="D347" s="1177" t="s">
        <v>1873</v>
      </c>
      <c r="E347" s="1177" t="s">
        <v>1427</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59"/>
      <c r="C348" s="1187">
        <v>4</v>
      </c>
      <c r="D348" s="1177" t="s">
        <v>1873</v>
      </c>
      <c r="E348" s="1177" t="s">
        <v>1427</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59"/>
      <c r="C349" s="1187">
        <v>5</v>
      </c>
      <c r="D349" s="1177" t="s">
        <v>1873</v>
      </c>
      <c r="E349" s="1177" t="s">
        <v>1427</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59"/>
      <c r="C350" s="1187">
        <v>6</v>
      </c>
      <c r="D350" s="1177" t="s">
        <v>1873</v>
      </c>
      <c r="E350" s="1177" t="s">
        <v>1427</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59"/>
      <c r="C351" s="1187">
        <v>7</v>
      </c>
      <c r="D351" s="1177" t="s">
        <v>1873</v>
      </c>
      <c r="E351" s="1177" t="s">
        <v>1427</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59"/>
      <c r="C352" s="1187">
        <v>8</v>
      </c>
      <c r="D352" s="1177" t="s">
        <v>1873</v>
      </c>
      <c r="E352" s="1177" t="s">
        <v>1427</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59"/>
      <c r="C353" s="1187">
        <v>9</v>
      </c>
      <c r="D353" s="1177" t="s">
        <v>1873</v>
      </c>
      <c r="E353" s="1177" t="s">
        <v>1427</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60"/>
      <c r="C354" s="1275">
        <v>10</v>
      </c>
      <c r="D354" s="1276" t="s">
        <v>1873</v>
      </c>
      <c r="E354" s="1276" t="s">
        <v>1427</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58" t="s">
        <v>1910</v>
      </c>
      <c r="C355" s="1277" t="s">
        <v>1476</v>
      </c>
      <c r="D355" s="1278" t="s">
        <v>1402</v>
      </c>
      <c r="E355" s="1277" t="s">
        <v>1479</v>
      </c>
      <c r="F355" s="1279" t="s">
        <v>1135</v>
      </c>
      <c r="G355" s="1277" t="s">
        <v>1134</v>
      </c>
      <c r="H355" s="1277" t="s">
        <v>1673</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62"/>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1492</v>
      </c>
      <c r="E359" s="1133" t="s">
        <v>766</v>
      </c>
      <c r="F359" s="1133" t="s">
        <v>1497</v>
      </c>
      <c r="G359" s="1134" t="s">
        <v>1852</v>
      </c>
      <c r="H359" s="1134" t="s">
        <v>1397</v>
      </c>
      <c r="I359" s="1134" t="s">
        <v>1381</v>
      </c>
      <c r="J359" s="1133" t="s">
        <v>1382</v>
      </c>
      <c r="K359" s="1133" t="s">
        <v>721</v>
      </c>
      <c r="L359" s="1133" t="s">
        <v>722</v>
      </c>
      <c r="M359" s="1134" t="s">
        <v>1496</v>
      </c>
      <c r="N359" s="1140"/>
      <c r="O359" s="1140"/>
      <c r="P359" s="1140"/>
      <c r="Q359" s="1140"/>
      <c r="R359" s="1140"/>
      <c r="S359" s="1140"/>
      <c r="T359" s="1340"/>
      <c r="U359" s="1133" t="s">
        <v>1383</v>
      </c>
      <c r="V359" s="1133" t="s">
        <v>1492</v>
      </c>
      <c r="W359" s="1133" t="s">
        <v>766</v>
      </c>
      <c r="X359" s="1133" t="s">
        <v>1497</v>
      </c>
      <c r="Y359" s="1134" t="s">
        <v>1852</v>
      </c>
      <c r="Z359" s="1134" t="s">
        <v>1397</v>
      </c>
      <c r="AA359" s="1134" t="s">
        <v>1381</v>
      </c>
      <c r="AB359" s="1133" t="s">
        <v>1382</v>
      </c>
      <c r="AC359" s="1133" t="s">
        <v>721</v>
      </c>
      <c r="AD359" s="1133" t="s">
        <v>722</v>
      </c>
      <c r="AE359" s="1134" t="s">
        <v>1496</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1854</v>
      </c>
      <c r="C360" s="1166" t="s">
        <v>1615</v>
      </c>
      <c r="D360" s="1145">
        <v>501</v>
      </c>
      <c r="E360" s="1263" t="s">
        <v>1911</v>
      </c>
      <c r="F360" s="1263" t="s">
        <v>1607</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1854</v>
      </c>
      <c r="U360" s="1166" t="s">
        <v>1615</v>
      </c>
      <c r="V360" s="1145">
        <v>502</v>
      </c>
      <c r="W360" s="1263" t="s">
        <v>1911</v>
      </c>
      <c r="X360" s="1263" t="s">
        <v>1607</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58" t="s">
        <v>1902</v>
      </c>
      <c r="C361" s="1193" t="s">
        <v>1903</v>
      </c>
      <c r="D361" s="1133" t="s">
        <v>1904</v>
      </c>
      <c r="E361" s="1134" t="s">
        <v>727</v>
      </c>
      <c r="F361" s="1133" t="s">
        <v>1905</v>
      </c>
      <c r="G361" s="1133" t="s">
        <v>1909</v>
      </c>
      <c r="H361" s="1140"/>
      <c r="I361" s="1140"/>
      <c r="J361" s="1140"/>
      <c r="K361" s="1140"/>
      <c r="L361" s="1140"/>
      <c r="M361" s="1141"/>
      <c r="N361" s="1140"/>
      <c r="O361" s="1140"/>
      <c r="P361" s="1140"/>
      <c r="Q361" s="1140"/>
      <c r="R361" s="1140"/>
      <c r="S361" s="1140"/>
      <c r="T361" s="1958" t="s">
        <v>1902</v>
      </c>
      <c r="U361" s="1193" t="s">
        <v>1903</v>
      </c>
      <c r="V361" s="1133" t="s">
        <v>1904</v>
      </c>
      <c r="W361" s="1134" t="s">
        <v>727</v>
      </c>
      <c r="X361" s="1133" t="s">
        <v>1905</v>
      </c>
      <c r="Y361" s="1133" t="s">
        <v>1842</v>
      </c>
      <c r="Z361" s="1133" t="s">
        <v>1909</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62"/>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62"/>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58" t="s">
        <v>1869</v>
      </c>
      <c r="C363" s="1180" t="s">
        <v>1870</v>
      </c>
      <c r="D363" s="1181" t="s">
        <v>1860</v>
      </c>
      <c r="E363" s="1181" t="s">
        <v>131</v>
      </c>
      <c r="F363" s="1181" t="s">
        <v>1861</v>
      </c>
      <c r="G363" s="1181" t="s">
        <v>1871</v>
      </c>
      <c r="H363" s="1182" t="s">
        <v>1872</v>
      </c>
      <c r="I363" s="1183" t="s">
        <v>766</v>
      </c>
      <c r="J363" s="1183" t="s">
        <v>767</v>
      </c>
      <c r="K363" s="1183" t="s">
        <v>768</v>
      </c>
      <c r="L363" s="1183" t="s">
        <v>769</v>
      </c>
      <c r="M363" s="1183" t="s">
        <v>204</v>
      </c>
      <c r="N363" s="1140"/>
      <c r="O363" s="1140"/>
      <c r="P363" s="1140"/>
      <c r="Q363" s="1140"/>
      <c r="R363" s="1140"/>
      <c r="S363" s="1140"/>
      <c r="T363" s="1958" t="s">
        <v>1869</v>
      </c>
      <c r="U363" s="1180" t="s">
        <v>1870</v>
      </c>
      <c r="V363" s="1181" t="s">
        <v>1860</v>
      </c>
      <c r="W363" s="1181" t="s">
        <v>131</v>
      </c>
      <c r="X363" s="1181" t="s">
        <v>1861</v>
      </c>
      <c r="Y363" s="1181" t="s">
        <v>1871</v>
      </c>
      <c r="Z363" s="1182" t="s">
        <v>1872</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59"/>
      <c r="C364" s="1184">
        <v>1</v>
      </c>
      <c r="D364" s="1177" t="s">
        <v>1873</v>
      </c>
      <c r="E364" s="1177" t="s">
        <v>1427</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59"/>
      <c r="U364" s="1184">
        <v>1</v>
      </c>
      <c r="V364" s="1177" t="s">
        <v>1873</v>
      </c>
      <c r="W364" s="1177" t="s">
        <v>1427</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59"/>
      <c r="C365" s="1187">
        <v>2</v>
      </c>
      <c r="D365" s="1177" t="s">
        <v>1873</v>
      </c>
      <c r="E365" s="1177" t="s">
        <v>1427</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59"/>
      <c r="U365" s="1187">
        <v>2</v>
      </c>
      <c r="V365" s="1177" t="s">
        <v>1873</v>
      </c>
      <c r="W365" s="1177" t="s">
        <v>1427</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59"/>
      <c r="C366" s="1187">
        <v>3</v>
      </c>
      <c r="D366" s="1177" t="s">
        <v>1873</v>
      </c>
      <c r="E366" s="1177" t="s">
        <v>1427</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59"/>
      <c r="U366" s="1187">
        <v>3</v>
      </c>
      <c r="V366" s="1177" t="s">
        <v>1873</v>
      </c>
      <c r="W366" s="1177" t="s">
        <v>1427</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59"/>
      <c r="C367" s="1187">
        <v>4</v>
      </c>
      <c r="D367" s="1177" t="s">
        <v>1873</v>
      </c>
      <c r="E367" s="1177" t="s">
        <v>1427</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59"/>
      <c r="U367" s="1187">
        <v>4</v>
      </c>
      <c r="V367" s="1177" t="s">
        <v>1873</v>
      </c>
      <c r="W367" s="1177" t="s">
        <v>1427</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59"/>
      <c r="C368" s="1187">
        <v>5</v>
      </c>
      <c r="D368" s="1177" t="s">
        <v>1873</v>
      </c>
      <c r="E368" s="1177" t="s">
        <v>1427</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59"/>
      <c r="U368" s="1187">
        <v>5</v>
      </c>
      <c r="V368" s="1177" t="s">
        <v>1873</v>
      </c>
      <c r="W368" s="1177" t="s">
        <v>1427</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59"/>
      <c r="C369" s="1187">
        <v>6</v>
      </c>
      <c r="D369" s="1177" t="s">
        <v>1873</v>
      </c>
      <c r="E369" s="1177" t="s">
        <v>1427</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59"/>
      <c r="U369" s="1187">
        <v>6</v>
      </c>
      <c r="V369" s="1177" t="s">
        <v>1873</v>
      </c>
      <c r="W369" s="1177" t="s">
        <v>1427</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59"/>
      <c r="C370" s="1187">
        <v>7</v>
      </c>
      <c r="D370" s="1177" t="s">
        <v>1873</v>
      </c>
      <c r="E370" s="1177" t="s">
        <v>1427</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59"/>
      <c r="U370" s="1187">
        <v>7</v>
      </c>
      <c r="V370" s="1177" t="s">
        <v>1873</v>
      </c>
      <c r="W370" s="1177" t="s">
        <v>1427</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59"/>
      <c r="C371" s="1187">
        <v>8</v>
      </c>
      <c r="D371" s="1177" t="s">
        <v>1873</v>
      </c>
      <c r="E371" s="1177" t="s">
        <v>1427</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59"/>
      <c r="U371" s="1187">
        <v>8</v>
      </c>
      <c r="V371" s="1177" t="s">
        <v>1873</v>
      </c>
      <c r="W371" s="1177" t="s">
        <v>1427</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59"/>
      <c r="C372" s="1187">
        <v>9</v>
      </c>
      <c r="D372" s="1177" t="s">
        <v>1873</v>
      </c>
      <c r="E372" s="1177" t="s">
        <v>1427</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59"/>
      <c r="U372" s="1187">
        <v>9</v>
      </c>
      <c r="V372" s="1177" t="s">
        <v>1873</v>
      </c>
      <c r="W372" s="1177" t="s">
        <v>1427</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60"/>
      <c r="C373" s="1189">
        <v>10</v>
      </c>
      <c r="D373" s="1179" t="s">
        <v>1873</v>
      </c>
      <c r="E373" s="1179" t="s">
        <v>1427</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60"/>
      <c r="U373" s="1189">
        <v>10</v>
      </c>
      <c r="V373" s="1179" t="s">
        <v>1873</v>
      </c>
      <c r="W373" s="1179" t="s">
        <v>1427</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1492</v>
      </c>
      <c r="E376" s="1133" t="s">
        <v>765</v>
      </c>
      <c r="F376" s="1133" t="s">
        <v>1179</v>
      </c>
      <c r="G376" s="1134" t="s">
        <v>1912</v>
      </c>
      <c r="H376" s="1134" t="s">
        <v>1381</v>
      </c>
      <c r="I376" s="1134" t="s">
        <v>1397</v>
      </c>
      <c r="J376" s="1133" t="s">
        <v>1382</v>
      </c>
      <c r="K376" s="1134" t="s">
        <v>1913</v>
      </c>
      <c r="L376" s="1133" t="s">
        <v>1851</v>
      </c>
      <c r="M376" s="1133" t="s">
        <v>1852</v>
      </c>
      <c r="N376" s="1134" t="s">
        <v>1496</v>
      </c>
      <c r="O376" s="1140"/>
      <c r="P376" s="1140"/>
      <c r="Q376" s="1140"/>
      <c r="R376" s="1140"/>
      <c r="S376" s="1140"/>
      <c r="T376" s="1340"/>
      <c r="U376" s="1133" t="s">
        <v>1383</v>
      </c>
      <c r="V376" s="1133" t="s">
        <v>1492</v>
      </c>
      <c r="W376" s="1133" t="s">
        <v>765</v>
      </c>
      <c r="X376" s="1133" t="s">
        <v>1179</v>
      </c>
      <c r="Y376" s="1134" t="s">
        <v>1912</v>
      </c>
      <c r="Z376" s="1134" t="s">
        <v>1381</v>
      </c>
      <c r="AA376" s="1134" t="s">
        <v>1397</v>
      </c>
      <c r="AB376" s="1133" t="s">
        <v>1382</v>
      </c>
      <c r="AC376" s="1134" t="s">
        <v>1913</v>
      </c>
      <c r="AD376" s="1133" t="s">
        <v>1851</v>
      </c>
      <c r="AE376" s="1133" t="s">
        <v>1852</v>
      </c>
      <c r="AF376" s="1134" t="s">
        <v>1496</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1914</v>
      </c>
      <c r="C377" s="1166" t="s">
        <v>1618</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1914</v>
      </c>
      <c r="U377" s="1166" t="s">
        <v>1618</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58" t="s">
        <v>1915</v>
      </c>
      <c r="C378" s="1142" t="s">
        <v>1482</v>
      </c>
      <c r="D378" s="1142" t="s">
        <v>727</v>
      </c>
      <c r="E378" s="1142" t="s">
        <v>1483</v>
      </c>
      <c r="F378" s="1140"/>
      <c r="G378" s="1164" t="s">
        <v>1842</v>
      </c>
      <c r="H378" s="1164" t="s">
        <v>1909</v>
      </c>
      <c r="I378" s="1140"/>
      <c r="J378" s="1140"/>
      <c r="K378" s="1140"/>
      <c r="L378" s="1140"/>
      <c r="M378" s="1140"/>
      <c r="N378" s="1141"/>
      <c r="O378" s="1140"/>
      <c r="P378" s="1140"/>
      <c r="Q378" s="1140"/>
      <c r="R378" s="1140"/>
      <c r="S378" s="1140"/>
      <c r="T378" s="1958" t="s">
        <v>1915</v>
      </c>
      <c r="U378" s="1142" t="s">
        <v>1482</v>
      </c>
      <c r="V378" s="1142" t="s">
        <v>727</v>
      </c>
      <c r="W378" s="1142" t="s">
        <v>1483</v>
      </c>
      <c r="X378" s="1140"/>
      <c r="Y378" s="1164" t="s">
        <v>1842</v>
      </c>
      <c r="Z378" s="1164" t="s">
        <v>1909</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78"/>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78"/>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78"/>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78"/>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78"/>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78"/>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78"/>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78"/>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59"/>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59"/>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58" t="s">
        <v>1916</v>
      </c>
      <c r="C384" s="1180" t="s">
        <v>1870</v>
      </c>
      <c r="D384" s="1292" t="s">
        <v>1860</v>
      </c>
      <c r="E384" s="1292" t="s">
        <v>131</v>
      </c>
      <c r="F384" s="1181" t="s">
        <v>1861</v>
      </c>
      <c r="G384" s="1181" t="s">
        <v>1871</v>
      </c>
      <c r="H384" s="1182" t="s">
        <v>1872</v>
      </c>
      <c r="I384" s="1183" t="s">
        <v>766</v>
      </c>
      <c r="J384" s="1293" t="s">
        <v>767</v>
      </c>
      <c r="K384" s="1183" t="s">
        <v>768</v>
      </c>
      <c r="L384" s="1183" t="s">
        <v>769</v>
      </c>
      <c r="M384" s="1183" t="s">
        <v>204</v>
      </c>
      <c r="N384" s="1141"/>
      <c r="O384" s="1140"/>
      <c r="P384" s="1140"/>
      <c r="Q384" s="1140"/>
      <c r="R384" s="1140"/>
      <c r="S384" s="1140"/>
      <c r="T384" s="1958" t="s">
        <v>1916</v>
      </c>
      <c r="U384" s="1180" t="s">
        <v>1870</v>
      </c>
      <c r="V384" s="1292" t="s">
        <v>1860</v>
      </c>
      <c r="W384" s="1292" t="s">
        <v>131</v>
      </c>
      <c r="X384" s="1181" t="s">
        <v>1861</v>
      </c>
      <c r="Y384" s="1181" t="s">
        <v>1871</v>
      </c>
      <c r="Z384" s="1182" t="s">
        <v>1872</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59"/>
      <c r="C385" s="1184">
        <v>1</v>
      </c>
      <c r="D385" s="1177" t="s">
        <v>1873</v>
      </c>
      <c r="E385" s="1177" t="s">
        <v>1427</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59"/>
      <c r="U385" s="1184">
        <v>1</v>
      </c>
      <c r="V385" s="1177" t="s">
        <v>1873</v>
      </c>
      <c r="W385" s="1177" t="s">
        <v>1427</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59"/>
      <c r="C386" s="1187">
        <v>2</v>
      </c>
      <c r="D386" s="1177" t="s">
        <v>1873</v>
      </c>
      <c r="E386" s="1177" t="s">
        <v>1427</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59"/>
      <c r="U386" s="1187">
        <v>2</v>
      </c>
      <c r="V386" s="1177" t="s">
        <v>1873</v>
      </c>
      <c r="W386" s="1177" t="s">
        <v>1427</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59"/>
      <c r="C387" s="1187">
        <v>3</v>
      </c>
      <c r="D387" s="1177" t="s">
        <v>1873</v>
      </c>
      <c r="E387" s="1177" t="s">
        <v>1427</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59"/>
      <c r="U387" s="1187">
        <v>3</v>
      </c>
      <c r="V387" s="1177" t="s">
        <v>1873</v>
      </c>
      <c r="W387" s="1177" t="s">
        <v>1427</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59"/>
      <c r="C388" s="1187">
        <v>4</v>
      </c>
      <c r="D388" s="1177" t="s">
        <v>1873</v>
      </c>
      <c r="E388" s="1177" t="s">
        <v>1427</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59"/>
      <c r="U388" s="1187">
        <v>4</v>
      </c>
      <c r="V388" s="1177" t="s">
        <v>1873</v>
      </c>
      <c r="W388" s="1177" t="s">
        <v>1427</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59"/>
      <c r="C389" s="1187">
        <v>5</v>
      </c>
      <c r="D389" s="1177" t="s">
        <v>1873</v>
      </c>
      <c r="E389" s="1177" t="s">
        <v>1427</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59"/>
      <c r="U389" s="1187">
        <v>5</v>
      </c>
      <c r="V389" s="1177" t="s">
        <v>1873</v>
      </c>
      <c r="W389" s="1177" t="s">
        <v>1427</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59"/>
      <c r="C390" s="1187">
        <v>6</v>
      </c>
      <c r="D390" s="1177" t="s">
        <v>1873</v>
      </c>
      <c r="E390" s="1177" t="s">
        <v>1427</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59"/>
      <c r="U390" s="1187">
        <v>6</v>
      </c>
      <c r="V390" s="1177" t="s">
        <v>1873</v>
      </c>
      <c r="W390" s="1177" t="s">
        <v>1427</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59"/>
      <c r="C391" s="1187">
        <v>7</v>
      </c>
      <c r="D391" s="1177" t="s">
        <v>1873</v>
      </c>
      <c r="E391" s="1177" t="s">
        <v>1427</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59"/>
      <c r="U391" s="1187">
        <v>7</v>
      </c>
      <c r="V391" s="1177" t="s">
        <v>1873</v>
      </c>
      <c r="W391" s="1177" t="s">
        <v>1427</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59"/>
      <c r="C392" s="1187">
        <v>8</v>
      </c>
      <c r="D392" s="1177" t="s">
        <v>1873</v>
      </c>
      <c r="E392" s="1177" t="s">
        <v>1427</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59"/>
      <c r="U392" s="1187">
        <v>8</v>
      </c>
      <c r="V392" s="1177" t="s">
        <v>1873</v>
      </c>
      <c r="W392" s="1177" t="s">
        <v>1427</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59"/>
      <c r="C393" s="1187">
        <v>9</v>
      </c>
      <c r="D393" s="1177" t="s">
        <v>1873</v>
      </c>
      <c r="E393" s="1177" t="s">
        <v>1427</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59"/>
      <c r="U393" s="1187">
        <v>9</v>
      </c>
      <c r="V393" s="1177" t="s">
        <v>1873</v>
      </c>
      <c r="W393" s="1177" t="s">
        <v>1427</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60"/>
      <c r="C394" s="1189">
        <v>10</v>
      </c>
      <c r="D394" s="1179" t="s">
        <v>1873</v>
      </c>
      <c r="E394" s="1179" t="s">
        <v>1427</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60"/>
      <c r="U394" s="1189">
        <v>10</v>
      </c>
      <c r="V394" s="1179" t="s">
        <v>1873</v>
      </c>
      <c r="W394" s="1179" t="s">
        <v>1427</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1492</v>
      </c>
      <c r="E397" s="1133" t="s">
        <v>765</v>
      </c>
      <c r="F397" s="1133" t="s">
        <v>1179</v>
      </c>
      <c r="G397" s="1134" t="s">
        <v>1912</v>
      </c>
      <c r="H397" s="1134" t="s">
        <v>1381</v>
      </c>
      <c r="I397" s="1134" t="s">
        <v>1397</v>
      </c>
      <c r="J397" s="1133" t="s">
        <v>1382</v>
      </c>
      <c r="K397" s="1133" t="s">
        <v>1851</v>
      </c>
      <c r="L397" s="1133" t="s">
        <v>1852</v>
      </c>
      <c r="M397" s="1134" t="s">
        <v>1496</v>
      </c>
      <c r="N397" s="1140"/>
      <c r="O397" s="1140"/>
      <c r="P397" s="1140"/>
      <c r="Q397" s="1140"/>
      <c r="R397" s="1140"/>
      <c r="S397" s="1140"/>
      <c r="T397" s="1340"/>
      <c r="U397" s="1133" t="s">
        <v>1383</v>
      </c>
      <c r="V397" s="1133" t="s">
        <v>1492</v>
      </c>
      <c r="W397" s="1133" t="s">
        <v>765</v>
      </c>
      <c r="X397" s="1133" t="s">
        <v>1179</v>
      </c>
      <c r="Y397" s="1134" t="s">
        <v>1912</v>
      </c>
      <c r="Z397" s="1134" t="s">
        <v>1381</v>
      </c>
      <c r="AA397" s="1134" t="s">
        <v>1397</v>
      </c>
      <c r="AB397" s="1133" t="s">
        <v>1382</v>
      </c>
      <c r="AC397" s="1133" t="s">
        <v>1851</v>
      </c>
      <c r="AD397" s="1133" t="s">
        <v>1852</v>
      </c>
      <c r="AE397" s="1134" t="s">
        <v>1496</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1914</v>
      </c>
      <c r="C398" s="1166" t="s">
        <v>1621</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1914</v>
      </c>
      <c r="U398" s="1166" t="s">
        <v>1621</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58" t="s">
        <v>1915</v>
      </c>
      <c r="C399" s="1142" t="s">
        <v>1482</v>
      </c>
      <c r="D399" s="1142" t="s">
        <v>727</v>
      </c>
      <c r="E399" s="1142" t="s">
        <v>1483</v>
      </c>
      <c r="F399" s="1140"/>
      <c r="G399" s="1164" t="s">
        <v>1842</v>
      </c>
      <c r="H399" s="1164" t="s">
        <v>1909</v>
      </c>
      <c r="I399" s="1140"/>
      <c r="J399" s="1140"/>
      <c r="K399" s="1140"/>
      <c r="L399" s="1140"/>
      <c r="M399" s="1141"/>
      <c r="N399" s="1140"/>
      <c r="O399" s="1140"/>
      <c r="P399" s="1140"/>
      <c r="Q399" s="1140"/>
      <c r="R399" s="1140"/>
      <c r="S399" s="1140"/>
      <c r="T399" s="1958" t="s">
        <v>1915</v>
      </c>
      <c r="U399" s="1142" t="s">
        <v>1482</v>
      </c>
      <c r="V399" s="1142" t="s">
        <v>727</v>
      </c>
      <c r="W399" s="1142" t="s">
        <v>1483</v>
      </c>
      <c r="X399" s="1140"/>
      <c r="Y399" s="1164" t="s">
        <v>1842</v>
      </c>
      <c r="Z399" s="1164" t="s">
        <v>1909</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78"/>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78"/>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78"/>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78"/>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78"/>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78"/>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78"/>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78"/>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59"/>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59"/>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58" t="s">
        <v>1916</v>
      </c>
      <c r="C405" s="1180" t="s">
        <v>1870</v>
      </c>
      <c r="D405" s="1292" t="s">
        <v>1860</v>
      </c>
      <c r="E405" s="1292" t="s">
        <v>131</v>
      </c>
      <c r="F405" s="1181" t="s">
        <v>1861</v>
      </c>
      <c r="G405" s="1181" t="s">
        <v>1871</v>
      </c>
      <c r="H405" s="1182" t="s">
        <v>1872</v>
      </c>
      <c r="I405" s="1183" t="s">
        <v>766</v>
      </c>
      <c r="J405" s="1293" t="s">
        <v>767</v>
      </c>
      <c r="K405" s="1183" t="s">
        <v>768</v>
      </c>
      <c r="L405" s="1183" t="s">
        <v>769</v>
      </c>
      <c r="M405" s="1183" t="s">
        <v>204</v>
      </c>
      <c r="N405" s="1140"/>
      <c r="O405" s="1140"/>
      <c r="P405" s="1140"/>
      <c r="Q405" s="1140"/>
      <c r="R405" s="1140"/>
      <c r="S405" s="1140"/>
      <c r="T405" s="1958" t="s">
        <v>1916</v>
      </c>
      <c r="U405" s="1180" t="s">
        <v>1870</v>
      </c>
      <c r="V405" s="1292" t="s">
        <v>1860</v>
      </c>
      <c r="W405" s="1292" t="s">
        <v>131</v>
      </c>
      <c r="X405" s="1181" t="s">
        <v>1861</v>
      </c>
      <c r="Y405" s="1181" t="s">
        <v>1871</v>
      </c>
      <c r="Z405" s="1182" t="s">
        <v>1872</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59"/>
      <c r="C406" s="1184">
        <v>1</v>
      </c>
      <c r="D406" s="1177" t="s">
        <v>1873</v>
      </c>
      <c r="E406" s="1177" t="s">
        <v>1427</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59"/>
      <c r="U406" s="1184">
        <v>1</v>
      </c>
      <c r="V406" s="1177" t="s">
        <v>1873</v>
      </c>
      <c r="W406" s="1177" t="s">
        <v>1427</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59"/>
      <c r="C407" s="1187">
        <v>2</v>
      </c>
      <c r="D407" s="1177" t="s">
        <v>1873</v>
      </c>
      <c r="E407" s="1177" t="s">
        <v>1427</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59"/>
      <c r="U407" s="1187">
        <v>2</v>
      </c>
      <c r="V407" s="1177" t="s">
        <v>1873</v>
      </c>
      <c r="W407" s="1177" t="s">
        <v>1427</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59"/>
      <c r="C408" s="1187">
        <v>3</v>
      </c>
      <c r="D408" s="1177" t="s">
        <v>1873</v>
      </c>
      <c r="E408" s="1177" t="s">
        <v>1427</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59"/>
      <c r="U408" s="1187">
        <v>3</v>
      </c>
      <c r="V408" s="1177" t="s">
        <v>1873</v>
      </c>
      <c r="W408" s="1177" t="s">
        <v>1427</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59"/>
      <c r="C409" s="1187">
        <v>4</v>
      </c>
      <c r="D409" s="1177" t="s">
        <v>1873</v>
      </c>
      <c r="E409" s="1177" t="s">
        <v>1427</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59"/>
      <c r="U409" s="1187">
        <v>4</v>
      </c>
      <c r="V409" s="1177" t="s">
        <v>1873</v>
      </c>
      <c r="W409" s="1177" t="s">
        <v>1427</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59"/>
      <c r="C410" s="1187">
        <v>5</v>
      </c>
      <c r="D410" s="1177" t="s">
        <v>1873</v>
      </c>
      <c r="E410" s="1177" t="s">
        <v>1427</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59"/>
      <c r="U410" s="1187">
        <v>5</v>
      </c>
      <c r="V410" s="1177" t="s">
        <v>1873</v>
      </c>
      <c r="W410" s="1177" t="s">
        <v>1427</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59"/>
      <c r="C411" s="1187">
        <v>6</v>
      </c>
      <c r="D411" s="1177" t="s">
        <v>1873</v>
      </c>
      <c r="E411" s="1177" t="s">
        <v>1427</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59"/>
      <c r="U411" s="1187">
        <v>6</v>
      </c>
      <c r="V411" s="1177" t="s">
        <v>1873</v>
      </c>
      <c r="W411" s="1177" t="s">
        <v>1427</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59"/>
      <c r="C412" s="1187">
        <v>7</v>
      </c>
      <c r="D412" s="1177" t="s">
        <v>1873</v>
      </c>
      <c r="E412" s="1177" t="s">
        <v>1427</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59"/>
      <c r="U412" s="1187">
        <v>7</v>
      </c>
      <c r="V412" s="1177" t="s">
        <v>1873</v>
      </c>
      <c r="W412" s="1177" t="s">
        <v>1427</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59"/>
      <c r="C413" s="1187">
        <v>8</v>
      </c>
      <c r="D413" s="1177" t="s">
        <v>1873</v>
      </c>
      <c r="E413" s="1177" t="s">
        <v>1427</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59"/>
      <c r="U413" s="1187">
        <v>8</v>
      </c>
      <c r="V413" s="1177" t="s">
        <v>1873</v>
      </c>
      <c r="W413" s="1177" t="s">
        <v>1427</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59"/>
      <c r="C414" s="1187">
        <v>9</v>
      </c>
      <c r="D414" s="1177" t="s">
        <v>1873</v>
      </c>
      <c r="E414" s="1177" t="s">
        <v>1427</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59"/>
      <c r="U414" s="1187">
        <v>9</v>
      </c>
      <c r="V414" s="1177" t="s">
        <v>1873</v>
      </c>
      <c r="W414" s="1177" t="s">
        <v>1427</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60"/>
      <c r="C415" s="1189">
        <v>10</v>
      </c>
      <c r="D415" s="1179" t="s">
        <v>1873</v>
      </c>
      <c r="E415" s="1179" t="s">
        <v>1427</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60"/>
      <c r="U415" s="1189">
        <v>10</v>
      </c>
      <c r="V415" s="1179" t="s">
        <v>1873</v>
      </c>
      <c r="W415" s="1179" t="s">
        <v>1427</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1492</v>
      </c>
      <c r="E418" s="1134" t="s">
        <v>1389</v>
      </c>
      <c r="F418" s="1134" t="s">
        <v>1397</v>
      </c>
      <c r="G418" s="1134" t="s">
        <v>1381</v>
      </c>
      <c r="H418" s="1134" t="s">
        <v>721</v>
      </c>
      <c r="I418" s="1134" t="s">
        <v>722</v>
      </c>
      <c r="J418" s="1134" t="s">
        <v>1496</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1917</v>
      </c>
      <c r="C419" s="1166" t="s">
        <v>1630</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1492</v>
      </c>
      <c r="E422" s="1486" t="s">
        <v>1396</v>
      </c>
      <c r="F422" s="1486" t="s">
        <v>1397</v>
      </c>
      <c r="G422" s="1486" t="s">
        <v>1381</v>
      </c>
      <c r="H422" s="1140"/>
      <c r="I422" s="1484"/>
      <c r="J422" s="1485" t="s">
        <v>1383</v>
      </c>
      <c r="K422" s="1485" t="s">
        <v>1492</v>
      </c>
      <c r="L422" s="1486" t="s">
        <v>1396</v>
      </c>
      <c r="M422" s="1486" t="s">
        <v>1397</v>
      </c>
      <c r="N422" s="1486" t="s">
        <v>1381</v>
      </c>
      <c r="O422" s="1140"/>
      <c r="P422" s="1484"/>
      <c r="Q422" s="1485" t="s">
        <v>1383</v>
      </c>
      <c r="R422" s="1485" t="s">
        <v>1492</v>
      </c>
      <c r="S422" s="1486" t="s">
        <v>1396</v>
      </c>
      <c r="T422" s="1486" t="s">
        <v>1397</v>
      </c>
      <c r="U422" s="1486" t="s">
        <v>1381</v>
      </c>
      <c r="V422" s="1140"/>
      <c r="W422" s="1484"/>
      <c r="X422" s="1485" t="s">
        <v>1383</v>
      </c>
      <c r="Y422" s="1485" t="s">
        <v>1492</v>
      </c>
      <c r="Z422" s="1486" t="s">
        <v>1396</v>
      </c>
      <c r="AA422" s="1486" t="s">
        <v>1397</v>
      </c>
      <c r="AB422" s="1486" t="s">
        <v>1381</v>
      </c>
      <c r="AC422" s="1140"/>
      <c r="AD422" s="1484"/>
      <c r="AE422" s="1485" t="s">
        <v>1383</v>
      </c>
      <c r="AF422" s="1485" t="s">
        <v>1492</v>
      </c>
      <c r="AG422" s="1486" t="s">
        <v>1396</v>
      </c>
      <c r="AH422" s="1486" t="s">
        <v>1397</v>
      </c>
      <c r="AI422" s="1486" t="s">
        <v>1381</v>
      </c>
      <c r="AJ422" s="1140"/>
      <c r="AK422" s="1484"/>
      <c r="AL422" s="1485" t="s">
        <v>1383</v>
      </c>
      <c r="AM422" s="1485" t="s">
        <v>1492</v>
      </c>
      <c r="AN422" s="1486" t="s">
        <v>1396</v>
      </c>
      <c r="AO422" s="1486" t="s">
        <v>1397</v>
      </c>
      <c r="AP422" s="1486" t="s">
        <v>1381</v>
      </c>
      <c r="AQ422" s="1140"/>
      <c r="AR422" s="1484"/>
      <c r="AS422" s="1485" t="s">
        <v>1383</v>
      </c>
      <c r="AT422" s="1485" t="s">
        <v>1492</v>
      </c>
      <c r="AU422" s="1486" t="s">
        <v>1396</v>
      </c>
      <c r="AV422" s="1486" t="s">
        <v>1397</v>
      </c>
      <c r="AW422" s="1486" t="s">
        <v>1381</v>
      </c>
      <c r="AX422" s="1140"/>
      <c r="AY422" s="1484"/>
      <c r="AZ422" s="1485" t="s">
        <v>1383</v>
      </c>
      <c r="BA422" s="1485" t="s">
        <v>1492</v>
      </c>
      <c r="BB422" s="1486" t="s">
        <v>1396</v>
      </c>
      <c r="BC422" s="1486" t="s">
        <v>1397</v>
      </c>
      <c r="BD422" s="1486" t="s">
        <v>1381</v>
      </c>
      <c r="BE422" s="1140"/>
      <c r="BF422" s="1484"/>
      <c r="BG422" s="1485" t="s">
        <v>1383</v>
      </c>
      <c r="BH422" s="1485" t="s">
        <v>1492</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2077</v>
      </c>
      <c r="C423" s="1485" t="s">
        <v>1776</v>
      </c>
      <c r="D423" s="1488">
        <v>5301</v>
      </c>
      <c r="E423" s="1489" t="str">
        <f>IF(Incentives!G230&lt;&gt;"",Incentives!G230,"")</f>
        <v/>
      </c>
      <c r="F423" s="1490" t="s">
        <v>2076</v>
      </c>
      <c r="G423" s="1490" t="str">
        <f>IF(Incentives!I227&lt;&gt;"",Incentives!I227,"")</f>
        <v/>
      </c>
      <c r="I423" s="1487" t="s">
        <v>2077</v>
      </c>
      <c r="J423" s="1485" t="s">
        <v>1776</v>
      </c>
      <c r="K423" s="1488">
        <v>5302</v>
      </c>
      <c r="L423" s="1489" t="str">
        <f>IF(Incentives!G241&lt;&gt;"",Incentives!G241,"")</f>
        <v/>
      </c>
      <c r="M423" s="1490" t="s">
        <v>2076</v>
      </c>
      <c r="N423" s="1490" t="str">
        <f>IF(Incentives!I238&lt;&gt;"",Incentives!I238,"")</f>
        <v/>
      </c>
      <c r="P423" s="1487" t="s">
        <v>2077</v>
      </c>
      <c r="Q423" s="1485" t="s">
        <v>1776</v>
      </c>
      <c r="R423" s="1488">
        <v>5303</v>
      </c>
      <c r="S423" s="1489" t="str">
        <f>IF(Incentives!G252&lt;&gt;"",Incentives!G252,"")</f>
        <v/>
      </c>
      <c r="T423" s="1490" t="s">
        <v>2076</v>
      </c>
      <c r="U423" s="1490" t="str">
        <f>IF(Incentives!I249&lt;&gt;"",Incentives!I249,"")</f>
        <v/>
      </c>
      <c r="W423" s="1487" t="s">
        <v>2077</v>
      </c>
      <c r="X423" s="1485" t="s">
        <v>1776</v>
      </c>
      <c r="Y423" s="1488">
        <v>5304</v>
      </c>
      <c r="Z423" s="1489" t="str">
        <f>IF(Incentives!G263&lt;&gt;"",Incentives!G263,"")</f>
        <v/>
      </c>
      <c r="AA423" s="1490" t="s">
        <v>2076</v>
      </c>
      <c r="AB423" s="1490" t="str">
        <f>IF(Incentives!I260&lt;&gt;"",Incentives!I260,"")</f>
        <v/>
      </c>
      <c r="AD423" s="1487" t="s">
        <v>2077</v>
      </c>
      <c r="AE423" s="1485" t="s">
        <v>1776</v>
      </c>
      <c r="AF423" s="1488">
        <v>5305</v>
      </c>
      <c r="AG423" s="1489" t="str">
        <f>IF(Incentives!G274&lt;&gt;"",Incentives!G274,"")</f>
        <v/>
      </c>
      <c r="AH423" s="1490" t="s">
        <v>2076</v>
      </c>
      <c r="AI423" s="1490" t="str">
        <f>IF(Incentives!I271&lt;&gt;"",Incentives!I271,"")</f>
        <v/>
      </c>
      <c r="AK423" s="1487" t="s">
        <v>2077</v>
      </c>
      <c r="AL423" s="1485" t="s">
        <v>1776</v>
      </c>
      <c r="AM423" s="1488">
        <v>5306</v>
      </c>
      <c r="AN423" s="1489" t="str">
        <f>IF(Incentives!G285&lt;&gt;"",Incentives!G285,"")</f>
        <v/>
      </c>
      <c r="AO423" s="1490" t="s">
        <v>2076</v>
      </c>
      <c r="AP423" s="1490" t="str">
        <f>IF(Incentives!I282&lt;&gt;"",Incentives!I282,"")</f>
        <v/>
      </c>
      <c r="AR423" s="1487" t="s">
        <v>2077</v>
      </c>
      <c r="AS423" s="1485" t="s">
        <v>1776</v>
      </c>
      <c r="AT423" s="1488">
        <v>5307</v>
      </c>
      <c r="AU423" s="1489" t="str">
        <f>IF(Incentives!G296&lt;&gt;"",Incentives!G296,"")</f>
        <v/>
      </c>
      <c r="AV423" s="1490" t="s">
        <v>2076</v>
      </c>
      <c r="AW423" s="1490" t="str">
        <f>IF(Incentives!I293&lt;&gt;"",Incentives!I293,"")</f>
        <v/>
      </c>
      <c r="AY423" s="1487" t="s">
        <v>2077</v>
      </c>
      <c r="AZ423" s="1485" t="s">
        <v>1776</v>
      </c>
      <c r="BA423" s="1488">
        <v>5308</v>
      </c>
      <c r="BB423" s="1489" t="str">
        <f>IF(Incentives!G307&lt;&gt;"",Incentives!G307,"")</f>
        <v/>
      </c>
      <c r="BC423" s="1490" t="s">
        <v>2076</v>
      </c>
      <c r="BD423" s="1490" t="str">
        <f>IF(Incentives!I304&lt;&gt;"",Incentives!I304,"")</f>
        <v/>
      </c>
      <c r="BF423" s="1487" t="s">
        <v>2077</v>
      </c>
      <c r="BG423" s="1485" t="s">
        <v>1776</v>
      </c>
      <c r="BH423" s="1488">
        <v>5309</v>
      </c>
      <c r="BI423" s="1489" t="str">
        <f>IF(Incentives!G318&lt;&gt;"",Incentives!G318,"")</f>
        <v/>
      </c>
      <c r="BJ423" s="1490" t="s">
        <v>2076</v>
      </c>
      <c r="BK423" s="1490"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17" t="s">
        <v>715</v>
      </c>
      <c r="C2" s="2018"/>
      <c r="D2" s="2018"/>
      <c r="E2" s="2018"/>
      <c r="F2" s="2018"/>
      <c r="G2" s="2018"/>
      <c r="H2" s="2018"/>
      <c r="I2" s="2018"/>
      <c r="J2" s="2018"/>
      <c r="K2" s="2018"/>
      <c r="L2" s="2018"/>
      <c r="M2" s="2018"/>
      <c r="N2" s="2018"/>
      <c r="O2" s="2018"/>
      <c r="P2" s="2018"/>
      <c r="Q2" s="2018"/>
      <c r="R2" s="2018"/>
      <c r="S2" s="2018"/>
      <c r="T2" s="2018"/>
      <c r="U2" s="2018"/>
      <c r="V2" s="2018"/>
      <c r="W2" s="2018"/>
      <c r="X2" s="2018"/>
      <c r="Y2" s="2018"/>
      <c r="Z2" s="2018"/>
      <c r="AA2" s="2018"/>
      <c r="AB2" s="2018"/>
      <c r="AC2" s="2018"/>
      <c r="AD2" s="2018"/>
      <c r="AE2" s="2018"/>
      <c r="AF2" s="2018"/>
      <c r="AG2" s="2018"/>
      <c r="AH2" s="2018"/>
      <c r="AI2" s="2018"/>
      <c r="AJ2" s="2018"/>
      <c r="AK2" s="2018"/>
      <c r="AL2" s="2018"/>
      <c r="AM2" s="2018"/>
      <c r="AN2" s="2018"/>
      <c r="AO2" s="2018"/>
      <c r="AP2" s="2018"/>
      <c r="AQ2" s="2018"/>
      <c r="AR2" s="2018"/>
      <c r="AS2" s="2018"/>
      <c r="AT2" s="2018"/>
      <c r="AU2" s="2018"/>
      <c r="AV2" s="2018"/>
      <c r="AW2" s="2018"/>
      <c r="AX2" s="2018"/>
      <c r="AY2" s="2018"/>
      <c r="AZ2" s="2018"/>
      <c r="BA2" s="2018"/>
      <c r="BB2" s="2018"/>
      <c r="BC2" s="2018"/>
      <c r="BD2" s="2018"/>
      <c r="BE2" s="2018"/>
      <c r="BF2" s="2019"/>
    </row>
    <row r="3" spans="2:68" x14ac:dyDescent="0.25">
      <c r="B3" s="2020"/>
      <c r="C3" s="2021"/>
      <c r="D3" s="2021"/>
      <c r="E3" s="2021"/>
      <c r="F3" s="2021"/>
      <c r="G3" s="2021"/>
      <c r="H3" s="2021"/>
      <c r="I3" s="2021"/>
      <c r="J3" s="2021"/>
      <c r="K3" s="2021"/>
      <c r="L3" s="2021"/>
      <c r="M3" s="2021"/>
      <c r="N3" s="2021"/>
      <c r="O3" s="2021"/>
      <c r="P3" s="2021"/>
      <c r="Q3" s="2021"/>
      <c r="R3" s="2021"/>
      <c r="S3" s="2021"/>
      <c r="T3" s="2021"/>
      <c r="U3" s="2021"/>
      <c r="V3" s="2021"/>
      <c r="W3" s="2021"/>
      <c r="X3" s="2021"/>
      <c r="Y3" s="2021"/>
      <c r="Z3" s="2021"/>
      <c r="AA3" s="2021"/>
      <c r="AB3" s="2021"/>
      <c r="AC3" s="2021"/>
      <c r="AD3" s="2021"/>
      <c r="AE3" s="2021"/>
      <c r="AF3" s="2021"/>
      <c r="AG3" s="2021"/>
      <c r="AH3" s="2021"/>
      <c r="AI3" s="2021"/>
      <c r="AJ3" s="2021"/>
      <c r="AK3" s="2021"/>
      <c r="AL3" s="2021"/>
      <c r="AM3" s="2021"/>
      <c r="AN3" s="2021"/>
      <c r="AO3" s="2021"/>
      <c r="AP3" s="2021"/>
      <c r="AQ3" s="2021"/>
      <c r="AR3" s="2021"/>
      <c r="AS3" s="2021"/>
      <c r="AT3" s="2021"/>
      <c r="AU3" s="2021"/>
      <c r="AV3" s="2021"/>
      <c r="AW3" s="2021"/>
      <c r="AX3" s="2021"/>
      <c r="AY3" s="2021"/>
      <c r="AZ3" s="2021"/>
      <c r="BA3" s="2021"/>
      <c r="BB3" s="2021"/>
      <c r="BC3" s="2021"/>
      <c r="BD3" s="2021"/>
      <c r="BE3" s="2021"/>
      <c r="BF3" s="202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79" t="s">
        <v>644</v>
      </c>
      <c r="C8" s="1980"/>
      <c r="D8" s="1980"/>
      <c r="E8" s="1980"/>
      <c r="F8" s="1980"/>
      <c r="G8" s="1980"/>
      <c r="H8" s="1980"/>
      <c r="I8" s="1980"/>
      <c r="J8" s="1980"/>
      <c r="K8" s="1980"/>
      <c r="L8" s="1980"/>
      <c r="M8" s="1980"/>
      <c r="N8" s="1980"/>
      <c r="O8" s="1980"/>
      <c r="P8" s="1980"/>
      <c r="Q8" s="1980"/>
      <c r="R8" s="1980"/>
      <c r="S8" s="1980"/>
      <c r="T8" s="1980"/>
      <c r="U8" s="1980"/>
      <c r="V8" s="1980"/>
      <c r="W8" s="1980"/>
      <c r="X8" s="1980"/>
      <c r="Y8" s="1980"/>
      <c r="Z8" s="1980"/>
      <c r="AA8" s="1980"/>
      <c r="AB8" s="1980"/>
      <c r="AC8" s="1980"/>
      <c r="AD8" s="1980"/>
      <c r="AE8" s="1980"/>
      <c r="AF8" s="1980"/>
      <c r="AG8" s="1980"/>
      <c r="AH8" s="1980"/>
      <c r="AI8" s="1980"/>
      <c r="AJ8" s="1980"/>
      <c r="AK8" s="1980"/>
      <c r="AL8" s="1980"/>
      <c r="AM8" s="1980"/>
      <c r="AN8" s="1980"/>
      <c r="AO8" s="1980"/>
      <c r="AP8" s="1980"/>
      <c r="AQ8" s="1980"/>
      <c r="AR8" s="1980"/>
      <c r="AS8" s="1980"/>
      <c r="AT8" s="1980"/>
      <c r="AU8" s="1980"/>
      <c r="AV8" s="1980"/>
      <c r="AW8" s="1980"/>
      <c r="AX8" s="1980"/>
      <c r="AY8" s="1980"/>
      <c r="AZ8" s="1980"/>
      <c r="BA8" s="1980"/>
      <c r="BB8" s="1980"/>
      <c r="BC8" s="1980"/>
      <c r="BD8" s="1980"/>
      <c r="BE8" s="1980"/>
      <c r="BF8" s="1981"/>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36" t="s">
        <v>840</v>
      </c>
      <c r="C10" s="1952"/>
      <c r="D10" s="1952"/>
      <c r="E10" s="1952"/>
      <c r="F10" s="1952"/>
      <c r="G10" s="1952"/>
      <c r="H10" s="1952"/>
      <c r="I10" s="1952"/>
      <c r="J10" s="1952"/>
      <c r="K10" s="2027">
        <f>'Tracking &amp; Profitability'!$H$5</f>
        <v>0</v>
      </c>
      <c r="L10" s="2027"/>
      <c r="M10" s="2027"/>
      <c r="N10" s="2027"/>
      <c r="O10" s="2027"/>
      <c r="P10" s="2027"/>
      <c r="Q10" s="2027"/>
      <c r="R10" s="2027"/>
      <c r="S10" s="2027"/>
      <c r="T10" s="2027"/>
      <c r="U10" s="2027"/>
      <c r="V10" s="2027"/>
      <c r="W10" s="2027"/>
      <c r="X10" s="2027"/>
      <c r="Y10" s="2027"/>
      <c r="Z10" s="2027"/>
      <c r="AA10" s="2027"/>
      <c r="AB10" s="2027"/>
      <c r="AC10" s="2027"/>
      <c r="AD10" s="2027"/>
      <c r="AE10" s="2027"/>
      <c r="AI10" s="1952" t="s">
        <v>714</v>
      </c>
      <c r="AJ10" s="1952"/>
      <c r="AK10" s="1952"/>
      <c r="AL10" s="1952"/>
      <c r="AM10" s="1952"/>
      <c r="AN10" s="1952"/>
      <c r="AO10" s="1952"/>
      <c r="AP10" s="1952"/>
      <c r="AQ10" s="1952"/>
      <c r="AR10" s="1952"/>
      <c r="AT10" s="2035"/>
      <c r="AU10" s="2035"/>
      <c r="AV10" s="2035"/>
      <c r="AW10" s="2035"/>
      <c r="AX10" s="2035"/>
      <c r="AY10" s="2035"/>
      <c r="AZ10" s="2035"/>
      <c r="BA10" s="2035"/>
      <c r="BB10" s="2035"/>
      <c r="BC10" s="2035"/>
      <c r="BD10" s="2035"/>
      <c r="BF10" s="138"/>
    </row>
    <row r="11" spans="2:68" x14ac:dyDescent="0.25">
      <c r="B11" s="137"/>
      <c r="AL11" s="2"/>
      <c r="AM11" s="2"/>
      <c r="AN11" s="2"/>
      <c r="AO11" s="2"/>
      <c r="AP11" s="2"/>
      <c r="AQ11" s="2"/>
      <c r="AR11" s="2"/>
      <c r="AS11" s="2"/>
      <c r="AT11" s="2"/>
      <c r="AU11" s="2"/>
      <c r="AV11" s="2"/>
      <c r="BF11" s="138"/>
    </row>
    <row r="12" spans="2:68" x14ac:dyDescent="0.25">
      <c r="B12" s="2029" t="s">
        <v>841</v>
      </c>
      <c r="C12" s="2026"/>
      <c r="D12" s="2026"/>
      <c r="E12" s="2026"/>
      <c r="F12" s="2026"/>
      <c r="G12" s="2026"/>
      <c r="H12" s="2026"/>
      <c r="I12" s="2026"/>
      <c r="J12" s="2026"/>
      <c r="K12" s="2038">
        <f>'Required Info to Submit'!$F$4</f>
        <v>0</v>
      </c>
      <c r="L12" s="2038"/>
      <c r="M12" s="2038"/>
      <c r="N12" s="2038"/>
      <c r="O12" s="2038"/>
      <c r="P12" s="2038"/>
      <c r="Q12" s="2038"/>
      <c r="R12" s="2038"/>
      <c r="S12" s="2038"/>
      <c r="T12" s="2038"/>
      <c r="U12" s="2038"/>
      <c r="V12" s="2038"/>
      <c r="W12" s="2038"/>
      <c r="X12" s="2038"/>
      <c r="Y12" s="2038"/>
      <c r="Z12" s="2038"/>
      <c r="AA12" s="2038"/>
      <c r="AB12" s="2038"/>
      <c r="AC12" s="2038"/>
      <c r="AD12" s="2038"/>
      <c r="AE12" s="203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29" t="s">
        <v>852</v>
      </c>
      <c r="C14" s="2026"/>
      <c r="D14" s="2026"/>
      <c r="E14" s="2026"/>
      <c r="F14" s="2026"/>
      <c r="G14" s="2026"/>
      <c r="H14" s="2026"/>
      <c r="I14" s="2026"/>
      <c r="J14" s="2026"/>
      <c r="K14" s="2026"/>
      <c r="L14" s="2026"/>
      <c r="M14" s="2026"/>
      <c r="N14" s="2026"/>
      <c r="O14" s="2026"/>
      <c r="P14" s="2026"/>
      <c r="Q14" s="2026"/>
      <c r="R14" s="2028">
        <f>'Required Info to Submit'!$F$6</f>
        <v>0</v>
      </c>
      <c r="S14" s="2028"/>
      <c r="T14" s="2028"/>
      <c r="U14" s="2028"/>
      <c r="V14" s="2028"/>
      <c r="W14" s="2028"/>
      <c r="X14" s="2028"/>
      <c r="Y14" s="2028"/>
      <c r="Z14" s="2028"/>
      <c r="AA14" s="2028"/>
      <c r="AB14" s="2028"/>
      <c r="AC14" s="2028"/>
      <c r="AD14" s="2028"/>
      <c r="AE14" s="2028"/>
      <c r="AF14" s="2028"/>
      <c r="AG14" s="2028"/>
      <c r="AH14" s="2028"/>
      <c r="AI14" s="2028"/>
      <c r="AJ14" s="2028"/>
      <c r="AK14" s="2028"/>
      <c r="AL14" s="2028"/>
      <c r="AM14" s="2028"/>
      <c r="AN14" s="2028"/>
      <c r="AO14" s="2028"/>
      <c r="AP14" s="2028"/>
      <c r="AQ14" s="2028"/>
      <c r="AR14" s="2028"/>
      <c r="AS14" s="2028"/>
      <c r="AT14" s="2028"/>
      <c r="AU14" s="2028"/>
      <c r="AV14" s="2028"/>
      <c r="AW14" s="2028"/>
      <c r="AX14" s="2028"/>
      <c r="AY14" s="2028"/>
      <c r="AZ14" s="2028"/>
      <c r="BA14" s="2028"/>
      <c r="BB14" s="2028"/>
      <c r="BC14" s="2028"/>
      <c r="BD14" s="2028"/>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29" t="s">
        <v>713</v>
      </c>
      <c r="C16" s="2026"/>
      <c r="D16" s="2026"/>
      <c r="E16" s="2026"/>
      <c r="F16" s="2026"/>
      <c r="G16" s="2026"/>
      <c r="H16" s="2026"/>
      <c r="I16" s="2026"/>
      <c r="J16" s="2026"/>
      <c r="K16" s="2026"/>
      <c r="L16" s="2026"/>
      <c r="M16" s="2026"/>
      <c r="N16" s="2026"/>
      <c r="O16" s="2026"/>
      <c r="P16" s="2026"/>
      <c r="Q16" s="2026"/>
      <c r="R16" s="2038" t="s">
        <v>239</v>
      </c>
      <c r="S16" s="2038"/>
      <c r="T16" s="2021" t="s">
        <v>645</v>
      </c>
      <c r="U16" s="2021"/>
      <c r="V16" s="2021"/>
      <c r="W16" s="2021"/>
      <c r="X16" s="2021"/>
      <c r="Y16" s="2021"/>
      <c r="Z16" s="2021"/>
      <c r="AA16" s="2021"/>
      <c r="AB16" s="2021"/>
      <c r="AC16" s="2021"/>
      <c r="AD16" s="2021"/>
      <c r="AE16" s="2021"/>
      <c r="AF16" s="2021"/>
      <c r="AG16" s="2021"/>
      <c r="AH16" s="2021"/>
      <c r="AI16" s="2021"/>
      <c r="AJ16" s="2021"/>
      <c r="AK16" s="2021"/>
      <c r="AL16" s="2021"/>
      <c r="AO16" s="2021"/>
      <c r="AP16" s="2021"/>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30" t="s">
        <v>834</v>
      </c>
      <c r="C18" s="2031"/>
      <c r="D18" s="2031"/>
      <c r="E18" s="2031"/>
      <c r="F18" s="2031"/>
      <c r="G18" s="2031"/>
      <c r="H18" s="2031"/>
      <c r="I18" s="2031"/>
      <c r="J18" s="2031"/>
      <c r="K18" s="2031"/>
      <c r="L18" s="2031"/>
      <c r="M18" s="2031"/>
      <c r="N18" s="2031"/>
      <c r="O18" s="2031"/>
      <c r="P18" s="2031"/>
      <c r="Q18" s="2031"/>
      <c r="R18" s="2027">
        <f>'Required Info to Submit'!$F$8</f>
        <v>0</v>
      </c>
      <c r="S18" s="2027"/>
      <c r="T18" s="2027"/>
      <c r="U18" s="2027"/>
      <c r="V18" s="2027"/>
      <c r="W18" s="2027"/>
      <c r="X18" s="2027"/>
      <c r="Y18" s="2027"/>
      <c r="Z18" s="2027"/>
      <c r="AA18" s="2027"/>
      <c r="AB18" s="2027"/>
      <c r="AC18" s="2027"/>
      <c r="AD18" s="2027"/>
      <c r="AE18" s="2027"/>
      <c r="AF18" s="2027"/>
      <c r="AG18" s="2027"/>
      <c r="AH18" s="2027"/>
      <c r="AI18" s="2027"/>
      <c r="AJ18" s="2027"/>
      <c r="AK18" s="2027"/>
      <c r="AL18" s="2027"/>
      <c r="AN18" s="2026" t="s">
        <v>836</v>
      </c>
      <c r="AO18" s="2026"/>
      <c r="AP18" s="2026"/>
      <c r="AQ18" s="2026"/>
      <c r="AR18" s="2026"/>
      <c r="AS18" s="2026"/>
      <c r="AT18" s="2026"/>
      <c r="AU18" s="2026"/>
      <c r="AV18" s="2027">
        <f>'Required Info to Submit'!F10</f>
        <v>0</v>
      </c>
      <c r="AW18" s="2027"/>
      <c r="AX18" s="2027"/>
      <c r="AY18" s="2027"/>
      <c r="AZ18" s="2027"/>
      <c r="BA18" s="2027"/>
      <c r="BB18" s="2027"/>
      <c r="BC18" s="2027"/>
      <c r="BD18" s="2027"/>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29" t="s">
        <v>835</v>
      </c>
      <c r="C20" s="2026"/>
      <c r="D20" s="2026"/>
      <c r="E20" s="2026"/>
      <c r="F20" s="2026"/>
      <c r="G20" s="2026"/>
      <c r="H20" s="2026"/>
      <c r="I20" s="2026"/>
      <c r="J20" s="2026"/>
      <c r="K20" s="2026"/>
      <c r="L20" s="2026"/>
      <c r="M20" s="2026"/>
      <c r="N20" s="2026"/>
      <c r="O20" s="2026"/>
      <c r="P20" s="2026"/>
      <c r="Q20" s="2026"/>
      <c r="R20" s="2027">
        <f>'Required Info to Submit'!F9</f>
        <v>0</v>
      </c>
      <c r="S20" s="2027"/>
      <c r="T20" s="2027"/>
      <c r="U20" s="2027"/>
      <c r="V20" s="2027"/>
      <c r="W20" s="2027"/>
      <c r="X20" s="2027"/>
      <c r="Y20" s="2027"/>
      <c r="Z20" s="2027"/>
      <c r="AA20" s="2027"/>
      <c r="AB20" s="2027"/>
      <c r="AC20" s="2027"/>
      <c r="AD20" s="2027"/>
      <c r="AE20" s="2027"/>
      <c r="AF20" s="2027"/>
      <c r="AG20" s="2027"/>
      <c r="AH20" s="2027"/>
      <c r="AI20" s="2027"/>
      <c r="AJ20" s="2027"/>
      <c r="AK20" s="2027"/>
      <c r="AL20" s="2027"/>
      <c r="AN20" s="2026" t="s">
        <v>798</v>
      </c>
      <c r="AO20" s="2026"/>
      <c r="AP20" s="2026"/>
      <c r="AQ20" s="2026"/>
      <c r="AR20" s="2026"/>
      <c r="AS20" s="2026"/>
      <c r="AT20" s="2026"/>
      <c r="AU20" s="2026"/>
      <c r="AV20" s="2027">
        <f>'Required Info to Submit'!F11</f>
        <v>0</v>
      </c>
      <c r="AW20" s="2027"/>
      <c r="AX20" s="2027"/>
      <c r="AY20" s="2027"/>
      <c r="AZ20" s="2027"/>
      <c r="BA20" s="2027"/>
      <c r="BB20" s="2027"/>
      <c r="BC20" s="2027"/>
      <c r="BD20" s="2027"/>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29" t="s">
        <v>837</v>
      </c>
      <c r="C22" s="2026"/>
      <c r="D22" s="2026"/>
      <c r="E22" s="2026"/>
      <c r="F22" s="2026"/>
      <c r="G22" s="2026"/>
      <c r="H22" s="2026"/>
      <c r="I22" s="2026"/>
      <c r="J22" s="2026"/>
      <c r="K22" s="2026"/>
      <c r="L22" s="2026"/>
      <c r="M22" s="2026"/>
      <c r="N22" s="2026"/>
      <c r="O22" s="2026"/>
      <c r="P22" s="2026"/>
      <c r="Q22" s="2026"/>
      <c r="R22" s="2027">
        <f>'Required Info to Submit'!F12</f>
        <v>0</v>
      </c>
      <c r="S22" s="2027"/>
      <c r="T22" s="2027"/>
      <c r="U22" s="2027"/>
      <c r="V22" s="2027"/>
      <c r="W22" s="2027"/>
      <c r="X22" s="2027"/>
      <c r="Y22" s="2027"/>
      <c r="Z22" s="2027"/>
      <c r="AA22" s="2027"/>
      <c r="AB22" s="2027"/>
      <c r="AC22" s="2027"/>
      <c r="AD22" s="2027"/>
      <c r="AE22" s="2027"/>
      <c r="AF22" s="2027"/>
      <c r="AG22" s="2027"/>
      <c r="AH22" s="2027"/>
      <c r="AI22" s="2027"/>
      <c r="AJ22" s="2027"/>
      <c r="AK22" s="2027"/>
      <c r="AL22" s="2027"/>
      <c r="AN22" s="2026"/>
      <c r="AO22" s="2026"/>
      <c r="AP22" s="2026"/>
      <c r="AQ22" s="2026"/>
      <c r="AR22" s="2026"/>
      <c r="AS22" s="2026"/>
      <c r="AT22" s="2026"/>
      <c r="AU22" s="2026"/>
      <c r="AV22" s="2033"/>
      <c r="AW22" s="2033"/>
      <c r="AX22" s="2033"/>
      <c r="AY22" s="2033"/>
      <c r="AZ22" s="2033"/>
      <c r="BA22" s="2033"/>
      <c r="BB22" s="2033"/>
      <c r="BC22" s="2033"/>
      <c r="BD22" s="2033"/>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29" t="s">
        <v>838</v>
      </c>
      <c r="C24" s="2026"/>
      <c r="D24" s="2026"/>
      <c r="E24" s="2026"/>
      <c r="F24" s="2026"/>
      <c r="G24" s="2026"/>
      <c r="H24" s="2026"/>
      <c r="I24" s="2026"/>
      <c r="J24" s="2026"/>
      <c r="K24" s="2026"/>
      <c r="L24" s="2026"/>
      <c r="M24" s="2026"/>
      <c r="N24" s="2026"/>
      <c r="O24" s="2026"/>
      <c r="P24" s="2026"/>
      <c r="Q24" s="2026"/>
      <c r="R24" s="2039">
        <f>'Required Info to Submit'!$F$14</f>
        <v>0</v>
      </c>
      <c r="S24" s="2039"/>
      <c r="T24" s="2039"/>
      <c r="U24" s="2039"/>
      <c r="V24" s="2039"/>
      <c r="W24" s="2039"/>
      <c r="X24" s="2039"/>
      <c r="Y24" s="2039"/>
      <c r="Z24" s="2039"/>
      <c r="AA24" s="2039"/>
      <c r="AB24" s="2039"/>
      <c r="AC24" s="2039"/>
      <c r="AN24" s="1952" t="s">
        <v>842</v>
      </c>
      <c r="AO24" s="1952"/>
      <c r="AP24" s="1952"/>
      <c r="AQ24" s="1952"/>
      <c r="AR24" s="1952"/>
      <c r="AS24" s="1952"/>
      <c r="AT24" s="1952"/>
      <c r="AU24" s="1952"/>
      <c r="AV24" s="2034" t="str">
        <f>IF('Required Info to Submit'!$F$17&lt;&gt;"",'Required Info to Submit'!$F$17,"")</f>
        <v/>
      </c>
      <c r="AW24" s="2034"/>
      <c r="AX24" s="2034"/>
      <c r="AY24" s="2034"/>
      <c r="AZ24" s="2034"/>
      <c r="BA24" s="2034"/>
      <c r="BB24" s="2034"/>
      <c r="BC24" s="2034"/>
      <c r="BD24" s="2034"/>
      <c r="BF24" s="138"/>
    </row>
    <row r="25" spans="2:68" ht="17.25" x14ac:dyDescent="0.25">
      <c r="B25" s="137"/>
      <c r="C25" s="263"/>
      <c r="D25" s="263"/>
      <c r="E25" s="263"/>
      <c r="F25" s="263"/>
      <c r="G25" s="263"/>
      <c r="H25" s="2032" t="s">
        <v>712</v>
      </c>
      <c r="I25" s="2032"/>
      <c r="J25" s="2032"/>
      <c r="K25" s="2032"/>
      <c r="L25" s="2032"/>
      <c r="M25" s="2032"/>
      <c r="N25" s="2032"/>
      <c r="O25" s="2032"/>
      <c r="P25" s="2032"/>
      <c r="Q25" s="263"/>
      <c r="AN25" s="2032" t="s">
        <v>711</v>
      </c>
      <c r="AO25" s="2032"/>
      <c r="AP25" s="2032"/>
      <c r="AQ25" s="2032"/>
      <c r="AR25" s="2032"/>
      <c r="AS25" s="2032"/>
      <c r="AT25" s="2032"/>
      <c r="BF25" s="138"/>
    </row>
    <row r="26" spans="2:68" ht="18.75" x14ac:dyDescent="0.3">
      <c r="B26" s="1979" t="s">
        <v>649</v>
      </c>
      <c r="C26" s="1980"/>
      <c r="D26" s="1980"/>
      <c r="E26" s="1980"/>
      <c r="F26" s="1980"/>
      <c r="G26" s="1980"/>
      <c r="H26" s="1980"/>
      <c r="I26" s="1980"/>
      <c r="J26" s="1980"/>
      <c r="K26" s="1980"/>
      <c r="L26" s="1980"/>
      <c r="M26" s="1980"/>
      <c r="N26" s="1980"/>
      <c r="O26" s="1980"/>
      <c r="P26" s="1980"/>
      <c r="Q26" s="1980"/>
      <c r="R26" s="1980"/>
      <c r="S26" s="1980"/>
      <c r="T26" s="1980"/>
      <c r="U26" s="1980"/>
      <c r="V26" s="1980"/>
      <c r="W26" s="1980"/>
      <c r="X26" s="1980"/>
      <c r="Y26" s="1980"/>
      <c r="Z26" s="1980"/>
      <c r="AA26" s="1980"/>
      <c r="AB26" s="1980"/>
      <c r="AC26" s="1980"/>
      <c r="AD26" s="1980"/>
      <c r="AE26" s="1980"/>
      <c r="AF26" s="1980"/>
      <c r="AG26" s="1980"/>
      <c r="AH26" s="1980"/>
      <c r="AI26" s="1980"/>
      <c r="AJ26" s="1980"/>
      <c r="AK26" s="1980"/>
      <c r="AL26" s="1980"/>
      <c r="AM26" s="1980"/>
      <c r="AN26" s="1980"/>
      <c r="AO26" s="1980"/>
      <c r="AP26" s="1980"/>
      <c r="AQ26" s="1980"/>
      <c r="AR26" s="1980"/>
      <c r="AS26" s="1980"/>
      <c r="AT26" s="1980"/>
      <c r="AU26" s="1980"/>
      <c r="AV26" s="1980"/>
      <c r="AW26" s="1980"/>
      <c r="AX26" s="1980"/>
      <c r="AY26" s="1980"/>
      <c r="AZ26" s="1980"/>
      <c r="BA26" s="1980"/>
      <c r="BB26" s="1980"/>
      <c r="BC26" s="1980"/>
      <c r="BD26" s="1980"/>
      <c r="BE26" s="1980"/>
      <c r="BF26" s="1981"/>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43" t="s">
        <v>650</v>
      </c>
      <c r="C28" s="2044"/>
      <c r="D28" s="2044"/>
      <c r="E28" s="2044"/>
      <c r="F28" s="2044"/>
      <c r="G28" s="2044"/>
      <c r="H28" s="2044"/>
      <c r="I28" s="2044"/>
      <c r="J28" s="2044"/>
      <c r="K28" s="2044"/>
      <c r="L28" s="2044"/>
      <c r="M28" s="2044"/>
      <c r="N28" s="2044"/>
      <c r="O28" s="2044"/>
      <c r="P28" s="2044"/>
      <c r="Q28" s="2044"/>
      <c r="T28" s="2040">
        <f>'Tracking &amp; Profitability'!$E$6</f>
        <v>0</v>
      </c>
      <c r="U28" s="2040"/>
      <c r="V28" s="2040"/>
      <c r="W28" s="2040"/>
      <c r="X28" s="2040"/>
      <c r="Y28" s="2040"/>
      <c r="Z28" s="2040"/>
      <c r="AA28" s="2040"/>
      <c r="AB28" s="2040"/>
      <c r="AF28" t="s">
        <v>710</v>
      </c>
      <c r="AO28" s="2038">
        <f>Welcome!$D$30</f>
        <v>0</v>
      </c>
      <c r="AP28" s="2038"/>
      <c r="AQ28" s="2038"/>
      <c r="AR28" s="2021" t="s">
        <v>651</v>
      </c>
      <c r="AS28" s="2021"/>
      <c r="AU28" s="2038">
        <f>Welcome!$E$30</f>
        <v>0</v>
      </c>
      <c r="AV28" s="2038"/>
      <c r="AW28" s="2038"/>
      <c r="AX28" s="2021" t="s">
        <v>709</v>
      </c>
      <c r="AY28" s="2021"/>
      <c r="BA28" s="2038">
        <f>Welcome!$F$30</f>
        <v>0</v>
      </c>
      <c r="BB28" s="2038"/>
      <c r="BC28" s="2038"/>
      <c r="BD28" s="2021" t="s">
        <v>652</v>
      </c>
      <c r="BE28" s="2021"/>
      <c r="BF28" s="138"/>
    </row>
    <row r="29" spans="2:68" ht="17.25" x14ac:dyDescent="0.25">
      <c r="B29" s="137"/>
      <c r="T29" s="134"/>
      <c r="U29" s="134"/>
      <c r="V29" s="134"/>
      <c r="W29" s="134"/>
      <c r="X29" s="134"/>
      <c r="Y29" s="134"/>
      <c r="Z29" s="134"/>
      <c r="AA29" s="134"/>
      <c r="AB29" s="134"/>
      <c r="AF29" s="2032" t="s">
        <v>708</v>
      </c>
      <c r="AG29" s="2032"/>
      <c r="AH29" s="2032"/>
      <c r="AI29" s="2032"/>
      <c r="AJ29" s="2032"/>
      <c r="AK29" s="2032"/>
      <c r="AL29" s="2032"/>
      <c r="AM29" s="2032"/>
      <c r="AN29" s="2032"/>
      <c r="AO29" s="2032"/>
      <c r="AP29" s="2032"/>
      <c r="AQ29" s="2032"/>
      <c r="AR29" s="2032"/>
      <c r="AS29" s="2032"/>
      <c r="AT29" s="2032"/>
      <c r="AU29" s="2032"/>
      <c r="AV29" s="2032"/>
      <c r="AW29" s="2032"/>
      <c r="AX29" s="2032"/>
      <c r="AY29" s="2032"/>
      <c r="AZ29" s="2032"/>
      <c r="BA29" s="2032"/>
      <c r="BB29" s="2032"/>
      <c r="BC29" s="2032"/>
      <c r="BD29" s="2032"/>
      <c r="BE29" s="2032"/>
      <c r="BF29" s="138"/>
    </row>
    <row r="30" spans="2:68" x14ac:dyDescent="0.25">
      <c r="B30" s="2036" t="s">
        <v>705</v>
      </c>
      <c r="C30" s="1952"/>
      <c r="D30" s="1952"/>
      <c r="E30" s="1952"/>
      <c r="F30" s="1952"/>
      <c r="G30" s="1952"/>
      <c r="H30" s="1952"/>
      <c r="I30" s="1952"/>
      <c r="J30" s="1952"/>
      <c r="K30" s="1952"/>
      <c r="L30" s="1952"/>
      <c r="M30" s="1952"/>
      <c r="N30" s="1952"/>
      <c r="O30" s="1952"/>
      <c r="P30" s="1952"/>
      <c r="Q30" s="1952"/>
      <c r="T30" s="2047">
        <v>1</v>
      </c>
      <c r="U30" s="2047"/>
      <c r="V30" s="2047"/>
      <c r="W30" s="2047"/>
      <c r="AF30" s="2037" t="s">
        <v>707</v>
      </c>
      <c r="AG30" s="2037"/>
      <c r="AH30" s="2037"/>
      <c r="AI30" s="2037"/>
      <c r="AJ30" s="2037"/>
      <c r="AK30" s="2037"/>
      <c r="AL30" s="2037"/>
      <c r="AM30" s="2037"/>
      <c r="AN30" s="2037"/>
      <c r="AO30" s="2037"/>
      <c r="AP30" s="2038">
        <f>Welcome!$D$24</f>
        <v>0</v>
      </c>
      <c r="AQ30" s="2038"/>
      <c r="AR30" s="2038"/>
      <c r="AT30" s="2037" t="s">
        <v>706</v>
      </c>
      <c r="AU30" s="2037"/>
      <c r="AV30" s="2037"/>
      <c r="AW30" s="2037"/>
      <c r="AX30" s="2037"/>
      <c r="AY30" s="2037"/>
      <c r="AZ30" s="2037"/>
      <c r="BA30" s="2037"/>
      <c r="BB30" s="2037"/>
      <c r="BC30" s="2037"/>
      <c r="BF30" s="138"/>
    </row>
    <row r="31" spans="2:68" x14ac:dyDescent="0.25">
      <c r="B31" s="137"/>
      <c r="BF31" s="138"/>
      <c r="BP31" s="262"/>
    </row>
    <row r="32" spans="2:68" x14ac:dyDescent="0.25">
      <c r="B32" s="2036" t="s">
        <v>702</v>
      </c>
      <c r="C32" s="1952"/>
      <c r="D32" s="1952"/>
      <c r="E32" s="1952"/>
      <c r="F32" s="1952"/>
      <c r="G32" s="1952"/>
      <c r="H32" s="1952"/>
      <c r="I32" s="1952"/>
      <c r="J32" s="1952"/>
      <c r="K32" s="1952"/>
      <c r="L32" s="1952"/>
      <c r="M32" s="1952"/>
      <c r="N32" s="1952"/>
      <c r="O32" s="1952"/>
      <c r="P32" s="1952"/>
      <c r="Q32" s="1952"/>
      <c r="T32" s="2041" t="s">
        <v>968</v>
      </c>
      <c r="U32" s="2041"/>
      <c r="V32" s="2041"/>
      <c r="W32" s="2041"/>
      <c r="X32" s="2041"/>
      <c r="Y32" s="2041"/>
      <c r="Z32" s="2041"/>
      <c r="AA32" s="2041"/>
      <c r="AB32" s="2041"/>
      <c r="AC32" s="2041"/>
      <c r="AD32" s="2041"/>
      <c r="AE32" s="2041"/>
      <c r="AF32" s="2041"/>
      <c r="AG32" s="2041"/>
      <c r="AH32" s="2041"/>
      <c r="AI32" s="2041"/>
      <c r="AJ32" s="2041"/>
      <c r="AK32" s="2041"/>
      <c r="AL32" s="2041"/>
      <c r="AM32" s="2041"/>
      <c r="AN32" s="2041"/>
      <c r="AO32" s="2041"/>
      <c r="BF32" s="138"/>
    </row>
    <row r="33" spans="2:92" x14ac:dyDescent="0.25">
      <c r="B33" s="137"/>
      <c r="BF33" s="138"/>
    </row>
    <row r="34" spans="2:92" x14ac:dyDescent="0.25">
      <c r="B34" s="137"/>
      <c r="C34" s="82"/>
      <c r="D34" s="82"/>
      <c r="E34" s="82"/>
      <c r="F34" s="82"/>
      <c r="G34" s="82"/>
      <c r="H34" s="82"/>
      <c r="I34" s="2038"/>
      <c r="J34" s="2038"/>
      <c r="K34" s="2021" t="s">
        <v>482</v>
      </c>
      <c r="L34" s="2021"/>
      <c r="M34" s="2021"/>
      <c r="N34" s="2021"/>
      <c r="O34" s="2021"/>
      <c r="P34" s="2021"/>
      <c r="Q34" s="2021"/>
      <c r="R34" s="2038" t="s">
        <v>239</v>
      </c>
      <c r="S34" s="2038"/>
      <c r="T34" s="2021" t="s">
        <v>481</v>
      </c>
      <c r="U34" s="2021"/>
      <c r="V34" s="2021"/>
      <c r="W34" s="2021"/>
      <c r="X34" s="2038"/>
      <c r="Y34" s="2038"/>
      <c r="Z34" s="2021" t="s">
        <v>480</v>
      </c>
      <c r="AA34" s="2021"/>
      <c r="AB34" s="2021"/>
      <c r="AF34" t="s">
        <v>704</v>
      </c>
      <c r="AL34" s="2038">
        <f>Welcome!$H$30</f>
        <v>5</v>
      </c>
      <c r="AM34" s="2038"/>
      <c r="AN34" s="2038"/>
      <c r="AO34" t="s">
        <v>703</v>
      </c>
      <c r="BF34" s="138"/>
    </row>
    <row r="35" spans="2:92" x14ac:dyDescent="0.25">
      <c r="B35" s="137"/>
      <c r="BF35" s="138"/>
      <c r="BP35" s="264"/>
      <c r="CN35" s="262"/>
    </row>
    <row r="36" spans="2:92" x14ac:dyDescent="0.25">
      <c r="B36" s="2043" t="s">
        <v>701</v>
      </c>
      <c r="C36" s="2044"/>
      <c r="D36" s="2044"/>
      <c r="E36" s="2044"/>
      <c r="F36" s="2044"/>
      <c r="G36" s="2044"/>
      <c r="H36" s="2044"/>
      <c r="I36" s="2044"/>
      <c r="J36" s="2044"/>
      <c r="K36" s="2044"/>
      <c r="L36" s="2044"/>
      <c r="M36" s="2044"/>
      <c r="N36" s="2044"/>
      <c r="O36" s="2044"/>
      <c r="P36" s="2044"/>
      <c r="Q36" s="2044"/>
      <c r="R36" s="2044"/>
      <c r="T36" s="2054" t="str">
        <f>IFERROR($T$28/('Tracking &amp; Profitability'!$E$7*52*Welcome!$D$18),"Error on A La Carte")</f>
        <v>Error on A La Carte</v>
      </c>
      <c r="U36" s="2054"/>
      <c r="V36" s="2054"/>
      <c r="W36" s="2054"/>
      <c r="X36" s="2054"/>
      <c r="Y36" s="2054"/>
      <c r="Z36" s="2054"/>
      <c r="AA36" s="2054"/>
      <c r="AB36" s="2054"/>
      <c r="AF36" s="2044" t="s">
        <v>477</v>
      </c>
      <c r="AG36" s="2044"/>
      <c r="AH36" s="2044"/>
      <c r="AI36" s="2044"/>
      <c r="AJ36" s="2044"/>
      <c r="AK36" s="2044"/>
      <c r="AL36" s="2044"/>
      <c r="AM36" s="2044"/>
      <c r="AN36" s="2044"/>
      <c r="AO36" s="2044"/>
      <c r="AP36" s="2044"/>
      <c r="AQ36" s="2044"/>
      <c r="AR36" s="2044"/>
      <c r="AS36" s="2044"/>
      <c r="AU36" s="2038" t="e">
        <f>ROUND(((1-(('PIM Model'!$G$15+'PIM Model'!$G$17+'PIM Model'!$G$18)/'PIM Model'!$G$31))*100),0)&amp;"%/"&amp;ROUND((('PIM Model'!$G$15+'PIM Model'!$G$17+'PIM Model'!$G$18)/'PIM Model'!$G$31*100),0)&amp;"%"</f>
        <v>#DIV/0!</v>
      </c>
      <c r="AV36" s="2038"/>
      <c r="AW36" s="2038"/>
      <c r="AX36" s="2038"/>
      <c r="AY36" s="2038"/>
      <c r="AZ36" s="203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43" t="s">
        <v>699</v>
      </c>
      <c r="C38" s="2044"/>
      <c r="D38" s="2044"/>
      <c r="E38" s="2044"/>
      <c r="F38" s="2044"/>
      <c r="G38" s="2044"/>
      <c r="H38" s="2044"/>
      <c r="I38" s="2044"/>
      <c r="J38" s="2044"/>
      <c r="K38" s="2044"/>
      <c r="L38" s="2044"/>
      <c r="M38" s="2044"/>
      <c r="N38" s="2044"/>
      <c r="O38" s="2044"/>
      <c r="P38" s="2044"/>
      <c r="Q38" s="2044"/>
      <c r="R38" s="2044"/>
      <c r="T38" s="2055" t="str">
        <f>IFERROR('PIM Model'!$H$31/('PIM Model'!$E$6*52*Welcome!$D$18),"Error on A La Carte")</f>
        <v>Error on A La Carte</v>
      </c>
      <c r="U38" s="2055"/>
      <c r="V38" s="2055"/>
      <c r="W38" s="2055"/>
      <c r="X38" s="2055"/>
      <c r="Y38" s="2055"/>
      <c r="Z38" s="2055"/>
      <c r="AA38" s="2055"/>
      <c r="AB38" s="2055"/>
      <c r="AC38" s="265"/>
      <c r="AD38" s="265"/>
      <c r="AF38" s="1952" t="s">
        <v>653</v>
      </c>
      <c r="AG38" s="1952"/>
      <c r="AH38" s="1952"/>
      <c r="AI38" s="1952"/>
      <c r="AJ38" s="1952"/>
      <c r="AK38" s="1952"/>
      <c r="AL38" s="1952"/>
      <c r="AM38" s="1952"/>
      <c r="AN38" s="1952"/>
      <c r="AO38" s="1952"/>
      <c r="AP38" s="1952"/>
      <c r="AQ38" s="1952"/>
      <c r="AR38" s="1952"/>
      <c r="AS38" s="1952"/>
      <c r="AU38" s="2038">
        <f>COUNTIF('PIM Model'!$E$10:$E$30,"Include")</f>
        <v>21</v>
      </c>
      <c r="AV38" s="2038"/>
      <c r="AW38" s="2038"/>
      <c r="AX38" s="2038"/>
      <c r="AY38" s="2038"/>
      <c r="AZ38" s="2038"/>
      <c r="BF38" s="138"/>
    </row>
    <row r="39" spans="2:92" x14ac:dyDescent="0.25">
      <c r="B39" s="137"/>
      <c r="BF39" s="138"/>
    </row>
    <row r="40" spans="2:92" x14ac:dyDescent="0.25">
      <c r="B40" s="2043" t="s">
        <v>697</v>
      </c>
      <c r="C40" s="2044"/>
      <c r="D40" s="2044"/>
      <c r="E40" s="2044"/>
      <c r="F40" s="2044"/>
      <c r="G40" s="2044"/>
      <c r="H40" s="2044"/>
      <c r="I40" s="2044"/>
      <c r="J40" s="2044"/>
      <c r="K40" s="2044"/>
      <c r="L40" s="2044"/>
      <c r="M40" s="2044"/>
      <c r="N40" s="2044"/>
      <c r="O40" s="2044"/>
      <c r="P40" s="2044"/>
      <c r="Q40" s="2044"/>
      <c r="R40" s="2044"/>
      <c r="T40" s="2040">
        <f>IFERROR('PIM Model'!$G$31/'PIM Model'!$H$31,0)</f>
        <v>0</v>
      </c>
      <c r="U40" s="2040"/>
      <c r="V40" s="2040"/>
      <c r="W40" s="2040"/>
      <c r="X40" s="2040"/>
      <c r="Y40" s="2040"/>
      <c r="Z40" s="2040"/>
      <c r="AA40" s="2040"/>
      <c r="AB40" s="2040"/>
      <c r="AF40" s="1952" t="s">
        <v>700</v>
      </c>
      <c r="AG40" s="1952"/>
      <c r="AH40" s="1952"/>
      <c r="AI40" s="1952"/>
      <c r="AJ40" s="1952"/>
      <c r="AK40" s="1952"/>
      <c r="AL40" s="1952"/>
      <c r="AM40" s="1952"/>
      <c r="AN40" s="1952"/>
      <c r="AO40" s="1952"/>
      <c r="AP40" s="1952"/>
      <c r="AQ40" s="1952"/>
      <c r="AR40" s="1952"/>
      <c r="AS40" s="1952"/>
      <c r="AU40" s="2038">
        <f>Welcome!$G$30</f>
        <v>0</v>
      </c>
      <c r="AV40" s="2038"/>
      <c r="AW40" s="2038"/>
      <c r="BC40" s="2021"/>
      <c r="BD40" s="2021"/>
      <c r="BE40" s="2021"/>
      <c r="BF40" s="138"/>
    </row>
    <row r="41" spans="2:92" x14ac:dyDescent="0.25">
      <c r="B41" s="137"/>
      <c r="BF41" s="138"/>
      <c r="BP41" s="262"/>
      <c r="CN41" s="264"/>
    </row>
    <row r="42" spans="2:92" x14ac:dyDescent="0.25">
      <c r="B42" s="2036" t="s">
        <v>695</v>
      </c>
      <c r="C42" s="1952"/>
      <c r="D42" s="1952"/>
      <c r="E42" s="1952"/>
      <c r="F42" s="1952"/>
      <c r="G42" s="1952"/>
      <c r="H42" s="1952"/>
      <c r="I42" s="1952"/>
      <c r="J42" s="1952"/>
      <c r="K42" s="1952"/>
      <c r="L42" s="1952"/>
      <c r="M42" s="1952"/>
      <c r="N42" s="1952"/>
      <c r="O42" s="1952"/>
      <c r="P42" s="1952"/>
      <c r="Q42" s="1952"/>
      <c r="R42" s="1952"/>
      <c r="T42" s="2040" t="s">
        <v>730</v>
      </c>
      <c r="U42" s="2040"/>
      <c r="V42" s="2040"/>
      <c r="W42" s="2040"/>
      <c r="X42" s="2040"/>
      <c r="Y42" s="2040"/>
      <c r="Z42" s="2040"/>
      <c r="AA42" s="2040"/>
      <c r="AB42" s="2040"/>
      <c r="AF42" s="1952" t="s">
        <v>698</v>
      </c>
      <c r="AG42" s="1952"/>
      <c r="AH42" s="1952"/>
      <c r="AI42" s="1952"/>
      <c r="AJ42" s="1952"/>
      <c r="AK42" s="1952"/>
      <c r="AL42" s="1952"/>
      <c r="AM42" s="1952"/>
      <c r="AN42" s="1952"/>
      <c r="AO42" s="1952"/>
      <c r="AP42" s="1952"/>
      <c r="AQ42" s="1952"/>
      <c r="AR42" s="1952"/>
      <c r="AS42" s="1952"/>
      <c r="AU42" s="2038" t="s">
        <v>646</v>
      </c>
      <c r="AV42" s="2038"/>
      <c r="AW42" s="2038"/>
      <c r="BC42" s="2021"/>
      <c r="BD42" s="2021"/>
      <c r="BE42" s="2021"/>
      <c r="BF42" s="138"/>
    </row>
    <row r="43" spans="2:92" x14ac:dyDescent="0.25">
      <c r="B43" s="137"/>
      <c r="BF43" s="138"/>
      <c r="BP43" s="262"/>
      <c r="CN43" s="264"/>
    </row>
    <row r="44" spans="2:92" x14ac:dyDescent="0.25">
      <c r="B44" s="2043" t="s">
        <v>693</v>
      </c>
      <c r="C44" s="2044"/>
      <c r="D44" s="2044"/>
      <c r="E44" s="2044"/>
      <c r="F44" s="2044"/>
      <c r="G44" s="2044"/>
      <c r="H44" s="2044"/>
      <c r="I44" s="2044"/>
      <c r="J44" s="2044"/>
      <c r="K44" s="2044"/>
      <c r="L44" s="2044"/>
      <c r="M44" s="2044"/>
      <c r="N44" s="2044"/>
      <c r="O44" s="2044"/>
      <c r="P44" s="2044"/>
      <c r="Q44" s="2044"/>
      <c r="R44" s="2044"/>
      <c r="T44" s="2046">
        <f>'Tracking &amp; Profitability'!$E$7</f>
        <v>0</v>
      </c>
      <c r="U44" s="2046"/>
      <c r="V44" s="2046"/>
      <c r="W44" s="2046"/>
      <c r="X44" s="2046"/>
      <c r="Y44" s="2046"/>
      <c r="Z44" s="2046"/>
      <c r="AA44" s="2046"/>
      <c r="AB44" s="2046"/>
      <c r="AF44" s="1952" t="s">
        <v>696</v>
      </c>
      <c r="AG44" s="1952"/>
      <c r="AH44" s="1952"/>
      <c r="AI44" s="1952"/>
      <c r="AJ44" s="1952"/>
      <c r="AK44" s="1952"/>
      <c r="AL44" s="1952"/>
      <c r="AM44" s="1952"/>
      <c r="AN44" s="1952"/>
      <c r="AO44" s="1952"/>
      <c r="AP44" s="1952"/>
      <c r="AQ44" s="1952"/>
      <c r="AR44" s="1952"/>
      <c r="AS44" s="1952"/>
      <c r="AU44" s="2038" t="s">
        <v>646</v>
      </c>
      <c r="AV44" s="2038"/>
      <c r="AW44" s="2038"/>
      <c r="BC44" s="2021"/>
      <c r="BD44" s="2021"/>
      <c r="BE44" s="2021"/>
      <c r="BF44" s="138"/>
    </row>
    <row r="45" spans="2:92" x14ac:dyDescent="0.25">
      <c r="B45" s="137"/>
      <c r="BF45" s="138"/>
      <c r="CN45" s="264"/>
    </row>
    <row r="46" spans="2:92" x14ac:dyDescent="0.25">
      <c r="B46" s="2048" t="s">
        <v>654</v>
      </c>
      <c r="C46" s="2049"/>
      <c r="D46" s="2049"/>
      <c r="E46" s="2049"/>
      <c r="F46" s="2049"/>
      <c r="G46" s="2049"/>
      <c r="H46" s="2049"/>
      <c r="I46" s="2049"/>
      <c r="J46" s="2049"/>
      <c r="K46" s="2049"/>
      <c r="L46" s="2049"/>
      <c r="M46" s="2049"/>
      <c r="N46" s="2049"/>
      <c r="O46" s="2049"/>
      <c r="P46" s="2049"/>
      <c r="Q46" s="2049"/>
      <c r="R46" s="2049"/>
      <c r="T46" s="2051">
        <f>'Agreement Worksheet'!$C$10</f>
        <v>500</v>
      </c>
      <c r="U46" s="2027"/>
      <c r="V46" s="2027"/>
      <c r="W46" s="2027"/>
      <c r="X46" s="2027"/>
      <c r="Y46" s="2027"/>
      <c r="Z46" s="2027"/>
      <c r="AA46" s="2027"/>
      <c r="AB46" s="2027"/>
      <c r="AF46" s="2042" t="s">
        <v>694</v>
      </c>
      <c r="AG46" s="2042"/>
      <c r="AH46" s="2042"/>
      <c r="AI46" s="2042"/>
      <c r="AJ46" s="2042"/>
      <c r="AK46" s="2042"/>
      <c r="AL46" s="2042"/>
      <c r="AM46" s="2042"/>
      <c r="AN46" s="2042"/>
      <c r="AO46" s="2042"/>
      <c r="AP46" s="2042"/>
      <c r="AQ46" s="2042"/>
      <c r="AR46" s="2042"/>
      <c r="AS46" s="2042"/>
      <c r="AU46" s="2059">
        <f>'Agreement Worksheet'!$C$13/100</f>
        <v>0.3</v>
      </c>
      <c r="AV46" s="2059"/>
      <c r="AW46" s="2059"/>
      <c r="AX46" s="2059"/>
      <c r="AY46" s="2059"/>
      <c r="AZ46" s="2059"/>
      <c r="BF46" s="138"/>
    </row>
    <row r="47" spans="2:92" x14ac:dyDescent="0.25">
      <c r="B47" s="137"/>
      <c r="BF47" s="138"/>
      <c r="CN47" s="264"/>
    </row>
    <row r="48" spans="2:92" x14ac:dyDescent="0.25">
      <c r="B48" s="2043" t="s">
        <v>478</v>
      </c>
      <c r="C48" s="2044"/>
      <c r="D48" s="2044"/>
      <c r="E48" s="2044"/>
      <c r="F48" s="2044"/>
      <c r="G48" s="2044"/>
      <c r="H48" s="2044"/>
      <c r="I48" s="2044"/>
      <c r="J48" s="2044"/>
      <c r="K48" s="2044"/>
      <c r="L48" s="2044"/>
      <c r="M48" s="2044"/>
      <c r="N48" s="2044"/>
      <c r="O48" s="2044"/>
      <c r="P48" s="2044"/>
      <c r="Q48" s="2044"/>
      <c r="R48" s="2044"/>
      <c r="T48" s="2027">
        <f>$K$10</f>
        <v>0</v>
      </c>
      <c r="U48" s="2027"/>
      <c r="V48" s="2027"/>
      <c r="W48" s="2027"/>
      <c r="X48" s="2027"/>
      <c r="Y48" s="2027"/>
      <c r="Z48" s="2027"/>
      <c r="AA48" s="2027"/>
      <c r="AB48" s="2027"/>
      <c r="AF48" s="2042" t="s">
        <v>692</v>
      </c>
      <c r="AG48" s="2042"/>
      <c r="AH48" s="2042"/>
      <c r="AI48" s="2042"/>
      <c r="AJ48" s="2042"/>
      <c r="AK48" s="2042"/>
      <c r="AL48" s="2042"/>
      <c r="AM48" s="2042"/>
      <c r="AN48" s="2042"/>
      <c r="AO48" s="2042"/>
      <c r="AP48" s="2042"/>
      <c r="AQ48" s="2042"/>
      <c r="AR48" s="2042"/>
      <c r="AS48" s="2042"/>
      <c r="AU48" s="2063">
        <f>'Agreement Worksheet'!$F$13</f>
        <v>2.25</v>
      </c>
      <c r="AV48" s="2064"/>
      <c r="AW48" s="2064"/>
      <c r="AX48" s="2064"/>
      <c r="AY48" s="2064"/>
      <c r="AZ48" s="2064"/>
      <c r="BF48" s="138"/>
    </row>
    <row r="49" spans="2:92" x14ac:dyDescent="0.25">
      <c r="B49" s="137"/>
      <c r="BF49" s="138"/>
      <c r="CN49" s="264"/>
    </row>
    <row r="50" spans="2:92" x14ac:dyDescent="0.25">
      <c r="B50" s="2053" t="s">
        <v>691</v>
      </c>
      <c r="C50" s="2042"/>
      <c r="D50" s="2042"/>
      <c r="E50" s="2042"/>
      <c r="F50" s="2042"/>
      <c r="G50" s="2042"/>
      <c r="H50" s="2042"/>
      <c r="I50" s="2042"/>
      <c r="J50" s="2042"/>
      <c r="K50" s="2042"/>
      <c r="L50" s="2042"/>
      <c r="M50" s="2042"/>
      <c r="N50" s="2042"/>
      <c r="O50" s="2042"/>
      <c r="P50" s="2042"/>
      <c r="Q50" s="2042"/>
      <c r="R50" s="2042"/>
      <c r="T50" s="2050">
        <f>'Agreement Worksheet'!$E$10</f>
        <v>500</v>
      </c>
      <c r="U50" s="2050"/>
      <c r="V50" s="2050"/>
      <c r="W50" s="2050"/>
      <c r="X50" s="2050"/>
      <c r="Y50" s="2050"/>
      <c r="Z50" s="1952" t="s">
        <v>690</v>
      </c>
      <c r="AA50" s="1952"/>
      <c r="AB50" s="1952"/>
      <c r="AC50" s="2050">
        <f>'Agreement Worksheet'!$F$10</f>
        <v>35</v>
      </c>
      <c r="AD50" s="2050"/>
      <c r="AE50" s="2050"/>
      <c r="AF50" s="2050"/>
      <c r="AG50" s="205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56" t="s">
        <v>674</v>
      </c>
      <c r="C53" s="2057"/>
      <c r="D53" s="2057"/>
      <c r="E53" s="2057"/>
      <c r="F53" s="2057"/>
      <c r="G53" s="2057"/>
      <c r="H53" s="2057"/>
      <c r="I53" s="2057"/>
      <c r="J53" s="2057"/>
      <c r="K53" s="2057"/>
      <c r="L53" s="2057"/>
      <c r="M53" s="2057"/>
      <c r="N53" s="2057"/>
      <c r="O53" s="2057"/>
      <c r="P53" s="2057"/>
      <c r="Q53" s="2057"/>
      <c r="R53" s="2057"/>
      <c r="S53" s="2057"/>
      <c r="T53" s="2057"/>
      <c r="U53" s="2057"/>
      <c r="V53" s="2057"/>
      <c r="W53" s="2057"/>
      <c r="X53" s="2057"/>
      <c r="Y53" s="2057"/>
      <c r="Z53" s="2057"/>
      <c r="AA53" s="2057"/>
      <c r="AB53" s="2057"/>
      <c r="AC53" s="2057"/>
      <c r="AD53" s="2057"/>
      <c r="AE53" s="2057"/>
      <c r="AF53" s="2057"/>
      <c r="AG53" s="2057"/>
      <c r="AH53" s="2057"/>
      <c r="AI53" s="2057"/>
      <c r="AJ53" s="2057"/>
      <c r="AK53" s="2057"/>
      <c r="AL53" s="2057"/>
      <c r="AM53" s="2057"/>
      <c r="AN53" s="2057"/>
      <c r="AO53" s="2057"/>
      <c r="AP53" s="2057"/>
      <c r="AQ53" s="2057"/>
      <c r="AR53" s="2057"/>
      <c r="AS53" s="2057"/>
      <c r="AT53" s="2057"/>
      <c r="AU53" s="2057"/>
      <c r="AV53" s="2057"/>
      <c r="AW53" s="2057"/>
      <c r="AX53" s="2057"/>
      <c r="AY53" s="2057"/>
      <c r="AZ53" s="2057"/>
      <c r="BA53" s="2057"/>
      <c r="BB53" s="2057"/>
      <c r="BC53" s="2057"/>
      <c r="BD53" s="2057"/>
      <c r="BE53" s="2057"/>
      <c r="BF53" s="2058"/>
    </row>
    <row r="54" spans="2:92" x14ac:dyDescent="0.25">
      <c r="B54" s="2060" t="s">
        <v>689</v>
      </c>
      <c r="C54" s="2061"/>
      <c r="D54" s="2061"/>
      <c r="E54" s="2061"/>
      <c r="F54" s="2061"/>
      <c r="G54" s="2061"/>
      <c r="H54" s="2061"/>
      <c r="I54" s="2061"/>
      <c r="J54" s="2061"/>
      <c r="K54" s="2061"/>
      <c r="L54" s="2061"/>
      <c r="M54" s="2061"/>
      <c r="N54" s="2061"/>
      <c r="O54" s="2061"/>
      <c r="P54" s="2061"/>
      <c r="Q54" s="2061"/>
      <c r="R54" s="2061"/>
      <c r="S54" s="2061"/>
      <c r="T54" s="2061"/>
      <c r="U54" s="2061"/>
      <c r="V54" s="2061"/>
      <c r="W54" s="2061"/>
      <c r="X54" s="2061"/>
      <c r="Y54" s="2061"/>
      <c r="Z54" s="2061"/>
      <c r="AA54" s="2061"/>
      <c r="AB54" s="2061"/>
      <c r="AC54" s="2061"/>
      <c r="AD54" s="2061"/>
      <c r="AE54" s="2061"/>
      <c r="AF54" s="2061"/>
      <c r="AG54" s="2061"/>
      <c r="AH54" s="2061"/>
      <c r="AI54" s="2061"/>
      <c r="AJ54" s="2061"/>
      <c r="AK54" s="2061"/>
      <c r="AL54" s="2061"/>
      <c r="AM54" s="2061"/>
      <c r="AN54" s="2061"/>
      <c r="AO54" s="2061"/>
      <c r="AP54" s="2061"/>
      <c r="AQ54" s="2061"/>
      <c r="AR54" s="2061"/>
      <c r="AS54" s="2061"/>
      <c r="AT54" s="2061"/>
      <c r="AU54" s="2061"/>
      <c r="AV54" s="2061"/>
      <c r="AW54" s="2061"/>
      <c r="AX54" s="2061"/>
      <c r="AY54" s="2061"/>
      <c r="AZ54" s="2061"/>
      <c r="BA54" s="2061"/>
      <c r="BB54" s="2061"/>
      <c r="BC54" s="2061"/>
      <c r="BD54" s="2061"/>
      <c r="BE54" s="2061"/>
      <c r="BF54" s="2062"/>
      <c r="BP54" s="262"/>
    </row>
    <row r="55" spans="2:92" x14ac:dyDescent="0.25">
      <c r="B55" s="137"/>
      <c r="AC55" s="267"/>
      <c r="AD55" s="267"/>
      <c r="AE55" s="267"/>
      <c r="AF55" s="267"/>
      <c r="AG55" s="267"/>
      <c r="AH55" s="267"/>
      <c r="AK55" s="2026"/>
      <c r="AL55" s="2026"/>
      <c r="AM55" s="2026"/>
      <c r="AN55" s="2026"/>
      <c r="AO55" s="1885"/>
      <c r="AP55" s="1885"/>
      <c r="AQ55" s="1885"/>
      <c r="AR55" s="134"/>
      <c r="AS55" s="134"/>
      <c r="AT55" s="1885"/>
      <c r="AU55" s="1885"/>
      <c r="AV55" s="1885"/>
      <c r="AW55" s="134"/>
      <c r="AX55" s="134"/>
      <c r="AY55" s="1885"/>
      <c r="AZ55" s="1885"/>
      <c r="BA55" s="1885"/>
      <c r="BB55" s="134"/>
      <c r="BC55" s="134"/>
      <c r="BD55" s="1885"/>
      <c r="BE55" s="1885"/>
      <c r="BF55" s="2045"/>
      <c r="BP55" s="268"/>
    </row>
    <row r="56" spans="2:92" x14ac:dyDescent="0.25">
      <c r="B56" s="137"/>
      <c r="C56" s="2037" t="s">
        <v>103</v>
      </c>
      <c r="D56" s="2037"/>
      <c r="E56" s="2037"/>
      <c r="F56" s="2037"/>
      <c r="G56" s="2037"/>
      <c r="H56" s="2037"/>
      <c r="I56" s="2037"/>
      <c r="J56" s="2037"/>
      <c r="K56" s="2037"/>
      <c r="L56" s="2037"/>
      <c r="M56" s="2037"/>
      <c r="N56" s="2037"/>
      <c r="O56" s="2037"/>
      <c r="P56" s="2037"/>
      <c r="Q56" s="2037"/>
      <c r="R56" s="2037"/>
      <c r="S56" s="2037"/>
      <c r="T56" s="2037"/>
      <c r="U56" s="2037"/>
      <c r="V56" s="2037"/>
      <c r="W56" s="2037"/>
      <c r="X56" s="2037"/>
      <c r="Y56" s="2037"/>
      <c r="Z56" s="2037"/>
      <c r="AC56" s="2038" t="str">
        <f>'PIM Model'!$AD$11</f>
        <v/>
      </c>
      <c r="AD56" s="2038"/>
      <c r="AE56" s="2038" t="str">
        <f>'PIM Model'!$D$11</f>
        <v>%</v>
      </c>
      <c r="AF56" s="2038"/>
      <c r="AG56" s="2038" t="str">
        <f>'PIM Model'!$D$11</f>
        <v>%</v>
      </c>
      <c r="AH56" s="2038"/>
      <c r="AI56" s="2021" t="str">
        <f>'PIM Model'!$D$11</f>
        <v>%</v>
      </c>
      <c r="AJ56" s="2021"/>
      <c r="AK56" s="134"/>
      <c r="AL56" s="134"/>
      <c r="AM56" s="134"/>
      <c r="AN56" s="134"/>
      <c r="AO56" s="1885"/>
      <c r="AP56" s="1885"/>
      <c r="AQ56" s="1885"/>
      <c r="AR56" s="134"/>
      <c r="AS56" s="134"/>
      <c r="AT56" s="1885"/>
      <c r="AU56" s="1885"/>
      <c r="AV56" s="1885"/>
      <c r="AW56" s="134"/>
      <c r="AX56" s="134"/>
      <c r="AY56" s="1885"/>
      <c r="AZ56" s="1885"/>
      <c r="BA56" s="1885"/>
      <c r="BB56" s="134"/>
      <c r="BC56" s="134"/>
      <c r="BD56" s="1885"/>
      <c r="BE56" s="1885"/>
      <c r="BF56" s="2045"/>
      <c r="BP56" s="262"/>
    </row>
    <row r="57" spans="2:92" x14ac:dyDescent="0.25">
      <c r="B57" s="137"/>
      <c r="C57" s="2037" t="s">
        <v>102</v>
      </c>
      <c r="D57" s="2037"/>
      <c r="E57" s="2037"/>
      <c r="F57" s="2037"/>
      <c r="G57" s="2037"/>
      <c r="H57" s="2037"/>
      <c r="I57" s="2037"/>
      <c r="J57" s="2037"/>
      <c r="K57" s="2037"/>
      <c r="L57" s="2037"/>
      <c r="M57" s="2037"/>
      <c r="N57" s="2037"/>
      <c r="O57" s="2037"/>
      <c r="P57" s="2037"/>
      <c r="Q57" s="2037"/>
      <c r="R57" s="2037"/>
      <c r="S57" s="2037"/>
      <c r="T57" s="2037"/>
      <c r="U57" s="2037"/>
      <c r="V57" s="2037"/>
      <c r="W57" s="2037"/>
      <c r="X57" s="2037"/>
      <c r="Y57" s="2037"/>
      <c r="Z57" s="2037"/>
      <c r="AC57" s="2024" t="str">
        <f>'PIM Model'!$AD$13</f>
        <v/>
      </c>
      <c r="AD57" s="2024"/>
      <c r="AE57" s="2024" t="str">
        <f>'PIM Model'!$D$13</f>
        <v>%</v>
      </c>
      <c r="AF57" s="2024"/>
      <c r="AG57" s="2024" t="str">
        <f>'PIM Model'!$D$13</f>
        <v>%</v>
      </c>
      <c r="AH57" s="2024"/>
      <c r="AI57" s="2021" t="str">
        <f>'PIM Model'!$D$13</f>
        <v>%</v>
      </c>
      <c r="AJ57" s="202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2037" t="s">
        <v>101</v>
      </c>
      <c r="D58" s="2037"/>
      <c r="E58" s="2037"/>
      <c r="F58" s="2037"/>
      <c r="G58" s="2037"/>
      <c r="H58" s="2037"/>
      <c r="I58" s="2037"/>
      <c r="J58" s="2037"/>
      <c r="K58" s="2037"/>
      <c r="L58" s="2037"/>
      <c r="M58" s="2037"/>
      <c r="N58" s="2037"/>
      <c r="O58" s="2037"/>
      <c r="P58" s="2037"/>
      <c r="Q58" s="2037"/>
      <c r="R58" s="2037"/>
      <c r="S58" s="2037"/>
      <c r="T58" s="2037"/>
      <c r="U58" s="2037"/>
      <c r="V58" s="2037"/>
      <c r="W58" s="2037"/>
      <c r="X58" s="2037"/>
      <c r="Y58" s="2037"/>
      <c r="Z58" s="2037"/>
      <c r="AC58" s="2024" t="str">
        <f>'PIM Model'!$AD$19</f>
        <v/>
      </c>
      <c r="AD58" s="2024"/>
      <c r="AE58" s="2024" t="str">
        <f>'PIM Model'!$D$19</f>
        <v>%</v>
      </c>
      <c r="AF58" s="2024"/>
      <c r="AG58" s="2024" t="str">
        <f>'PIM Model'!$D$19</f>
        <v>%</v>
      </c>
      <c r="AH58" s="2024"/>
      <c r="AI58" s="2021" t="str">
        <f>'PIM Model'!$D$19</f>
        <v>%</v>
      </c>
      <c r="AJ58" s="202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2037" t="s">
        <v>100</v>
      </c>
      <c r="D59" s="2037"/>
      <c r="E59" s="2037"/>
      <c r="F59" s="2037"/>
      <c r="G59" s="2037"/>
      <c r="H59" s="2037"/>
      <c r="I59" s="2037"/>
      <c r="J59" s="2037"/>
      <c r="K59" s="2037"/>
      <c r="L59" s="2037"/>
      <c r="M59" s="2037"/>
      <c r="N59" s="2037"/>
      <c r="O59" s="2037"/>
      <c r="P59" s="2037"/>
      <c r="Q59" s="2037"/>
      <c r="R59" s="2037"/>
      <c r="S59" s="2037"/>
      <c r="T59" s="2037"/>
      <c r="U59" s="2037"/>
      <c r="V59" s="2037"/>
      <c r="W59" s="2037"/>
      <c r="X59" s="2037"/>
      <c r="Y59" s="2037"/>
      <c r="Z59" s="2037"/>
      <c r="AC59" s="2024" t="str">
        <f>'PIM Model'!$AD$14</f>
        <v/>
      </c>
      <c r="AD59" s="2024"/>
      <c r="AE59" s="2024" t="str">
        <f>'PIM Model'!$D$14</f>
        <v>%</v>
      </c>
      <c r="AF59" s="2024"/>
      <c r="AG59" s="2024" t="str">
        <f>'PIM Model'!$D$14</f>
        <v>%</v>
      </c>
      <c r="AH59" s="2024"/>
      <c r="AI59" s="2021" t="str">
        <f>'PIM Model'!$D$14</f>
        <v>%</v>
      </c>
      <c r="AJ59" s="202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2037" t="s">
        <v>104</v>
      </c>
      <c r="D60" s="2037"/>
      <c r="E60" s="2037"/>
      <c r="F60" s="2037"/>
      <c r="G60" s="2037"/>
      <c r="H60" s="2037"/>
      <c r="I60" s="2037"/>
      <c r="J60" s="2037"/>
      <c r="K60" s="2037"/>
      <c r="L60" s="2037"/>
      <c r="M60" s="2037"/>
      <c r="N60" s="2037"/>
      <c r="O60" s="2037"/>
      <c r="P60" s="2037"/>
      <c r="Q60" s="2037"/>
      <c r="R60" s="2037"/>
      <c r="S60" s="2037"/>
      <c r="T60" s="2037"/>
      <c r="U60" s="2037"/>
      <c r="V60" s="2037"/>
      <c r="W60" s="2037"/>
      <c r="X60" s="2037"/>
      <c r="Y60" s="2037"/>
      <c r="Z60" s="2037"/>
      <c r="AC60" s="2024" t="str">
        <f>'PIM Model'!$AD$15</f>
        <v/>
      </c>
      <c r="AD60" s="2024"/>
      <c r="AE60" s="2024" t="str">
        <f>'PIM Model'!$D$15</f>
        <v>%</v>
      </c>
      <c r="AF60" s="2024"/>
      <c r="AG60" s="2024" t="str">
        <f>'PIM Model'!$D$15</f>
        <v>%</v>
      </c>
      <c r="AH60" s="2024"/>
      <c r="AI60" s="2021" t="str">
        <f>'PIM Model'!$D$15</f>
        <v>%</v>
      </c>
      <c r="AJ60" s="202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2037" t="s">
        <v>99</v>
      </c>
      <c r="D61" s="2037"/>
      <c r="E61" s="2037"/>
      <c r="F61" s="2037"/>
      <c r="G61" s="2037"/>
      <c r="H61" s="2037"/>
      <c r="I61" s="2037"/>
      <c r="J61" s="2037"/>
      <c r="K61" s="2037"/>
      <c r="L61" s="2037"/>
      <c r="M61" s="2037"/>
      <c r="N61" s="2037"/>
      <c r="O61" s="2037"/>
      <c r="P61" s="2037"/>
      <c r="Q61" s="2037"/>
      <c r="R61" s="2037"/>
      <c r="S61" s="2037"/>
      <c r="T61" s="2037"/>
      <c r="U61" s="2037"/>
      <c r="V61" s="2037"/>
      <c r="W61" s="2037"/>
      <c r="X61" s="2037"/>
      <c r="Y61" s="2037"/>
      <c r="Z61" s="2037"/>
      <c r="AC61" s="2024" t="str">
        <f>'PIM Model'!$AD$10</f>
        <v/>
      </c>
      <c r="AD61" s="2024"/>
      <c r="AE61" s="2024" t="str">
        <f>'PIM Model'!$D$10</f>
        <v>%</v>
      </c>
      <c r="AF61" s="2024"/>
      <c r="AG61" s="2024" t="str">
        <f>'PIM Model'!$D$10</f>
        <v>%</v>
      </c>
      <c r="AH61" s="2024"/>
      <c r="AI61" s="2021" t="str">
        <f>'PIM Model'!$D$10</f>
        <v>%</v>
      </c>
      <c r="AJ61" s="202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34" t="s">
        <v>98</v>
      </c>
      <c r="D62" s="1834"/>
      <c r="E62" s="1834"/>
      <c r="F62" s="1834"/>
      <c r="G62" s="1834"/>
      <c r="H62" s="1834"/>
      <c r="I62" s="1834"/>
      <c r="J62" s="1834"/>
      <c r="K62" s="1834"/>
      <c r="L62" s="1834"/>
      <c r="M62" s="1834"/>
      <c r="N62" s="1834"/>
      <c r="O62" s="1834"/>
      <c r="P62" s="1834"/>
      <c r="Q62" s="1834"/>
      <c r="R62" s="1834"/>
      <c r="S62" s="1834"/>
      <c r="T62" s="1834"/>
      <c r="U62" s="1834"/>
      <c r="V62" s="1834"/>
      <c r="W62" s="1834"/>
      <c r="X62" s="1834"/>
      <c r="Y62" s="1834"/>
      <c r="Z62" s="1834"/>
      <c r="AC62" s="2024" t="str">
        <f>'PIM Model'!$AD$16</f>
        <v/>
      </c>
      <c r="AD62" s="2024"/>
      <c r="AE62" s="2024" t="str">
        <f>'PIM Model'!$D$16</f>
        <v>%</v>
      </c>
      <c r="AF62" s="2024"/>
      <c r="AG62" s="2024" t="str">
        <f>'PIM Model'!$D$16</f>
        <v>%</v>
      </c>
      <c r="AH62" s="2024"/>
      <c r="AI62" s="2021" t="str">
        <f>'PIM Model'!$D$16</f>
        <v>%</v>
      </c>
      <c r="AJ62" s="202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34" t="s">
        <v>97</v>
      </c>
      <c r="D63" s="1834"/>
      <c r="E63" s="1834"/>
      <c r="F63" s="1834"/>
      <c r="G63" s="1834"/>
      <c r="H63" s="1834"/>
      <c r="I63" s="1834"/>
      <c r="J63" s="1834"/>
      <c r="K63" s="1834"/>
      <c r="L63" s="1834"/>
      <c r="M63" s="1834"/>
      <c r="N63" s="1834"/>
      <c r="O63" s="1834"/>
      <c r="P63" s="1834"/>
      <c r="Q63" s="1834"/>
      <c r="R63" s="1834"/>
      <c r="S63" s="1834"/>
      <c r="T63" s="1834"/>
      <c r="U63" s="1834"/>
      <c r="V63" s="1834"/>
      <c r="W63" s="1834"/>
      <c r="X63" s="1834"/>
      <c r="Y63" s="1834"/>
      <c r="Z63" s="1834"/>
      <c r="AC63" s="2024" t="str">
        <f>'PIM Model'!$AD$20</f>
        <v/>
      </c>
      <c r="AD63" s="2024"/>
      <c r="AE63" s="2024" t="str">
        <f>'PIM Model'!$D$20</f>
        <v>%</v>
      </c>
      <c r="AF63" s="2024"/>
      <c r="AG63" s="2024" t="str">
        <f>'PIM Model'!$D$20</f>
        <v>%</v>
      </c>
      <c r="AH63" s="2024"/>
      <c r="AI63" s="2021" t="str">
        <f>'PIM Model'!$D$20</f>
        <v>%</v>
      </c>
      <c r="AJ63" s="202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34" t="s">
        <v>96</v>
      </c>
      <c r="D64" s="1834"/>
      <c r="E64" s="1834"/>
      <c r="F64" s="1834"/>
      <c r="G64" s="1834"/>
      <c r="H64" s="1834"/>
      <c r="I64" s="1834"/>
      <c r="J64" s="1834"/>
      <c r="K64" s="1834"/>
      <c r="L64" s="1834"/>
      <c r="M64" s="1834"/>
      <c r="N64" s="1834"/>
      <c r="O64" s="1834"/>
      <c r="P64" s="1834"/>
      <c r="Q64" s="1834"/>
      <c r="R64" s="1834"/>
      <c r="S64" s="1834"/>
      <c r="T64" s="1834"/>
      <c r="U64" s="1834"/>
      <c r="V64" s="1834"/>
      <c r="W64" s="1834"/>
      <c r="X64" s="1834"/>
      <c r="Y64" s="1834"/>
      <c r="Z64" s="1834"/>
      <c r="AC64" s="2024" t="str">
        <f>'PIM Model'!$AD$18</f>
        <v/>
      </c>
      <c r="AD64" s="2024"/>
      <c r="AE64" s="2024" t="str">
        <f>'PIM Model'!$D$18</f>
        <v>%</v>
      </c>
      <c r="AF64" s="2024"/>
      <c r="AG64" s="2024" t="str">
        <f>'PIM Model'!$D$18</f>
        <v>%</v>
      </c>
      <c r="AH64" s="2024"/>
      <c r="AI64" s="2021" t="str">
        <f>'PIM Model'!$D$18</f>
        <v>%</v>
      </c>
      <c r="AJ64" s="202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34" t="s">
        <v>95</v>
      </c>
      <c r="D65" s="1834"/>
      <c r="E65" s="1834"/>
      <c r="F65" s="1834"/>
      <c r="G65" s="1834"/>
      <c r="H65" s="1834"/>
      <c r="I65" s="1834"/>
      <c r="J65" s="1834"/>
      <c r="K65" s="1834"/>
      <c r="L65" s="1834"/>
      <c r="M65" s="1834"/>
      <c r="N65" s="1834"/>
      <c r="O65" s="1834"/>
      <c r="P65" s="1834"/>
      <c r="Q65" s="1834"/>
      <c r="R65" s="1834"/>
      <c r="S65" s="1834"/>
      <c r="T65" s="1834"/>
      <c r="U65" s="1834"/>
      <c r="V65" s="1834"/>
      <c r="W65" s="1834"/>
      <c r="X65" s="1834"/>
      <c r="Y65" s="1834"/>
      <c r="Z65" s="1834"/>
      <c r="AC65" s="2024" t="str">
        <f>'PIM Model'!$AD$17</f>
        <v/>
      </c>
      <c r="AD65" s="2024"/>
      <c r="AE65" s="2024" t="str">
        <f>'PIM Model'!$D$17</f>
        <v>%</v>
      </c>
      <c r="AF65" s="2024"/>
      <c r="AG65" s="2024" t="str">
        <f>'PIM Model'!$D$17</f>
        <v>%</v>
      </c>
      <c r="AH65" s="2024"/>
      <c r="AI65" s="2021" t="str">
        <f>'PIM Model'!$D$17</f>
        <v>%</v>
      </c>
      <c r="AJ65" s="202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34" t="s">
        <v>94</v>
      </c>
      <c r="D66" s="1834"/>
      <c r="E66" s="1834"/>
      <c r="F66" s="1834"/>
      <c r="G66" s="1834"/>
      <c r="H66" s="1834"/>
      <c r="I66" s="1834"/>
      <c r="J66" s="1834"/>
      <c r="K66" s="1834"/>
      <c r="L66" s="1834"/>
      <c r="M66" s="1834"/>
      <c r="N66" s="1834"/>
      <c r="O66" s="1834"/>
      <c r="P66" s="1834"/>
      <c r="Q66" s="1834"/>
      <c r="R66" s="1834"/>
      <c r="S66" s="1834"/>
      <c r="T66" s="1834"/>
      <c r="U66" s="1834"/>
      <c r="V66" s="1834"/>
      <c r="W66" s="1834"/>
      <c r="X66" s="1834"/>
      <c r="Y66" s="1834"/>
      <c r="Z66" s="1834"/>
      <c r="AC66" s="2024" t="str">
        <f>'PIM Model'!$AD$27</f>
        <v/>
      </c>
      <c r="AD66" s="2024"/>
      <c r="AE66" s="2024" t="str">
        <f>'PIM Model'!$D$27</f>
        <v>%</v>
      </c>
      <c r="AF66" s="2024"/>
      <c r="AG66" s="2024" t="str">
        <f>'PIM Model'!$D$27</f>
        <v>%</v>
      </c>
      <c r="AH66" s="2024"/>
      <c r="AI66" s="2021" t="str">
        <f>'PIM Model'!$D$27</f>
        <v>%</v>
      </c>
      <c r="AJ66" s="202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2021" t="s">
        <v>688</v>
      </c>
      <c r="F67" s="2021"/>
      <c r="G67" s="2021"/>
      <c r="H67" s="2021"/>
      <c r="I67" s="2021"/>
      <c r="J67" s="2021"/>
      <c r="K67" s="2021"/>
      <c r="M67" s="2025" t="str">
        <f>'Pricing Schedule'!$E$21</f>
        <v>T</v>
      </c>
      <c r="N67" s="2025"/>
      <c r="O67" s="2025"/>
      <c r="P67" t="s">
        <v>646</v>
      </c>
      <c r="S67" s="2023"/>
      <c r="T67" s="2023"/>
      <c r="U67" s="2023"/>
      <c r="V67" s="2021" t="s">
        <v>648</v>
      </c>
      <c r="W67" s="202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34" t="s">
        <v>93</v>
      </c>
      <c r="D68" s="1834"/>
      <c r="E68" s="1834"/>
      <c r="F68" s="1834"/>
      <c r="G68" s="1834"/>
      <c r="H68" s="1834"/>
      <c r="I68" s="1834"/>
      <c r="J68" s="1834"/>
      <c r="K68" s="1834"/>
      <c r="L68" s="1834"/>
      <c r="M68" s="1834"/>
      <c r="N68" s="1834"/>
      <c r="O68" s="1834"/>
      <c r="P68" s="1834"/>
      <c r="Q68" s="1834"/>
      <c r="R68" s="1834"/>
      <c r="S68" s="1834"/>
      <c r="T68" s="1834"/>
      <c r="U68" s="1834"/>
      <c r="V68" s="1834"/>
      <c r="W68" s="1834"/>
      <c r="X68" s="1834"/>
      <c r="Y68" s="1834"/>
      <c r="Z68" s="1834"/>
      <c r="AC68" s="2024" t="str">
        <f>'PIM Model'!$AD$21</f>
        <v/>
      </c>
      <c r="AD68" s="2024"/>
      <c r="AE68" s="2024" t="str">
        <f>'PIM Model'!$D$21</f>
        <v>%</v>
      </c>
      <c r="AF68" s="2024"/>
      <c r="AG68" s="2024" t="str">
        <f>'PIM Model'!$D$21</f>
        <v>%</v>
      </c>
      <c r="AH68" s="2024"/>
      <c r="AI68" s="2021" t="str">
        <f>'PIM Model'!$D$21</f>
        <v>%</v>
      </c>
      <c r="AJ68" s="202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34" t="s">
        <v>92</v>
      </c>
      <c r="D69" s="1834"/>
      <c r="E69" s="1834"/>
      <c r="F69" s="1834"/>
      <c r="G69" s="1834"/>
      <c r="H69" s="1834"/>
      <c r="I69" s="1834"/>
      <c r="J69" s="1834"/>
      <c r="K69" s="1834"/>
      <c r="L69" s="1834"/>
      <c r="M69" s="1834"/>
      <c r="N69" s="1834"/>
      <c r="O69" s="1834"/>
      <c r="P69" s="1834"/>
      <c r="Q69" s="1834"/>
      <c r="R69" s="1834"/>
      <c r="S69" s="1834"/>
      <c r="T69" s="1834"/>
      <c r="U69" s="1834"/>
      <c r="V69" s="1834"/>
      <c r="W69" s="1834"/>
      <c r="X69" s="1834"/>
      <c r="Y69" s="1834"/>
      <c r="Z69" s="1834"/>
      <c r="AC69" s="2024" t="str">
        <f>'PIM Model'!$AD$23</f>
        <v/>
      </c>
      <c r="AD69" s="2024"/>
      <c r="AE69" s="2024" t="str">
        <f>'PIM Model'!$D$23</f>
        <v>%</v>
      </c>
      <c r="AF69" s="2024"/>
      <c r="AG69" s="2024" t="str">
        <f>'PIM Model'!$D$23</f>
        <v>%</v>
      </c>
      <c r="AH69" s="2024"/>
      <c r="AI69" s="2021" t="str">
        <f>'PIM Model'!$D$23</f>
        <v>%</v>
      </c>
      <c r="AJ69" s="202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34" t="s">
        <v>91</v>
      </c>
      <c r="D70" s="1834"/>
      <c r="E70" s="1834"/>
      <c r="F70" s="1834"/>
      <c r="G70" s="1834"/>
      <c r="H70" s="1834"/>
      <c r="I70" s="1834"/>
      <c r="J70" s="1834"/>
      <c r="K70" s="1834"/>
      <c r="L70" s="1834"/>
      <c r="M70" s="1834"/>
      <c r="N70" s="1834"/>
      <c r="O70" s="1834"/>
      <c r="P70" s="1834"/>
      <c r="Q70" s="1834"/>
      <c r="R70" s="1834"/>
      <c r="S70" s="1834"/>
      <c r="T70" s="1834"/>
      <c r="U70" s="1834"/>
      <c r="V70" s="1834"/>
      <c r="W70" s="1834"/>
      <c r="X70" s="1834"/>
      <c r="Y70" s="1834"/>
      <c r="Z70" s="1834"/>
      <c r="AC70" s="2024" t="str">
        <f>'PIM Model'!$AD$24</f>
        <v/>
      </c>
      <c r="AD70" s="2024"/>
      <c r="AE70" s="2024" t="str">
        <f>'PIM Model'!$D$24</f>
        <v>%</v>
      </c>
      <c r="AF70" s="2024"/>
      <c r="AG70" s="2024" t="str">
        <f>'PIM Model'!$D$24</f>
        <v>%</v>
      </c>
      <c r="AH70" s="2024"/>
      <c r="AI70" s="2021" t="str">
        <f>'PIM Model'!$D$24</f>
        <v>%</v>
      </c>
      <c r="AJ70" s="2021"/>
      <c r="AK70" s="134"/>
      <c r="AL70" s="134"/>
      <c r="AM70" s="134"/>
      <c r="AN70" s="134"/>
      <c r="AO70" s="1885"/>
      <c r="AP70" s="1885"/>
      <c r="AQ70" s="1885"/>
      <c r="AR70" s="134"/>
      <c r="AS70" s="134"/>
      <c r="AT70" s="1885"/>
      <c r="AU70" s="1885"/>
      <c r="AV70" s="1885"/>
      <c r="AW70" s="134"/>
      <c r="AX70" s="134"/>
      <c r="AY70" s="1885"/>
      <c r="AZ70" s="1885"/>
      <c r="BA70" s="1885"/>
      <c r="BB70" s="134"/>
      <c r="BC70" s="134"/>
      <c r="BD70" s="1885"/>
      <c r="BE70" s="1885"/>
      <c r="BF70" s="2045"/>
    </row>
    <row r="71" spans="2:70" x14ac:dyDescent="0.25">
      <c r="B71" s="137"/>
      <c r="C71" s="1834" t="s">
        <v>90</v>
      </c>
      <c r="D71" s="1834"/>
      <c r="E71" s="1834"/>
      <c r="F71" s="1834"/>
      <c r="G71" s="1834"/>
      <c r="H71" s="1834"/>
      <c r="I71" s="1834"/>
      <c r="J71" s="1834"/>
      <c r="K71" s="1834"/>
      <c r="L71" s="1834"/>
      <c r="M71" s="1834"/>
      <c r="N71" s="1834"/>
      <c r="O71" s="1834"/>
      <c r="P71" s="1834"/>
      <c r="Q71" s="1834"/>
      <c r="R71" s="1834"/>
      <c r="S71" s="1834"/>
      <c r="T71" s="1834"/>
      <c r="U71" s="1834"/>
      <c r="V71" s="1834"/>
      <c r="W71" s="1834"/>
      <c r="X71" s="1834"/>
      <c r="Y71" s="1834"/>
      <c r="Z71" s="1834"/>
      <c r="AC71" s="2024" t="str">
        <f>'PIM Model'!$AD$25</f>
        <v/>
      </c>
      <c r="AD71" s="2024"/>
      <c r="AE71" s="2024" t="str">
        <f>'PIM Model'!$D$25</f>
        <v>%</v>
      </c>
      <c r="AF71" s="2024"/>
      <c r="AG71" s="2024" t="str">
        <f>'PIM Model'!$D$25</f>
        <v>%</v>
      </c>
      <c r="AH71" s="2024"/>
      <c r="AI71" s="2021" t="str">
        <f>'PIM Model'!$D$25</f>
        <v>%</v>
      </c>
      <c r="AJ71" s="2021"/>
      <c r="AK71" s="134"/>
      <c r="AL71" s="134"/>
      <c r="AM71" s="134"/>
      <c r="AN71" s="134"/>
      <c r="AO71" s="1885"/>
      <c r="AP71" s="1885"/>
      <c r="AQ71" s="1885"/>
      <c r="AR71" s="134"/>
      <c r="AS71" s="134"/>
      <c r="AT71" s="1885"/>
      <c r="AU71" s="1885"/>
      <c r="AV71" s="1885"/>
      <c r="AW71" s="134"/>
      <c r="AX71" s="134"/>
      <c r="AY71" s="1885"/>
      <c r="AZ71" s="1885"/>
      <c r="BA71" s="1885"/>
      <c r="BB71" s="134"/>
      <c r="BC71" s="134"/>
      <c r="BD71" s="1885"/>
      <c r="BE71" s="1885"/>
      <c r="BF71" s="2045"/>
    </row>
    <row r="72" spans="2:70" x14ac:dyDescent="0.25">
      <c r="B72" s="137"/>
      <c r="C72" s="1834" t="s">
        <v>89</v>
      </c>
      <c r="D72" s="1834"/>
      <c r="E72" s="1834"/>
      <c r="F72" s="1834"/>
      <c r="G72" s="1834"/>
      <c r="H72" s="1834"/>
      <c r="I72" s="1834"/>
      <c r="J72" s="1834"/>
      <c r="K72" s="1834"/>
      <c r="L72" s="1834"/>
      <c r="M72" s="1834"/>
      <c r="N72" s="1834"/>
      <c r="O72" s="1834"/>
      <c r="P72" s="1834"/>
      <c r="Q72" s="1834"/>
      <c r="R72" s="1834"/>
      <c r="S72" s="1834"/>
      <c r="T72" s="1834"/>
      <c r="U72" s="1834"/>
      <c r="V72" s="1834"/>
      <c r="W72" s="1834"/>
      <c r="X72" s="1834"/>
      <c r="Y72" s="1834"/>
      <c r="Z72" s="1834"/>
      <c r="AC72" s="2024" t="str">
        <f>'PIM Model'!$AD$26</f>
        <v/>
      </c>
      <c r="AD72" s="2024"/>
      <c r="AE72" s="2024" t="str">
        <f>'PIM Model'!$D$26</f>
        <v>%</v>
      </c>
      <c r="AF72" s="2024"/>
      <c r="AG72" s="2024" t="str">
        <f>'PIM Model'!$D$26</f>
        <v>%</v>
      </c>
      <c r="AH72" s="2024"/>
      <c r="AI72" s="2021" t="str">
        <f>'PIM Model'!$D$26</f>
        <v>%</v>
      </c>
      <c r="AJ72" s="2021"/>
      <c r="AK72" s="134"/>
      <c r="AL72" s="134"/>
      <c r="AM72" s="134"/>
      <c r="AN72" s="134"/>
      <c r="AO72" s="1885"/>
      <c r="AP72" s="1885"/>
      <c r="AQ72" s="1885"/>
      <c r="AR72" s="134"/>
      <c r="AS72" s="134"/>
      <c r="AT72" s="1885"/>
      <c r="AU72" s="1885"/>
      <c r="AV72" s="1885"/>
      <c r="AW72" s="134"/>
      <c r="AX72" s="134"/>
      <c r="AY72" s="1885"/>
      <c r="AZ72" s="1885"/>
      <c r="BA72" s="1885"/>
      <c r="BB72" s="134"/>
      <c r="BC72" s="134"/>
      <c r="BD72" s="1885"/>
      <c r="BE72" s="1885"/>
      <c r="BF72" s="2045"/>
    </row>
    <row r="73" spans="2:70" x14ac:dyDescent="0.25">
      <c r="B73" s="137"/>
      <c r="C73" s="1834" t="s">
        <v>88</v>
      </c>
      <c r="D73" s="1834"/>
      <c r="E73" s="1834"/>
      <c r="F73" s="1834"/>
      <c r="G73" s="1834"/>
      <c r="H73" s="1834"/>
      <c r="I73" s="1834"/>
      <c r="J73" s="1834"/>
      <c r="K73" s="1834"/>
      <c r="L73" s="1834"/>
      <c r="M73" s="1834"/>
      <c r="N73" s="1834"/>
      <c r="O73" s="1834"/>
      <c r="P73" s="1834"/>
      <c r="Q73" s="1834"/>
      <c r="R73" s="1834"/>
      <c r="S73" s="1834"/>
      <c r="T73" s="1834"/>
      <c r="U73" s="1834"/>
      <c r="V73" s="1834"/>
      <c r="W73" s="1834"/>
      <c r="X73" s="1834"/>
      <c r="Y73" s="1834"/>
      <c r="Z73" s="1834"/>
      <c r="AC73" s="2024" t="str">
        <f>'PIM Model'!$AD$29</f>
        <v/>
      </c>
      <c r="AD73" s="2024"/>
      <c r="AE73" s="2024" t="str">
        <f>'PIM Model'!$D$29</f>
        <v>%</v>
      </c>
      <c r="AF73" s="2024"/>
      <c r="AG73" s="2024" t="str">
        <f>'PIM Model'!$D$29</f>
        <v>%</v>
      </c>
      <c r="AH73" s="2024"/>
      <c r="AI73" s="2021" t="str">
        <f>'PIM Model'!$D$29</f>
        <v>%</v>
      </c>
      <c r="AJ73" s="2021"/>
      <c r="AK73" s="134"/>
      <c r="AL73" s="134"/>
      <c r="AM73" s="134"/>
      <c r="AN73" s="134"/>
      <c r="AO73" s="1885"/>
      <c r="AP73" s="1885"/>
      <c r="AQ73" s="1885"/>
      <c r="AR73" s="134"/>
      <c r="AS73" s="134"/>
      <c r="AT73" s="1885"/>
      <c r="AU73" s="1885"/>
      <c r="AV73" s="1885"/>
      <c r="AW73" s="134"/>
      <c r="AX73" s="134"/>
      <c r="AY73" s="1885"/>
      <c r="AZ73" s="1885"/>
      <c r="BA73" s="1885"/>
      <c r="BB73" s="134"/>
      <c r="BC73" s="134"/>
      <c r="BD73" s="1885"/>
      <c r="BE73" s="1885"/>
      <c r="BF73" s="2045"/>
    </row>
    <row r="74" spans="2:70" x14ac:dyDescent="0.25">
      <c r="B74" s="137"/>
      <c r="C74" s="1834" t="s">
        <v>87</v>
      </c>
      <c r="D74" s="1834"/>
      <c r="E74" s="1834"/>
      <c r="F74" s="1834"/>
      <c r="G74" s="1834"/>
      <c r="H74" s="1834"/>
      <c r="I74" s="1834"/>
      <c r="J74" s="1834"/>
      <c r="K74" s="1834"/>
      <c r="L74" s="1834"/>
      <c r="M74" s="1834"/>
      <c r="N74" s="1834"/>
      <c r="O74" s="1834"/>
      <c r="P74" s="1834"/>
      <c r="Q74" s="1834"/>
      <c r="R74" s="1834"/>
      <c r="S74" s="1834"/>
      <c r="T74" s="1834"/>
      <c r="U74" s="1834"/>
      <c r="V74" s="1834"/>
      <c r="W74" s="1834"/>
      <c r="X74" s="1834"/>
      <c r="Y74" s="1834"/>
      <c r="Z74" s="1834"/>
      <c r="AC74" s="2024" t="str">
        <f>'PIM Model'!$AD$30</f>
        <v/>
      </c>
      <c r="AD74" s="2024"/>
      <c r="AE74" s="2024" t="str">
        <f>'PIM Model'!$D$30</f>
        <v>%</v>
      </c>
      <c r="AF74" s="2024"/>
      <c r="AG74" s="2024" t="str">
        <f>'PIM Model'!$D$30</f>
        <v>%</v>
      </c>
      <c r="AH74" s="2024"/>
      <c r="AI74" s="2021" t="str">
        <f>'PIM Model'!$D$30</f>
        <v>%</v>
      </c>
      <c r="AJ74" s="2021"/>
      <c r="AK74" s="134"/>
      <c r="AL74" s="134"/>
      <c r="AM74" s="134"/>
      <c r="AN74" s="134"/>
      <c r="AO74" s="1885"/>
      <c r="AP74" s="1885"/>
      <c r="AQ74" s="1885"/>
      <c r="AR74" s="134"/>
      <c r="AS74" s="134"/>
      <c r="AT74" s="1885"/>
      <c r="AU74" s="1885"/>
      <c r="AV74" s="1885"/>
      <c r="AW74" s="134"/>
      <c r="AX74" s="134"/>
      <c r="AY74" s="1885"/>
      <c r="AZ74" s="1885"/>
      <c r="BA74" s="1885"/>
      <c r="BB74" s="134"/>
      <c r="BC74" s="134"/>
      <c r="BD74" s="1885"/>
      <c r="BE74" s="1885"/>
      <c r="BF74" s="2045"/>
    </row>
    <row r="75" spans="2:70" x14ac:dyDescent="0.25">
      <c r="B75" s="137"/>
      <c r="C75" s="1834" t="s">
        <v>86</v>
      </c>
      <c r="D75" s="1834"/>
      <c r="E75" s="1834"/>
      <c r="F75" s="1834"/>
      <c r="G75" s="1834"/>
      <c r="H75" s="1834"/>
      <c r="I75" s="1834"/>
      <c r="J75" s="1834"/>
      <c r="K75" s="1834"/>
      <c r="L75" s="1834"/>
      <c r="M75" s="1834"/>
      <c r="N75" s="1834"/>
      <c r="O75" s="1834"/>
      <c r="P75" s="1834"/>
      <c r="Q75" s="1834"/>
      <c r="R75" s="1834"/>
      <c r="S75" s="1834"/>
      <c r="T75" s="1834"/>
      <c r="U75" s="1834"/>
      <c r="V75" s="1834"/>
      <c r="W75" s="1834"/>
      <c r="X75" s="1834"/>
      <c r="Y75" s="1834"/>
      <c r="Z75" s="1834"/>
      <c r="AC75" s="2024" t="str">
        <f>'PIM Model'!$AD$28</f>
        <v/>
      </c>
      <c r="AD75" s="2024"/>
      <c r="AE75" s="2024" t="str">
        <f>'PIM Model'!$D$28</f>
        <v>%</v>
      </c>
      <c r="AF75" s="2024"/>
      <c r="AG75" s="2024" t="str">
        <f>'PIM Model'!$D$28</f>
        <v>%</v>
      </c>
      <c r="AH75" s="2024"/>
      <c r="AI75" s="2021" t="str">
        <f>'PIM Model'!$D$28</f>
        <v>%</v>
      </c>
      <c r="AJ75" s="2021"/>
      <c r="BF75" s="138"/>
    </row>
    <row r="76" spans="2:70" x14ac:dyDescent="0.25">
      <c r="B76" s="137"/>
      <c r="C76" s="1834" t="s">
        <v>105</v>
      </c>
      <c r="D76" s="1834"/>
      <c r="E76" s="1834"/>
      <c r="F76" s="1834"/>
      <c r="G76" s="1834"/>
      <c r="H76" s="1834"/>
      <c r="I76" s="1834"/>
      <c r="J76" s="1834"/>
      <c r="K76" s="1834"/>
      <c r="L76" s="1834"/>
      <c r="M76" s="1834"/>
      <c r="N76" s="1834"/>
      <c r="O76" s="1834"/>
      <c r="P76" s="1834"/>
      <c r="Q76" s="1834"/>
      <c r="R76" s="1834"/>
      <c r="S76" s="1834"/>
      <c r="T76" s="1834"/>
      <c r="U76" s="1834"/>
      <c r="V76" s="1834"/>
      <c r="W76" s="1834"/>
      <c r="X76" s="1834"/>
      <c r="Y76" s="1834"/>
      <c r="Z76" s="1834"/>
      <c r="AC76" s="2024" t="str">
        <f>'PIM Model'!$AD$22</f>
        <v/>
      </c>
      <c r="AD76" s="2024"/>
      <c r="AE76" s="2024" t="str">
        <f>'PIM Model'!$D$22</f>
        <v>%</v>
      </c>
      <c r="AF76" s="2024"/>
      <c r="AG76" s="2024" t="str">
        <f>'PIM Model'!$D$22</f>
        <v>%</v>
      </c>
      <c r="AH76" s="2024"/>
      <c r="AI76" s="2021" t="str">
        <f>'PIM Model'!$D$22</f>
        <v>%</v>
      </c>
      <c r="AJ76" s="2021"/>
      <c r="BF76" s="138"/>
    </row>
    <row r="77" spans="2:70" x14ac:dyDescent="0.25">
      <c r="B77" s="577"/>
      <c r="C77" s="2052" t="s">
        <v>719</v>
      </c>
      <c r="D77" s="2052"/>
      <c r="E77" s="2052"/>
      <c r="F77" s="2052"/>
      <c r="G77" s="2052"/>
      <c r="H77" s="2052"/>
      <c r="I77" s="2052"/>
      <c r="J77" s="2052"/>
      <c r="K77" s="2052"/>
      <c r="L77" s="2052"/>
      <c r="M77" s="2052"/>
      <c r="N77" s="2052"/>
      <c r="O77" s="2052"/>
      <c r="P77" s="2052"/>
      <c r="Q77" s="2052"/>
      <c r="R77" s="2052"/>
      <c r="S77" s="2052"/>
      <c r="T77" s="2052"/>
      <c r="U77" s="2052"/>
      <c r="V77" s="2052"/>
      <c r="W77" s="2052"/>
      <c r="X77" s="2052"/>
      <c r="Y77" s="2052"/>
      <c r="Z77" s="2052"/>
      <c r="AC77" s="2024" t="str">
        <f>'PIM Model'!$AD$12</f>
        <v/>
      </c>
      <c r="AD77" s="2024"/>
      <c r="AE77" s="2024" t="str">
        <f>'PIM Model'!$D$12</f>
        <v>%</v>
      </c>
      <c r="AF77" s="2024"/>
      <c r="AG77" s="2024" t="str">
        <f>'PIM Model'!$D$12</f>
        <v>%</v>
      </c>
      <c r="AH77" s="2024"/>
      <c r="AI77" s="2021" t="str">
        <f>'PIM Model'!$D$12</f>
        <v>%</v>
      </c>
      <c r="AJ77" s="2021"/>
      <c r="BF77" s="138"/>
    </row>
    <row r="78" spans="2:70" x14ac:dyDescent="0.25">
      <c r="B78" s="137"/>
      <c r="C78" s="2052" t="s">
        <v>720</v>
      </c>
      <c r="D78" s="2052"/>
      <c r="E78" s="2052"/>
      <c r="F78" s="2052"/>
      <c r="G78" s="2052"/>
      <c r="H78" s="2052"/>
      <c r="I78" s="2052"/>
      <c r="J78" s="2052"/>
      <c r="K78" s="2052"/>
      <c r="L78" s="2052"/>
      <c r="M78" s="2052"/>
      <c r="N78" s="2052"/>
      <c r="O78" s="2052"/>
      <c r="P78" s="2052"/>
      <c r="Q78" s="2052"/>
      <c r="R78" s="2052"/>
      <c r="S78" s="2052"/>
      <c r="T78" s="2052"/>
      <c r="U78" s="2052"/>
      <c r="V78" s="2052"/>
      <c r="W78" s="2052"/>
      <c r="X78" s="2052"/>
      <c r="Y78" s="2052"/>
      <c r="Z78" s="2052"/>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2021" t="s">
        <v>687</v>
      </c>
      <c r="E81" s="2021"/>
      <c r="F81" s="2021"/>
      <c r="G81" s="2021"/>
      <c r="H81" s="2021"/>
      <c r="I81" s="2021"/>
      <c r="J81" s="2021"/>
      <c r="K81" s="2021"/>
      <c r="L81" s="2021"/>
      <c r="M81" s="2021"/>
      <c r="N81" s="2021"/>
      <c r="O81" s="2021"/>
      <c r="P81" s="2021"/>
      <c r="Q81" s="2021"/>
      <c r="R81" s="2021"/>
      <c r="S81" s="2021"/>
      <c r="T81" s="2021"/>
      <c r="U81" s="2021"/>
      <c r="V81" s="2021"/>
      <c r="W81" s="2021"/>
      <c r="X81" s="2021"/>
      <c r="Y81" s="2021"/>
      <c r="Z81" s="2021"/>
      <c r="AA81" s="2021"/>
      <c r="AB81" s="2021"/>
      <c r="AC81" s="2021"/>
      <c r="AD81" s="2021"/>
      <c r="AE81" s="2021"/>
      <c r="AF81" s="2021"/>
      <c r="AG81" s="2021"/>
      <c r="AH81" s="2021"/>
      <c r="AI81" s="2021"/>
      <c r="AJ81" s="2021"/>
      <c r="AK81" s="2021"/>
      <c r="AL81" s="2021"/>
      <c r="AM81" s="2021"/>
      <c r="AN81" s="2021"/>
      <c r="AO81" s="2021"/>
      <c r="AP81" s="2021"/>
      <c r="AQ81" s="2021"/>
      <c r="AR81" s="2021"/>
      <c r="AS81" s="2021"/>
      <c r="AT81" s="2021"/>
      <c r="AU81" s="2021"/>
      <c r="AV81" s="2021"/>
      <c r="AW81" s="2021"/>
      <c r="AX81" s="2021"/>
      <c r="AY81" s="2021"/>
      <c r="AZ81" s="2021"/>
      <c r="BA81" s="2021"/>
      <c r="BB81" s="2021"/>
      <c r="BC81" s="2021"/>
      <c r="BD81" s="2021"/>
      <c r="BF81" s="138"/>
    </row>
    <row r="82" spans="1:70" x14ac:dyDescent="0.25">
      <c r="B82" s="137"/>
      <c r="D82" s="2025" t="s">
        <v>239</v>
      </c>
      <c r="E82" s="2025"/>
      <c r="F82" s="2021" t="s">
        <v>686</v>
      </c>
      <c r="G82" s="2021"/>
      <c r="H82" s="2021"/>
      <c r="I82" s="2021"/>
      <c r="J82" s="2021"/>
      <c r="K82" s="2021"/>
      <c r="L82" s="2021"/>
      <c r="M82" s="2021"/>
      <c r="N82" s="2021"/>
      <c r="O82" s="2021"/>
      <c r="P82" s="2021"/>
      <c r="Q82" s="2021"/>
      <c r="R82" s="2021"/>
      <c r="S82" s="2021"/>
      <c r="T82" s="2021"/>
      <c r="U82" s="2021"/>
      <c r="V82" s="2021"/>
      <c r="W82" s="2021"/>
      <c r="X82" s="2021"/>
      <c r="Y82" s="2021"/>
      <c r="Z82" s="2021"/>
      <c r="AA82" s="2021"/>
      <c r="AB82" s="2021"/>
      <c r="AC82" s="2021"/>
      <c r="AD82" s="2021"/>
      <c r="AE82" s="2021"/>
      <c r="AF82" s="2021"/>
      <c r="AG82" s="2021"/>
      <c r="AH82" s="2021"/>
      <c r="AI82" s="2021"/>
      <c r="AJ82" s="2021"/>
      <c r="AK82" s="2021"/>
      <c r="AL82" s="2021"/>
      <c r="AM82" s="2021"/>
      <c r="AN82" s="2021"/>
      <c r="AO82" s="2021"/>
      <c r="AP82" s="2021"/>
      <c r="AQ82" s="2021"/>
      <c r="AR82" s="2021"/>
      <c r="AS82" s="2021"/>
      <c r="AT82" s="2021"/>
      <c r="AU82" s="2021"/>
      <c r="AV82" s="2021"/>
      <c r="AW82" s="2021"/>
      <c r="AX82" s="2021"/>
      <c r="AY82" s="2021"/>
      <c r="AZ82" s="2021"/>
      <c r="BA82" s="2021"/>
      <c r="BB82" s="2021"/>
      <c r="BC82" s="2021"/>
      <c r="BD82" s="2021"/>
      <c r="BF82" s="138"/>
    </row>
    <row r="83" spans="1:70" x14ac:dyDescent="0.25">
      <c r="B83" s="137"/>
      <c r="D83" s="2023"/>
      <c r="E83" s="2023"/>
      <c r="F83" s="2021" t="s">
        <v>685</v>
      </c>
      <c r="G83" s="2021"/>
      <c r="H83" s="2021"/>
      <c r="I83" s="2021"/>
      <c r="J83" s="2021"/>
      <c r="K83" s="2021"/>
      <c r="L83" s="2021"/>
      <c r="M83" s="2021"/>
      <c r="N83" s="2021"/>
      <c r="O83" s="2021"/>
      <c r="P83" s="2021"/>
      <c r="Q83" s="2021"/>
      <c r="R83" s="2021"/>
      <c r="S83" s="2021"/>
      <c r="T83" s="2021"/>
      <c r="U83" s="2021"/>
      <c r="V83" s="2021"/>
      <c r="W83" s="2021"/>
      <c r="X83" s="2021"/>
      <c r="Y83" s="2021"/>
      <c r="Z83" s="2021"/>
      <c r="AA83" s="2021"/>
      <c r="AB83" s="2021"/>
      <c r="AC83" s="2021"/>
      <c r="AD83" s="2021"/>
      <c r="AE83" s="2021"/>
      <c r="AF83" s="2021"/>
      <c r="AG83" s="2021"/>
      <c r="AH83" s="2021"/>
      <c r="AI83" s="2021"/>
      <c r="AJ83" s="2021"/>
      <c r="AK83" s="2021"/>
      <c r="AL83" s="2021"/>
      <c r="AM83" s="2021"/>
      <c r="AN83" s="2021"/>
      <c r="AO83" s="2021"/>
      <c r="AP83" s="2021"/>
      <c r="AQ83" s="2021"/>
      <c r="AR83" s="2021"/>
      <c r="AS83" s="2021"/>
      <c r="AT83" s="2021"/>
      <c r="AU83" s="2021"/>
      <c r="AV83" s="2021"/>
      <c r="AW83" s="2021"/>
      <c r="AX83" s="2021"/>
      <c r="AY83" s="2021"/>
      <c r="AZ83" s="2021"/>
      <c r="BA83" s="2021"/>
      <c r="BB83" s="2021"/>
      <c r="BC83" s="2021"/>
      <c r="BD83" s="2021"/>
      <c r="BF83" s="138"/>
    </row>
    <row r="84" spans="1:70" x14ac:dyDescent="0.25">
      <c r="A84" s="269"/>
      <c r="B84" s="137"/>
      <c r="D84" s="2023"/>
      <c r="E84" s="2023"/>
      <c r="F84" s="2021" t="s">
        <v>684</v>
      </c>
      <c r="G84" s="2021"/>
      <c r="H84" s="2021"/>
      <c r="I84" s="2021"/>
      <c r="J84" s="2021"/>
      <c r="K84" s="2021"/>
      <c r="L84" s="2021"/>
      <c r="M84" s="2021"/>
      <c r="N84" s="2021"/>
      <c r="O84" s="2021"/>
      <c r="P84" s="2021"/>
      <c r="Q84" s="2021"/>
      <c r="R84" s="2021"/>
      <c r="S84" s="2021"/>
      <c r="T84" s="2021"/>
      <c r="U84" s="2021"/>
      <c r="V84" s="2021"/>
      <c r="W84" s="2021"/>
      <c r="X84" s="2021"/>
      <c r="Y84" s="2021"/>
      <c r="Z84" s="2021"/>
      <c r="AA84" s="2021"/>
      <c r="AB84" s="2021"/>
      <c r="AC84" s="2021"/>
      <c r="AD84" s="2021"/>
      <c r="AE84" s="2021"/>
      <c r="AF84" s="2021"/>
      <c r="AG84" s="2021"/>
      <c r="AH84" s="2021"/>
      <c r="AI84" s="2021"/>
      <c r="AJ84" s="2021"/>
      <c r="AK84" s="2021"/>
      <c r="AL84" s="2021"/>
      <c r="AM84" s="2021"/>
      <c r="AN84" s="2021"/>
      <c r="AO84" s="2021"/>
      <c r="AP84" s="2021"/>
      <c r="AQ84" s="2021"/>
      <c r="AR84" s="2021"/>
      <c r="AS84" s="2021"/>
      <c r="AT84" s="2021"/>
      <c r="AU84" s="2021"/>
      <c r="AV84" s="2021"/>
      <c r="AW84" s="2021"/>
      <c r="AX84" s="2021"/>
      <c r="AY84" s="2021"/>
      <c r="AZ84" s="2021"/>
      <c r="BA84" s="2021"/>
      <c r="BB84" s="2021"/>
      <c r="BC84" s="2021"/>
      <c r="BD84" s="2021"/>
      <c r="BF84" s="138"/>
    </row>
    <row r="85" spans="1:70" x14ac:dyDescent="0.25">
      <c r="B85" s="137"/>
      <c r="BF85" s="138"/>
    </row>
    <row r="86" spans="1:70" x14ac:dyDescent="0.25">
      <c r="B86" s="137"/>
      <c r="D86" s="2021" t="s">
        <v>683</v>
      </c>
      <c r="E86" s="2021"/>
      <c r="F86" s="2021"/>
      <c r="G86" s="2021"/>
      <c r="H86" s="2021"/>
      <c r="I86" s="2021"/>
      <c r="J86" s="2021"/>
      <c r="K86" s="2021"/>
      <c r="L86" s="2021"/>
      <c r="M86" s="2021"/>
      <c r="N86" s="2021"/>
      <c r="O86" s="2021"/>
      <c r="P86" s="2021"/>
      <c r="Q86" s="2021"/>
      <c r="R86" s="2021"/>
      <c r="S86" s="2021"/>
      <c r="T86" s="2021"/>
      <c r="U86" s="2021"/>
      <c r="V86" s="2021"/>
      <c r="W86" s="2021"/>
      <c r="X86" s="2021"/>
      <c r="Y86" s="2021"/>
      <c r="Z86" s="2021"/>
      <c r="AA86" s="2021"/>
      <c r="AB86" s="2021"/>
      <c r="AC86" s="2021"/>
      <c r="AD86" s="2021"/>
      <c r="AE86" s="2021"/>
      <c r="AF86" s="2021"/>
      <c r="AG86" s="2021"/>
      <c r="AH86" s="2021"/>
      <c r="AI86" s="2021"/>
      <c r="AJ86" s="2021"/>
      <c r="AK86" s="2021"/>
      <c r="AL86" s="2021"/>
      <c r="AM86" s="2021"/>
      <c r="AN86" s="2021"/>
      <c r="AO86" s="2021"/>
      <c r="AP86" s="2021"/>
      <c r="AQ86" s="2021"/>
      <c r="AR86" s="2021"/>
      <c r="AS86" s="2021"/>
      <c r="AT86" s="2021"/>
      <c r="AU86" s="2021"/>
      <c r="AV86" s="2021"/>
      <c r="AW86" s="2021"/>
      <c r="AX86" s="2021"/>
      <c r="AY86" s="2021"/>
      <c r="AZ86" s="2021"/>
      <c r="BA86" s="2021"/>
      <c r="BB86" s="2021"/>
      <c r="BC86" s="2021"/>
      <c r="BD86" s="2021"/>
      <c r="BF86" s="138"/>
    </row>
    <row r="87" spans="1:70" x14ac:dyDescent="0.25">
      <c r="B87" s="137"/>
      <c r="D87" s="2025" t="s">
        <v>239</v>
      </c>
      <c r="E87" s="2025"/>
      <c r="F87" s="2021" t="s">
        <v>682</v>
      </c>
      <c r="G87" s="2021"/>
      <c r="H87" s="2021"/>
      <c r="I87" s="2021"/>
      <c r="J87" s="2021"/>
      <c r="K87" s="2021"/>
      <c r="L87" s="2021"/>
      <c r="M87" s="2021"/>
      <c r="N87" s="2021"/>
      <c r="O87" s="2021"/>
      <c r="P87" s="2021"/>
      <c r="Q87" s="2021"/>
      <c r="R87" s="2021"/>
      <c r="S87" s="2021"/>
      <c r="T87" s="2021"/>
      <c r="U87" s="2021"/>
      <c r="V87" s="2021"/>
      <c r="W87" s="2021"/>
      <c r="X87" s="2021"/>
      <c r="Y87" s="2021"/>
      <c r="Z87" s="2021"/>
      <c r="AA87" s="2021"/>
      <c r="AB87" s="2021"/>
      <c r="AC87" s="2021"/>
      <c r="AD87" s="2021"/>
      <c r="AE87" s="2021"/>
      <c r="AF87" s="2021"/>
      <c r="AG87" s="2021"/>
      <c r="AH87" s="2021"/>
      <c r="AI87" s="2021"/>
      <c r="AJ87" s="2021"/>
      <c r="AK87" s="2021"/>
      <c r="AL87" s="2021"/>
      <c r="AM87" s="2021"/>
      <c r="AN87" s="2021"/>
      <c r="AO87" s="2021"/>
      <c r="AP87" s="2021"/>
      <c r="AQ87" s="2021"/>
      <c r="AR87" s="2021"/>
      <c r="AS87" s="2021"/>
      <c r="AT87" s="2021"/>
      <c r="AU87" s="2021"/>
      <c r="AV87" s="2021"/>
      <c r="AW87" s="2021"/>
      <c r="AX87" s="2021"/>
      <c r="AY87" s="2021"/>
      <c r="AZ87" s="2021"/>
      <c r="BA87" s="2021"/>
      <c r="BB87" s="2021"/>
      <c r="BC87" s="2021"/>
      <c r="BD87" s="2021"/>
      <c r="BF87" s="138"/>
    </row>
    <row r="88" spans="1:70" x14ac:dyDescent="0.25">
      <c r="B88" s="137"/>
      <c r="D88" s="2023"/>
      <c r="E88" s="2023"/>
      <c r="F88" s="2021" t="s">
        <v>681</v>
      </c>
      <c r="G88" s="2021"/>
      <c r="H88" s="2021"/>
      <c r="I88" s="2021"/>
      <c r="J88" s="2021"/>
      <c r="K88" s="2021"/>
      <c r="L88" s="2021"/>
      <c r="M88" s="2021"/>
      <c r="N88" s="2021"/>
      <c r="O88" s="2021"/>
      <c r="P88" s="2021"/>
      <c r="Q88" s="2021"/>
      <c r="R88" s="2021"/>
      <c r="S88" s="2021"/>
      <c r="T88" s="2021"/>
      <c r="U88" s="2021"/>
      <c r="V88" s="2021"/>
      <c r="W88" s="2021"/>
      <c r="X88" s="2021"/>
      <c r="Y88" s="2021"/>
      <c r="Z88" s="2021"/>
      <c r="AA88" s="2021"/>
      <c r="AB88" s="2021"/>
      <c r="AC88" s="2021"/>
      <c r="AD88" s="2021"/>
      <c r="AE88" s="2021"/>
      <c r="AF88" s="2021"/>
      <c r="AG88" s="2021"/>
      <c r="AH88" s="2021"/>
      <c r="AI88" s="2021"/>
      <c r="AJ88" s="2021"/>
      <c r="AK88" s="2021"/>
      <c r="AL88" s="2021"/>
      <c r="AM88" s="2021"/>
      <c r="AN88" s="2021"/>
      <c r="AO88" s="2021"/>
      <c r="AP88" s="2021"/>
      <c r="AQ88" s="2021"/>
      <c r="AR88" s="2021"/>
      <c r="AS88" s="2021"/>
      <c r="AT88" s="2021"/>
      <c r="AU88" s="2021"/>
      <c r="AV88" s="2021"/>
      <c r="AW88" s="2021"/>
      <c r="AX88" s="2021"/>
      <c r="AY88" s="2021"/>
      <c r="AZ88" s="2021"/>
      <c r="BA88" s="2021"/>
      <c r="BB88" s="2021"/>
      <c r="BC88" s="2021"/>
      <c r="BD88" s="202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79" t="s">
        <v>957</v>
      </c>
      <c r="C92" s="1980"/>
      <c r="D92" s="1980"/>
      <c r="E92" s="1980"/>
      <c r="F92" s="1980"/>
      <c r="G92" s="1980"/>
      <c r="H92" s="1980"/>
      <c r="I92" s="1980"/>
      <c r="J92" s="1980"/>
      <c r="K92" s="1980"/>
      <c r="L92" s="1980"/>
      <c r="M92" s="1980"/>
      <c r="N92" s="1980"/>
      <c r="O92" s="1980"/>
      <c r="P92" s="1980"/>
      <c r="Q92" s="1980"/>
      <c r="R92" s="1980"/>
      <c r="S92" s="1980"/>
      <c r="T92" s="1980"/>
      <c r="U92" s="1980"/>
      <c r="V92" s="1980"/>
      <c r="W92" s="1980"/>
      <c r="X92" s="1980"/>
      <c r="Y92" s="1980"/>
      <c r="Z92" s="1980"/>
      <c r="AA92" s="1980"/>
      <c r="AB92" s="1980"/>
      <c r="AC92" s="1980"/>
      <c r="AD92" s="1980"/>
      <c r="AE92" s="1980"/>
      <c r="AF92" s="1980"/>
      <c r="AG92" s="1980"/>
      <c r="AH92" s="1980"/>
      <c r="AI92" s="1980"/>
      <c r="AJ92" s="1980"/>
      <c r="AK92" s="1980"/>
      <c r="AL92" s="1980"/>
      <c r="AM92" s="1980"/>
      <c r="AN92" s="1980"/>
      <c r="AO92" s="1980"/>
      <c r="AP92" s="1980"/>
      <c r="AQ92" s="1980"/>
      <c r="AR92" s="1980"/>
      <c r="AS92" s="1980"/>
      <c r="AT92" s="1980"/>
      <c r="AU92" s="1980"/>
      <c r="AV92" s="1980"/>
      <c r="AW92" s="1980"/>
      <c r="AX92" s="1980"/>
      <c r="AY92" s="1980"/>
      <c r="AZ92" s="1980"/>
      <c r="BA92" s="1980"/>
      <c r="BB92" s="1980"/>
      <c r="BC92" s="1980"/>
      <c r="BD92" s="1980"/>
      <c r="BE92" s="1980"/>
      <c r="BF92" s="1981"/>
    </row>
    <row r="93" spans="1:70" ht="15.75" thickBot="1" x14ac:dyDescent="0.3">
      <c r="B93" s="137"/>
      <c r="BF93" s="138"/>
      <c r="BR93" s="262"/>
    </row>
    <row r="94" spans="1:70" ht="15.75" thickBot="1" x14ac:dyDescent="0.3">
      <c r="B94" s="137"/>
      <c r="D94" s="2016" t="s">
        <v>723</v>
      </c>
      <c r="E94" s="1986"/>
      <c r="F94" s="1986"/>
      <c r="G94" s="1986"/>
      <c r="H94" s="1986"/>
      <c r="I94" s="1986"/>
      <c r="J94" s="1986"/>
      <c r="K94" s="1985" t="s">
        <v>724</v>
      </c>
      <c r="L94" s="1986"/>
      <c r="M94" s="1986"/>
      <c r="N94" s="1986"/>
      <c r="O94" s="1986"/>
      <c r="P94" s="1986"/>
      <c r="Q94" s="1986"/>
      <c r="R94" s="1986"/>
      <c r="S94" s="1986"/>
      <c r="T94" s="1986"/>
      <c r="U94" s="1985" t="s">
        <v>767</v>
      </c>
      <c r="V94" s="1986"/>
      <c r="W94" s="1986"/>
      <c r="X94" s="1986"/>
      <c r="Y94" s="1986"/>
      <c r="Z94" s="1986"/>
      <c r="AA94" s="1986"/>
      <c r="AB94" s="1986"/>
      <c r="AC94" s="1986"/>
      <c r="AD94" s="1986"/>
      <c r="AE94" s="1986"/>
      <c r="AF94" s="1986"/>
      <c r="AG94" s="1986"/>
      <c r="AH94" s="1986"/>
      <c r="AI94" s="1986"/>
      <c r="AJ94" s="1985" t="s">
        <v>768</v>
      </c>
      <c r="AK94" s="1986"/>
      <c r="AL94" s="1986"/>
      <c r="AM94" s="1986"/>
      <c r="AN94" s="1986"/>
      <c r="AO94" s="1986"/>
      <c r="AP94" s="1986"/>
      <c r="AQ94" s="1986"/>
      <c r="AR94" s="1986"/>
      <c r="AS94" s="1986"/>
      <c r="AT94" s="1987"/>
      <c r="AU94" s="1985" t="s">
        <v>769</v>
      </c>
      <c r="AV94" s="1986"/>
      <c r="AW94" s="1986"/>
      <c r="AX94" s="1987"/>
      <c r="AY94" s="1985" t="s">
        <v>810</v>
      </c>
      <c r="AZ94" s="1986"/>
      <c r="BA94" s="1986"/>
      <c r="BB94" s="1986"/>
      <c r="BC94" s="1997"/>
      <c r="BF94" s="138"/>
    </row>
    <row r="95" spans="1:70" x14ac:dyDescent="0.25">
      <c r="B95" s="137"/>
      <c r="C95" s="536">
        <v>1</v>
      </c>
      <c r="D95" s="2015">
        <f>'Customer Inputs'!$B$6</f>
        <v>0</v>
      </c>
      <c r="E95" s="2015"/>
      <c r="F95" s="2015"/>
      <c r="G95" s="2015"/>
      <c r="H95" s="2015"/>
      <c r="I95" s="2015"/>
      <c r="J95" s="2015"/>
      <c r="K95" s="2002" t="str">
        <f>IFERROR(IFERROR('Multi-Customer'!$BK$39,VLOOKUP($D95,'Required Info to Submit'!$E$23:$J$32,2,FALSE)),"")</f>
        <v/>
      </c>
      <c r="L95" s="2002"/>
      <c r="M95" s="2002"/>
      <c r="N95" s="2002"/>
      <c r="O95" s="2002"/>
      <c r="P95" s="2002"/>
      <c r="Q95" s="2002"/>
      <c r="R95" s="2002"/>
      <c r="S95" s="2002"/>
      <c r="T95" s="2002"/>
      <c r="U95" s="2002" t="str">
        <f>IFERROR(IFERROR('Multi-Customer'!$BK$41&amp;" "&amp;'Multi-Customer'!$BK$42,VLOOKUP($D95,'Required Info to Submit'!$E$23:$J$32,3,FALSE)),"")</f>
        <v/>
      </c>
      <c r="V95" s="2002"/>
      <c r="W95" s="2002"/>
      <c r="X95" s="2002"/>
      <c r="Y95" s="2002"/>
      <c r="Z95" s="2002"/>
      <c r="AA95" s="2002"/>
      <c r="AB95" s="2002"/>
      <c r="AC95" s="2002"/>
      <c r="AD95" s="2002"/>
      <c r="AE95" s="2002"/>
      <c r="AF95" s="2002"/>
      <c r="AG95" s="2002"/>
      <c r="AH95" s="2002"/>
      <c r="AI95" s="2002"/>
      <c r="AJ95" s="2009" t="str">
        <f>IFERROR(IFERROR('Multi-Customer'!$BK$43,VLOOKUP($D95,'Required Info to Submit'!$E$23:$J$32,4,FALSE)),"")</f>
        <v/>
      </c>
      <c r="AK95" s="2010"/>
      <c r="AL95" s="2010"/>
      <c r="AM95" s="2010"/>
      <c r="AN95" s="2010"/>
      <c r="AO95" s="2010"/>
      <c r="AP95" s="2010"/>
      <c r="AQ95" s="2010"/>
      <c r="AR95" s="2010"/>
      <c r="AS95" s="2010"/>
      <c r="AT95" s="2011"/>
      <c r="AU95" s="1982" t="str">
        <f>IFERROR(IFERROR('Multi-Customer'!$BK$44,VLOOKUP($D95,'Required Info to Submit'!$E$23:$J$32,5,FALSE)),"")</f>
        <v/>
      </c>
      <c r="AV95" s="1983"/>
      <c r="AW95" s="1983"/>
      <c r="AX95" s="1984"/>
      <c r="AY95" s="1994" t="str">
        <f>IFERROR(IFERROR('Multi-Customer'!$BK$45,VLOOKUP($D95,'Required Info to Submit'!$E$23:$J$32,6,FALSE)),"")</f>
        <v/>
      </c>
      <c r="AZ95" s="1995"/>
      <c r="BA95" s="1995"/>
      <c r="BB95" s="1995"/>
      <c r="BC95" s="1996"/>
      <c r="BF95" s="138"/>
    </row>
    <row r="96" spans="1:70" x14ac:dyDescent="0.25">
      <c r="B96" s="137"/>
      <c r="C96" s="537">
        <v>2</v>
      </c>
      <c r="D96" s="2014">
        <f>'Customer Inputs'!$B$7</f>
        <v>0</v>
      </c>
      <c r="E96" s="2014"/>
      <c r="F96" s="2014"/>
      <c r="G96" s="2014"/>
      <c r="H96" s="2014"/>
      <c r="I96" s="2014"/>
      <c r="J96" s="2014"/>
      <c r="K96" s="2001" t="str">
        <f>IFERROR(IFERROR('Multi-Customer'!$CH$39,VLOOKUP($D96,'Required Info to Submit'!$E$23:$J$32,2,FALSE)),"")</f>
        <v/>
      </c>
      <c r="L96" s="2001"/>
      <c r="M96" s="2001"/>
      <c r="N96" s="2001"/>
      <c r="O96" s="2001"/>
      <c r="P96" s="2001"/>
      <c r="Q96" s="2001"/>
      <c r="R96" s="2001"/>
      <c r="S96" s="2001"/>
      <c r="T96" s="2001"/>
      <c r="U96" s="2001" t="str">
        <f>IFERROR(IFERROR('Multi-Customer'!$CH$41&amp;" "&amp;'Multi-Customer'!$CH$42,VLOOKUP($D96,'Required Info to Submit'!$E$23:$J$32,3,FALSE)),"")</f>
        <v/>
      </c>
      <c r="V96" s="2001"/>
      <c r="W96" s="2001"/>
      <c r="X96" s="2001"/>
      <c r="Y96" s="2001"/>
      <c r="Z96" s="2001"/>
      <c r="AA96" s="2001"/>
      <c r="AB96" s="2001"/>
      <c r="AC96" s="2001"/>
      <c r="AD96" s="2001"/>
      <c r="AE96" s="2001"/>
      <c r="AF96" s="2001"/>
      <c r="AG96" s="2001"/>
      <c r="AH96" s="2001"/>
      <c r="AI96" s="2001"/>
      <c r="AJ96" s="2006" t="str">
        <f>IFERROR(IFERROR('Multi-Customer'!$CH$43,VLOOKUP($D96,'Required Info to Submit'!$E$23:$J$32,4,FALSE)),"")</f>
        <v/>
      </c>
      <c r="AK96" s="2007"/>
      <c r="AL96" s="2007"/>
      <c r="AM96" s="2007"/>
      <c r="AN96" s="2007"/>
      <c r="AO96" s="2007"/>
      <c r="AP96" s="2007"/>
      <c r="AQ96" s="2007"/>
      <c r="AR96" s="2007"/>
      <c r="AS96" s="2007"/>
      <c r="AT96" s="2008"/>
      <c r="AU96" s="1949" t="str">
        <f>IFERROR(IFERROR('Multi-Customer'!$CH$44,VLOOKUP($D96,'Required Info to Submit'!$E$23:$J$32,5,FALSE)),"")</f>
        <v/>
      </c>
      <c r="AV96" s="1950"/>
      <c r="AW96" s="1950"/>
      <c r="AX96" s="1951"/>
      <c r="AY96" s="1991" t="str">
        <f>IFERROR(IFERROR('Multi-Customer'!$CH$45,VLOOKUP($D96,'Required Info to Submit'!$E$23:$J$32,6,FALSE)),"")</f>
        <v/>
      </c>
      <c r="AZ96" s="1992"/>
      <c r="BA96" s="1992"/>
      <c r="BB96" s="1992"/>
      <c r="BC96" s="1993"/>
      <c r="BF96" s="138"/>
    </row>
    <row r="97" spans="2:58" x14ac:dyDescent="0.25">
      <c r="B97" s="137"/>
      <c r="C97" s="537">
        <v>3</v>
      </c>
      <c r="D97" s="2014">
        <f>'Customer Inputs'!$B$8</f>
        <v>0</v>
      </c>
      <c r="E97" s="2014"/>
      <c r="F97" s="2014"/>
      <c r="G97" s="2014"/>
      <c r="H97" s="2014"/>
      <c r="I97" s="2014"/>
      <c r="J97" s="2014"/>
      <c r="K97" s="2001" t="str">
        <f>IFERROR(IFERROR('Multi-Customer'!$DE$39,VLOOKUP($D97,'Required Info to Submit'!$E$23:$J$32,2,FALSE)),"")</f>
        <v/>
      </c>
      <c r="L97" s="2001"/>
      <c r="M97" s="2001"/>
      <c r="N97" s="2001"/>
      <c r="O97" s="2001"/>
      <c r="P97" s="2001"/>
      <c r="Q97" s="2001"/>
      <c r="R97" s="2001"/>
      <c r="S97" s="2001"/>
      <c r="T97" s="2001"/>
      <c r="U97" s="2001" t="str">
        <f>IFERROR(IFERROR('Multi-Customer'!$DE$41&amp;" "&amp;'Multi-Customer'!$DE$42,VLOOKUP($D97,'Required Info to Submit'!$E$23:$J$32,3,FALSE)),"")</f>
        <v/>
      </c>
      <c r="V97" s="2001"/>
      <c r="W97" s="2001"/>
      <c r="X97" s="2001"/>
      <c r="Y97" s="2001"/>
      <c r="Z97" s="2001"/>
      <c r="AA97" s="2001"/>
      <c r="AB97" s="2001"/>
      <c r="AC97" s="2001"/>
      <c r="AD97" s="2001"/>
      <c r="AE97" s="2001"/>
      <c r="AF97" s="2001"/>
      <c r="AG97" s="2001"/>
      <c r="AH97" s="2001"/>
      <c r="AI97" s="2001"/>
      <c r="AJ97" s="2006" t="str">
        <f>IFERROR(IFERROR('Multi-Customer'!$DE$43,VLOOKUP($D97,'Required Info to Submit'!$E$23:$J$32,4,FALSE)),"")</f>
        <v/>
      </c>
      <c r="AK97" s="2007"/>
      <c r="AL97" s="2007"/>
      <c r="AM97" s="2007"/>
      <c r="AN97" s="2007"/>
      <c r="AO97" s="2007"/>
      <c r="AP97" s="2007"/>
      <c r="AQ97" s="2007"/>
      <c r="AR97" s="2007"/>
      <c r="AS97" s="2007"/>
      <c r="AT97" s="2008"/>
      <c r="AU97" s="1949" t="str">
        <f>IFERROR(IFERROR('Multi-Customer'!$DE$44,VLOOKUP($D97,'Required Info to Submit'!$E$23:$J$32,5,FALSE)),"")</f>
        <v/>
      </c>
      <c r="AV97" s="1950"/>
      <c r="AW97" s="1950"/>
      <c r="AX97" s="1951"/>
      <c r="AY97" s="1991" t="str">
        <f>IFERROR(IFERROR('Multi-Customer'!$DE$45,VLOOKUP($D97,'Required Info to Submit'!$E$23:$J$32,6,FALSE)),"")</f>
        <v/>
      </c>
      <c r="AZ97" s="1992"/>
      <c r="BA97" s="1992"/>
      <c r="BB97" s="1992"/>
      <c r="BC97" s="1993"/>
      <c r="BF97" s="138"/>
    </row>
    <row r="98" spans="2:58" x14ac:dyDescent="0.25">
      <c r="B98" s="137"/>
      <c r="C98" s="537">
        <v>4</v>
      </c>
      <c r="D98" s="2014">
        <f>'Customer Inputs'!$B$9</f>
        <v>0</v>
      </c>
      <c r="E98" s="2014"/>
      <c r="F98" s="2014"/>
      <c r="G98" s="2014"/>
      <c r="H98" s="2014"/>
      <c r="I98" s="2014"/>
      <c r="J98" s="2014"/>
      <c r="K98" s="2001" t="str">
        <f>IFERROR(IFERROR('Multi-Customer'!$EB$39,VLOOKUP($D98,'Required Info to Submit'!$E$23:$J$32,2,FALSE)),"")</f>
        <v/>
      </c>
      <c r="L98" s="2001"/>
      <c r="M98" s="2001"/>
      <c r="N98" s="2001"/>
      <c r="O98" s="2001"/>
      <c r="P98" s="2001"/>
      <c r="Q98" s="2001"/>
      <c r="R98" s="2001"/>
      <c r="S98" s="2001"/>
      <c r="T98" s="2001"/>
      <c r="U98" s="2001" t="str">
        <f>IFERROR(IFERROR('Multi-Customer'!$EB$41&amp;" "&amp;'Multi-Customer'!$EB$42,VLOOKUP($D98,'Required Info to Submit'!$E$23:$J$32,3,FALSE)),"")</f>
        <v/>
      </c>
      <c r="V98" s="2001"/>
      <c r="W98" s="2001"/>
      <c r="X98" s="2001"/>
      <c r="Y98" s="2001"/>
      <c r="Z98" s="2001"/>
      <c r="AA98" s="2001"/>
      <c r="AB98" s="2001"/>
      <c r="AC98" s="2001"/>
      <c r="AD98" s="2001"/>
      <c r="AE98" s="2001"/>
      <c r="AF98" s="2001"/>
      <c r="AG98" s="2001"/>
      <c r="AH98" s="2001"/>
      <c r="AI98" s="2001"/>
      <c r="AJ98" s="2006" t="str">
        <f>IFERROR(IFERROR('Multi-Customer'!$EB$43,VLOOKUP($D98,'Required Info to Submit'!$E$23:$J$32,4,FALSE)),"")</f>
        <v/>
      </c>
      <c r="AK98" s="2007"/>
      <c r="AL98" s="2007"/>
      <c r="AM98" s="2007"/>
      <c r="AN98" s="2007"/>
      <c r="AO98" s="2007"/>
      <c r="AP98" s="2007"/>
      <c r="AQ98" s="2007"/>
      <c r="AR98" s="2007"/>
      <c r="AS98" s="2007"/>
      <c r="AT98" s="2008"/>
      <c r="AU98" s="1949" t="str">
        <f>IFERROR(IFERROR('Multi-Customer'!$EB$44,VLOOKUP($D98,'Required Info to Submit'!$E$23:$J$32,5,FALSE)),"")</f>
        <v/>
      </c>
      <c r="AV98" s="1950"/>
      <c r="AW98" s="1950"/>
      <c r="AX98" s="1951"/>
      <c r="AY98" s="1991" t="str">
        <f>IFERROR(IFERROR('Multi-Customer'!$EB$45,VLOOKUP($D98,'Required Info to Submit'!$E$23:$J$32,6,FALSE)),"")</f>
        <v/>
      </c>
      <c r="AZ98" s="1992"/>
      <c r="BA98" s="1992"/>
      <c r="BB98" s="1992"/>
      <c r="BC98" s="1993"/>
      <c r="BF98" s="138"/>
    </row>
    <row r="99" spans="2:58" x14ac:dyDescent="0.25">
      <c r="B99" s="137"/>
      <c r="C99" s="537">
        <v>5</v>
      </c>
      <c r="D99" s="2014">
        <f>'Customer Inputs'!$B$10</f>
        <v>0</v>
      </c>
      <c r="E99" s="2014"/>
      <c r="F99" s="2014"/>
      <c r="G99" s="2014"/>
      <c r="H99" s="2014"/>
      <c r="I99" s="2014"/>
      <c r="J99" s="2014"/>
      <c r="K99" s="2001" t="str">
        <f>IFERROR(IFERROR('Multi-Customer'!$EY$39,VLOOKUP($D99,'Required Info to Submit'!$E$23:$J$32,2,FALSE)),"")</f>
        <v/>
      </c>
      <c r="L99" s="2001"/>
      <c r="M99" s="2001"/>
      <c r="N99" s="2001"/>
      <c r="O99" s="2001"/>
      <c r="P99" s="2001"/>
      <c r="Q99" s="2001"/>
      <c r="R99" s="2001"/>
      <c r="S99" s="2001"/>
      <c r="T99" s="2001"/>
      <c r="U99" s="2001" t="str">
        <f>IFERROR(IFERROR('Multi-Customer'!$EY$41&amp;" "&amp;'Multi-Customer'!$EY$42,VLOOKUP($D99,'Required Info to Submit'!$E$23:$J$32,3,FALSE)),"")</f>
        <v/>
      </c>
      <c r="V99" s="2001"/>
      <c r="W99" s="2001"/>
      <c r="X99" s="2001"/>
      <c r="Y99" s="2001"/>
      <c r="Z99" s="2001"/>
      <c r="AA99" s="2001"/>
      <c r="AB99" s="2001"/>
      <c r="AC99" s="2001"/>
      <c r="AD99" s="2001"/>
      <c r="AE99" s="2001"/>
      <c r="AF99" s="2001"/>
      <c r="AG99" s="2001"/>
      <c r="AH99" s="2001"/>
      <c r="AI99" s="2001"/>
      <c r="AJ99" s="2006" t="str">
        <f>IFERROR(IFERROR('Multi-Customer'!$EY$43,VLOOKUP($D99,'Required Info to Submit'!$E$23:$J$32,4,FALSE)),"")</f>
        <v/>
      </c>
      <c r="AK99" s="2007"/>
      <c r="AL99" s="2007"/>
      <c r="AM99" s="2007"/>
      <c r="AN99" s="2007"/>
      <c r="AO99" s="2007"/>
      <c r="AP99" s="2007"/>
      <c r="AQ99" s="2007"/>
      <c r="AR99" s="2007"/>
      <c r="AS99" s="2007"/>
      <c r="AT99" s="2008"/>
      <c r="AU99" s="1949" t="str">
        <f>IFERROR(IFERROR('Multi-Customer'!$EY$44,VLOOKUP($D99,'Required Info to Submit'!$E$23:$J$32,5,FALSE)),"")</f>
        <v/>
      </c>
      <c r="AV99" s="1950"/>
      <c r="AW99" s="1950"/>
      <c r="AX99" s="1951"/>
      <c r="AY99" s="1991" t="str">
        <f>IFERROR(IFERROR('Multi-Customer'!$EY$45,VLOOKUP($D99,'Required Info to Submit'!$E$23:$J$32,6,FALSE)),"")</f>
        <v/>
      </c>
      <c r="AZ99" s="1992"/>
      <c r="BA99" s="1992"/>
      <c r="BB99" s="1992"/>
      <c r="BC99" s="1993"/>
      <c r="BF99" s="138"/>
    </row>
    <row r="100" spans="2:58" x14ac:dyDescent="0.25">
      <c r="B100" s="137"/>
      <c r="C100" s="537">
        <v>6</v>
      </c>
      <c r="D100" s="2014">
        <f>'Customer Inputs'!$B$11</f>
        <v>0</v>
      </c>
      <c r="E100" s="2014"/>
      <c r="F100" s="2014"/>
      <c r="G100" s="2014"/>
      <c r="H100" s="2014"/>
      <c r="I100" s="2014"/>
      <c r="J100" s="2014"/>
      <c r="K100" s="2001" t="str">
        <f>IFERROR(IFERROR('Multi-Customer'!$FV$39,VLOOKUP($D100,'Required Info to Submit'!$E$23:$J$32,2,FALSE)),"")</f>
        <v/>
      </c>
      <c r="L100" s="2001"/>
      <c r="M100" s="2001"/>
      <c r="N100" s="2001"/>
      <c r="O100" s="2001"/>
      <c r="P100" s="2001"/>
      <c r="Q100" s="2001"/>
      <c r="R100" s="2001"/>
      <c r="S100" s="2001"/>
      <c r="T100" s="2001"/>
      <c r="U100" s="2001" t="str">
        <f>IFERROR(IFERROR('Multi-Customer'!$FV$41&amp;" "&amp;'Multi-Customer'!$FV$42,VLOOKUP($D100,'Required Info to Submit'!$E$23:$J$32,3,FALSE)),"")</f>
        <v/>
      </c>
      <c r="V100" s="2001"/>
      <c r="W100" s="2001"/>
      <c r="X100" s="2001"/>
      <c r="Y100" s="2001"/>
      <c r="Z100" s="2001"/>
      <c r="AA100" s="2001"/>
      <c r="AB100" s="2001"/>
      <c r="AC100" s="2001"/>
      <c r="AD100" s="2001"/>
      <c r="AE100" s="2001"/>
      <c r="AF100" s="2001"/>
      <c r="AG100" s="2001"/>
      <c r="AH100" s="2001"/>
      <c r="AI100" s="2001"/>
      <c r="AJ100" s="2006" t="str">
        <f>IFERROR(IFERROR('Multi-Customer'!$FV$43,VLOOKUP($D100,'Required Info to Submit'!$E$23:$J$32,4,FALSE)),"")</f>
        <v/>
      </c>
      <c r="AK100" s="2007"/>
      <c r="AL100" s="2007"/>
      <c r="AM100" s="2007"/>
      <c r="AN100" s="2007"/>
      <c r="AO100" s="2007"/>
      <c r="AP100" s="2007"/>
      <c r="AQ100" s="2007"/>
      <c r="AR100" s="2007"/>
      <c r="AS100" s="2007"/>
      <c r="AT100" s="2008"/>
      <c r="AU100" s="1949" t="str">
        <f>IFERROR(IFERROR('Multi-Customer'!$FV$44,VLOOKUP($D100,'Required Info to Submit'!$E$23:$J$32,5,FALSE)),"")</f>
        <v/>
      </c>
      <c r="AV100" s="1950"/>
      <c r="AW100" s="1950"/>
      <c r="AX100" s="1951"/>
      <c r="AY100" s="1991" t="str">
        <f>IFERROR(IFERROR('Multi-Customer'!$FV$45,VLOOKUP($D100,'Required Info to Submit'!$E$23:$J$32,6,FALSE)),"")</f>
        <v/>
      </c>
      <c r="AZ100" s="1992"/>
      <c r="BA100" s="1992"/>
      <c r="BB100" s="1992"/>
      <c r="BC100" s="1993"/>
      <c r="BF100" s="138"/>
    </row>
    <row r="101" spans="2:58" x14ac:dyDescent="0.25">
      <c r="B101" s="137"/>
      <c r="C101" s="537">
        <v>7</v>
      </c>
      <c r="D101" s="2014">
        <f>'Customer Inputs'!$B$12</f>
        <v>0</v>
      </c>
      <c r="E101" s="2014"/>
      <c r="F101" s="2014"/>
      <c r="G101" s="2014"/>
      <c r="H101" s="2014"/>
      <c r="I101" s="2014"/>
      <c r="J101" s="2014"/>
      <c r="K101" s="2001" t="str">
        <f>IFERROR(IFERROR('Multi-Customer'!$GS$39,VLOOKUP($D101,'Required Info to Submit'!$E$23:$J$32,2,FALSE)),"")</f>
        <v/>
      </c>
      <c r="L101" s="2001"/>
      <c r="M101" s="2001"/>
      <c r="N101" s="2001"/>
      <c r="O101" s="2001"/>
      <c r="P101" s="2001"/>
      <c r="Q101" s="2001"/>
      <c r="R101" s="2001"/>
      <c r="S101" s="2001"/>
      <c r="T101" s="2001"/>
      <c r="U101" s="2001" t="str">
        <f>IFERROR(IFERROR('Multi-Customer'!$GS$41&amp;" "&amp;'Multi-Customer'!$GS$42,VLOOKUP($D101,'Required Info to Submit'!$E$23:$J$32,3,FALSE)),"")</f>
        <v/>
      </c>
      <c r="V101" s="2001"/>
      <c r="W101" s="2001"/>
      <c r="X101" s="2001"/>
      <c r="Y101" s="2001"/>
      <c r="Z101" s="2001"/>
      <c r="AA101" s="2001"/>
      <c r="AB101" s="2001"/>
      <c r="AC101" s="2001"/>
      <c r="AD101" s="2001"/>
      <c r="AE101" s="2001"/>
      <c r="AF101" s="2001"/>
      <c r="AG101" s="2001"/>
      <c r="AH101" s="2001"/>
      <c r="AI101" s="2001"/>
      <c r="AJ101" s="2006" t="str">
        <f>IFERROR(IFERROR('Multi-Customer'!$GS$43,VLOOKUP($D101,'Required Info to Submit'!$E$23:$J$32,4,FALSE)),"")</f>
        <v/>
      </c>
      <c r="AK101" s="2007"/>
      <c r="AL101" s="2007"/>
      <c r="AM101" s="2007"/>
      <c r="AN101" s="2007"/>
      <c r="AO101" s="2007"/>
      <c r="AP101" s="2007"/>
      <c r="AQ101" s="2007"/>
      <c r="AR101" s="2007"/>
      <c r="AS101" s="2007"/>
      <c r="AT101" s="2008"/>
      <c r="AU101" s="1949" t="str">
        <f>IFERROR(IFERROR('Multi-Customer'!$GS$44,VLOOKUP($D101,'Required Info to Submit'!$E$23:$J$32,5,FALSE)),"")</f>
        <v/>
      </c>
      <c r="AV101" s="1950"/>
      <c r="AW101" s="1950"/>
      <c r="AX101" s="1951"/>
      <c r="AY101" s="1991" t="str">
        <f>IFERROR(IFERROR('Multi-Customer'!$GS$45,VLOOKUP($D101,'Required Info to Submit'!$E$23:$J$32,6,FALSE)),"")</f>
        <v/>
      </c>
      <c r="AZ101" s="1992"/>
      <c r="BA101" s="1992"/>
      <c r="BB101" s="1992"/>
      <c r="BC101" s="1993"/>
      <c r="BF101" s="138"/>
    </row>
    <row r="102" spans="2:58" x14ac:dyDescent="0.25">
      <c r="B102" s="137"/>
      <c r="C102" s="537">
        <v>8</v>
      </c>
      <c r="D102" s="2014">
        <f>'Customer Inputs'!$B$13</f>
        <v>0</v>
      </c>
      <c r="E102" s="2014"/>
      <c r="F102" s="2014"/>
      <c r="G102" s="2014"/>
      <c r="H102" s="2014"/>
      <c r="I102" s="2014"/>
      <c r="J102" s="2014"/>
      <c r="K102" s="2001" t="str">
        <f>IFERROR(IFERROR('Multi-Customer'!$HP$39,VLOOKUP($D102,'Required Info to Submit'!$E$23:$J$32,2,FALSE)),"")</f>
        <v/>
      </c>
      <c r="L102" s="2001"/>
      <c r="M102" s="2001"/>
      <c r="N102" s="2001"/>
      <c r="O102" s="2001"/>
      <c r="P102" s="2001"/>
      <c r="Q102" s="2001"/>
      <c r="R102" s="2001"/>
      <c r="S102" s="2001"/>
      <c r="T102" s="2001"/>
      <c r="U102" s="2001" t="str">
        <f>IFERROR(IFERROR('Multi-Customer'!$HP$41&amp;" "&amp;'Multi-Customer'!$HP$42,VLOOKUP($D102,'Required Info to Submit'!$E$23:$J$32,3,FALSE)),"")</f>
        <v/>
      </c>
      <c r="V102" s="2001"/>
      <c r="W102" s="2001"/>
      <c r="X102" s="2001"/>
      <c r="Y102" s="2001"/>
      <c r="Z102" s="2001"/>
      <c r="AA102" s="2001"/>
      <c r="AB102" s="2001"/>
      <c r="AC102" s="2001"/>
      <c r="AD102" s="2001"/>
      <c r="AE102" s="2001"/>
      <c r="AF102" s="2001"/>
      <c r="AG102" s="2001"/>
      <c r="AH102" s="2001"/>
      <c r="AI102" s="2001"/>
      <c r="AJ102" s="2006" t="str">
        <f>IFERROR(IFERROR('Multi-Customer'!$HP$43,VLOOKUP($D102,'Required Info to Submit'!$E$23:$J$32,4,FALSE)),"")</f>
        <v/>
      </c>
      <c r="AK102" s="2007"/>
      <c r="AL102" s="2007"/>
      <c r="AM102" s="2007"/>
      <c r="AN102" s="2007"/>
      <c r="AO102" s="2007"/>
      <c r="AP102" s="2007"/>
      <c r="AQ102" s="2007"/>
      <c r="AR102" s="2007"/>
      <c r="AS102" s="2007"/>
      <c r="AT102" s="2008"/>
      <c r="AU102" s="1949" t="str">
        <f>IFERROR(IFERROR('Multi-Customer'!$HP$44,VLOOKUP($D102,'Required Info to Submit'!$E$23:$J$32,5,FALSE)),"")</f>
        <v/>
      </c>
      <c r="AV102" s="1950"/>
      <c r="AW102" s="1950"/>
      <c r="AX102" s="1951"/>
      <c r="AY102" s="1991" t="str">
        <f>IFERROR(IFERROR('Multi-Customer'!$HP$45,VLOOKUP($D102,'Required Info to Submit'!$E$23:$J$32,6,FALSE)),"")</f>
        <v/>
      </c>
      <c r="AZ102" s="1992"/>
      <c r="BA102" s="1992"/>
      <c r="BB102" s="1992"/>
      <c r="BC102" s="1993"/>
      <c r="BF102" s="138"/>
    </row>
    <row r="103" spans="2:58" x14ac:dyDescent="0.25">
      <c r="B103" s="137"/>
      <c r="C103" s="537">
        <v>9</v>
      </c>
      <c r="D103" s="2014">
        <f>'Customer Inputs'!$B$14</f>
        <v>0</v>
      </c>
      <c r="E103" s="2014"/>
      <c r="F103" s="2014"/>
      <c r="G103" s="2014"/>
      <c r="H103" s="2014"/>
      <c r="I103" s="2014"/>
      <c r="J103" s="2014"/>
      <c r="K103" s="2001" t="str">
        <f>IFERROR(IFERROR('Multi-Customer'!$IM$39,VLOOKUP($D103,'Required Info to Submit'!$E$23:$J$32,2,FALSE)),"")</f>
        <v/>
      </c>
      <c r="L103" s="2001"/>
      <c r="M103" s="2001"/>
      <c r="N103" s="2001"/>
      <c r="O103" s="2001"/>
      <c r="P103" s="2001"/>
      <c r="Q103" s="2001"/>
      <c r="R103" s="2001"/>
      <c r="S103" s="2001"/>
      <c r="T103" s="2001"/>
      <c r="U103" s="2001" t="str">
        <f>IFERROR(IFERROR('Multi-Customer'!$IM$41&amp;" "&amp;'Multi-Customer'!$IM$42,VLOOKUP($D103,'Required Info to Submit'!$E$23:$J$32,3,FALSE)),"")</f>
        <v/>
      </c>
      <c r="V103" s="2001"/>
      <c r="W103" s="2001"/>
      <c r="X103" s="2001"/>
      <c r="Y103" s="2001"/>
      <c r="Z103" s="2001"/>
      <c r="AA103" s="2001"/>
      <c r="AB103" s="2001"/>
      <c r="AC103" s="2001"/>
      <c r="AD103" s="2001"/>
      <c r="AE103" s="2001"/>
      <c r="AF103" s="2001"/>
      <c r="AG103" s="2001"/>
      <c r="AH103" s="2001"/>
      <c r="AI103" s="2001"/>
      <c r="AJ103" s="2006" t="str">
        <f>IFERROR(IFERROR('Multi-Customer'!$IM$43,VLOOKUP($D103,'Required Info to Submit'!$E$23:$J$32,4,FALSE)),"")</f>
        <v/>
      </c>
      <c r="AK103" s="2007"/>
      <c r="AL103" s="2007"/>
      <c r="AM103" s="2007"/>
      <c r="AN103" s="2007"/>
      <c r="AO103" s="2007"/>
      <c r="AP103" s="2007"/>
      <c r="AQ103" s="2007"/>
      <c r="AR103" s="2007"/>
      <c r="AS103" s="2007"/>
      <c r="AT103" s="2008"/>
      <c r="AU103" s="1949" t="str">
        <f>IFERROR(IFERROR('Multi-Customer'!$IM$44,VLOOKUP($D103,'Required Info to Submit'!$E$23:$J$32,5,FALSE)),"")</f>
        <v/>
      </c>
      <c r="AV103" s="1950"/>
      <c r="AW103" s="1950"/>
      <c r="AX103" s="1951"/>
      <c r="AY103" s="1991" t="str">
        <f>IFERROR(IFERROR('Multi-Customer'!$IM$45,VLOOKUP($D103,'Required Info to Submit'!$E$23:$J$32,6,FALSE)),"")</f>
        <v/>
      </c>
      <c r="AZ103" s="1992"/>
      <c r="BA103" s="1992"/>
      <c r="BB103" s="1992"/>
      <c r="BC103" s="1993"/>
      <c r="BF103" s="138"/>
    </row>
    <row r="104" spans="2:58" ht="15.75" thickBot="1" x14ac:dyDescent="0.3">
      <c r="B104" s="137"/>
      <c r="C104" s="538">
        <v>10</v>
      </c>
      <c r="D104" s="2013">
        <f>'Customer Inputs'!$B$15</f>
        <v>0</v>
      </c>
      <c r="E104" s="2013"/>
      <c r="F104" s="2013"/>
      <c r="G104" s="2013"/>
      <c r="H104" s="2013"/>
      <c r="I104" s="2013"/>
      <c r="J104" s="2013"/>
      <c r="K104" s="2012" t="str">
        <f>IFERROR(IFERROR('Multi-Customer'!$JJ$39,VLOOKUP($D104,'Required Info to Submit'!$E$23:$J$32,2,FALSE)),"")</f>
        <v/>
      </c>
      <c r="L104" s="2012"/>
      <c r="M104" s="2012"/>
      <c r="N104" s="2012"/>
      <c r="O104" s="2012"/>
      <c r="P104" s="2012"/>
      <c r="Q104" s="2012"/>
      <c r="R104" s="2012"/>
      <c r="S104" s="2012"/>
      <c r="T104" s="2012"/>
      <c r="U104" s="2012" t="str">
        <f>IFERROR(IFERROR('Multi-Customer'!$JJ$41&amp;" "&amp;'Multi-Customer'!$JJ$42,VLOOKUP($D104,'Required Info to Submit'!$E$23:$J$32,3,FALSE)),"")</f>
        <v/>
      </c>
      <c r="V104" s="2012"/>
      <c r="W104" s="2012"/>
      <c r="X104" s="2012"/>
      <c r="Y104" s="2012"/>
      <c r="Z104" s="2012"/>
      <c r="AA104" s="2012"/>
      <c r="AB104" s="2012"/>
      <c r="AC104" s="2012"/>
      <c r="AD104" s="2012"/>
      <c r="AE104" s="2012"/>
      <c r="AF104" s="2012"/>
      <c r="AG104" s="2012"/>
      <c r="AH104" s="2012"/>
      <c r="AI104" s="2012"/>
      <c r="AJ104" s="2003" t="str">
        <f>IFERROR(IFERROR('Multi-Customer'!$JJ$43,VLOOKUP($D104,'Required Info to Submit'!$E$23:$J$32,4,FALSE)),"")</f>
        <v/>
      </c>
      <c r="AK104" s="2004"/>
      <c r="AL104" s="2004"/>
      <c r="AM104" s="2004"/>
      <c r="AN104" s="2004"/>
      <c r="AO104" s="2004"/>
      <c r="AP104" s="2004"/>
      <c r="AQ104" s="2004"/>
      <c r="AR104" s="2004"/>
      <c r="AS104" s="2004"/>
      <c r="AT104" s="2005"/>
      <c r="AU104" s="1998" t="str">
        <f>IFERROR(IFERROR('Multi-Customer'!$JJ$44,VLOOKUP($D104,'Required Info to Submit'!$E$23:$J$32,5,FALSE)),"")</f>
        <v/>
      </c>
      <c r="AV104" s="1999"/>
      <c r="AW104" s="1999"/>
      <c r="AX104" s="2000"/>
      <c r="AY104" s="1988" t="str">
        <f>IFERROR(IFERROR('Multi-Customer'!$JJ$45,VLOOKUP($D104,'Required Info to Submit'!$E$23:$J$32,6,FALSE)),"")</f>
        <v/>
      </c>
      <c r="AZ104" s="1989"/>
      <c r="BA104" s="1989"/>
      <c r="BB104" s="1989"/>
      <c r="BC104" s="1990"/>
      <c r="BF104" s="138"/>
    </row>
    <row r="105" spans="2:58" x14ac:dyDescent="0.25">
      <c r="B105" s="137"/>
      <c r="BF105" s="138"/>
    </row>
    <row r="106" spans="2:58" x14ac:dyDescent="0.25">
      <c r="B106" s="137"/>
      <c r="BF106" s="138"/>
    </row>
    <row r="107" spans="2:58" ht="18.75" x14ac:dyDescent="0.3">
      <c r="B107" s="1979" t="s">
        <v>965</v>
      </c>
      <c r="C107" s="1980"/>
      <c r="D107" s="1980"/>
      <c r="E107" s="1980"/>
      <c r="F107" s="1980"/>
      <c r="G107" s="1980"/>
      <c r="H107" s="1980"/>
      <c r="I107" s="1980"/>
      <c r="J107" s="1980"/>
      <c r="K107" s="1980"/>
      <c r="L107" s="1980"/>
      <c r="M107" s="1980"/>
      <c r="N107" s="1980"/>
      <c r="O107" s="1980"/>
      <c r="P107" s="1980"/>
      <c r="Q107" s="1980"/>
      <c r="R107" s="1980"/>
      <c r="S107" s="1980"/>
      <c r="T107" s="1980"/>
      <c r="U107" s="1980"/>
      <c r="V107" s="1980"/>
      <c r="W107" s="1980"/>
      <c r="X107" s="1980"/>
      <c r="Y107" s="1980"/>
      <c r="Z107" s="1980"/>
      <c r="AA107" s="1980"/>
      <c r="AB107" s="1980"/>
      <c r="AC107" s="1980"/>
      <c r="AD107" s="1980"/>
      <c r="AE107" s="1980"/>
      <c r="AF107" s="1980"/>
      <c r="AG107" s="1980"/>
      <c r="AH107" s="1980"/>
      <c r="AI107" s="1980"/>
      <c r="AJ107" s="1980"/>
      <c r="AK107" s="1980"/>
      <c r="AL107" s="1980"/>
      <c r="AM107" s="1980"/>
      <c r="AN107" s="1980"/>
      <c r="AO107" s="1980"/>
      <c r="AP107" s="1980"/>
      <c r="AQ107" s="1980"/>
      <c r="AR107" s="1980"/>
      <c r="AS107" s="1980"/>
      <c r="AT107" s="1980"/>
      <c r="AU107" s="1980"/>
      <c r="AV107" s="1980"/>
      <c r="AW107" s="1980"/>
      <c r="AX107" s="1980"/>
      <c r="AY107" s="1980"/>
      <c r="AZ107" s="1980"/>
      <c r="BA107" s="1980"/>
      <c r="BB107" s="1980"/>
      <c r="BC107" s="1980"/>
      <c r="BD107" s="1980"/>
      <c r="BE107" s="1980"/>
      <c r="BF107" s="1981"/>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69" t="s">
        <v>966</v>
      </c>
      <c r="V109" s="2070"/>
      <c r="W109" s="2070"/>
      <c r="X109" s="2070"/>
      <c r="Y109" s="2070"/>
      <c r="Z109" s="2070" t="s">
        <v>959</v>
      </c>
      <c r="AA109" s="2070"/>
      <c r="AB109" s="2070"/>
      <c r="AC109" s="2070"/>
      <c r="AD109" s="2070"/>
      <c r="AE109" s="2070"/>
      <c r="AF109" s="2070" t="s">
        <v>960</v>
      </c>
      <c r="AG109" s="2070"/>
      <c r="AH109" s="2070"/>
      <c r="AI109" s="2070"/>
      <c r="AJ109" s="2070"/>
      <c r="AK109" s="2070"/>
      <c r="AL109" s="2070"/>
      <c r="AM109" s="2070" t="s">
        <v>963</v>
      </c>
      <c r="AN109" s="2070"/>
      <c r="AO109" s="2070"/>
      <c r="AP109" s="2070"/>
      <c r="AQ109" s="2070"/>
      <c r="AR109" s="2070"/>
      <c r="AS109" s="2096"/>
      <c r="AT109" s="241"/>
      <c r="AU109" s="241"/>
      <c r="AV109" s="241"/>
      <c r="AW109" s="241"/>
      <c r="AX109" s="241"/>
      <c r="AY109" s="241"/>
      <c r="AZ109" s="241"/>
      <c r="BA109" s="241"/>
      <c r="BB109" s="241"/>
      <c r="BC109" s="241"/>
      <c r="BD109" s="241"/>
      <c r="BE109" s="241"/>
      <c r="BF109" s="540"/>
    </row>
    <row r="110" spans="2:58" x14ac:dyDescent="0.25">
      <c r="B110" s="137"/>
      <c r="D110" s="2065" t="s">
        <v>99</v>
      </c>
      <c r="E110" s="2002"/>
      <c r="F110" s="2002"/>
      <c r="G110" s="2002"/>
      <c r="H110" s="2002"/>
      <c r="I110" s="2002"/>
      <c r="J110" s="2002"/>
      <c r="K110" s="2002"/>
      <c r="L110" s="2002"/>
      <c r="M110" s="2002"/>
      <c r="N110" s="2002"/>
      <c r="O110" s="2002"/>
      <c r="P110" s="2002"/>
      <c r="Q110" s="2002"/>
      <c r="R110" s="2002"/>
      <c r="S110" s="2002"/>
      <c r="T110" s="2066"/>
      <c r="U110" s="2074" t="str">
        <f>IF('PIM Model'!$B$10=0,"",'PIM Model'!$B$10)</f>
        <v/>
      </c>
      <c r="V110" s="2071"/>
      <c r="W110" s="2071"/>
      <c r="X110" s="2071"/>
      <c r="Y110" s="2071"/>
      <c r="Z110" s="2071" t="str">
        <f>'PIM Model'!$AF$10</f>
        <v/>
      </c>
      <c r="AA110" s="2071"/>
      <c r="AB110" s="2071"/>
      <c r="AC110" s="2071"/>
      <c r="AD110" s="2071"/>
      <c r="AE110" s="2071"/>
      <c r="AF110" s="2083" t="str">
        <f>'PIM Model'!$AG$10</f>
        <v/>
      </c>
      <c r="AG110" s="2084"/>
      <c r="AH110" s="2084"/>
      <c r="AI110" s="2084"/>
      <c r="AJ110" s="2084"/>
      <c r="AK110" s="2084"/>
      <c r="AL110" s="2085"/>
      <c r="AM110" s="2083" t="str">
        <f>'PIM Model'!$AH$10</f>
        <v/>
      </c>
      <c r="AN110" s="2084"/>
      <c r="AO110" s="2084"/>
      <c r="AP110" s="2084"/>
      <c r="AQ110" s="2084"/>
      <c r="AR110" s="2084"/>
      <c r="AS110" s="2097"/>
      <c r="BF110" s="138"/>
    </row>
    <row r="111" spans="2:58" x14ac:dyDescent="0.25">
      <c r="B111" s="137"/>
      <c r="D111" s="2067" t="s">
        <v>103</v>
      </c>
      <c r="E111" s="2001"/>
      <c r="F111" s="2001"/>
      <c r="G111" s="2001"/>
      <c r="H111" s="2001"/>
      <c r="I111" s="2001"/>
      <c r="J111" s="2001"/>
      <c r="K111" s="2001"/>
      <c r="L111" s="2001"/>
      <c r="M111" s="2001"/>
      <c r="N111" s="2001"/>
      <c r="O111" s="2001"/>
      <c r="P111" s="2001"/>
      <c r="Q111" s="2001"/>
      <c r="R111" s="2001"/>
      <c r="S111" s="2001"/>
      <c r="T111" s="2068"/>
      <c r="U111" s="2075" t="str">
        <f>IF('PIM Model'!$B$11=0,"",'PIM Model'!$B$11)</f>
        <v/>
      </c>
      <c r="V111" s="1948"/>
      <c r="W111" s="1948"/>
      <c r="X111" s="1948"/>
      <c r="Y111" s="1948"/>
      <c r="Z111" s="1948" t="str">
        <f>'PIM Model'!$AF$11</f>
        <v/>
      </c>
      <c r="AA111" s="1948"/>
      <c r="AB111" s="1948"/>
      <c r="AC111" s="1948"/>
      <c r="AD111" s="1948"/>
      <c r="AE111" s="1948"/>
      <c r="AF111" s="1991" t="str">
        <f>'PIM Model'!$AG$11</f>
        <v/>
      </c>
      <c r="AG111" s="1992"/>
      <c r="AH111" s="1992"/>
      <c r="AI111" s="1992"/>
      <c r="AJ111" s="1992"/>
      <c r="AK111" s="1992"/>
      <c r="AL111" s="2079"/>
      <c r="AM111" s="1991" t="str">
        <f>'PIM Model'!$AH$11</f>
        <v/>
      </c>
      <c r="AN111" s="1992"/>
      <c r="AO111" s="1992"/>
      <c r="AP111" s="1992"/>
      <c r="AQ111" s="1992"/>
      <c r="AR111" s="1992"/>
      <c r="AS111" s="1993"/>
      <c r="BF111" s="138"/>
    </row>
    <row r="112" spans="2:58" x14ac:dyDescent="0.25">
      <c r="B112" s="137"/>
      <c r="D112" s="2067" t="s">
        <v>1296</v>
      </c>
      <c r="E112" s="2001"/>
      <c r="F112" s="2001"/>
      <c r="G112" s="2001"/>
      <c r="H112" s="2001"/>
      <c r="I112" s="2001"/>
      <c r="J112" s="2001"/>
      <c r="K112" s="2001"/>
      <c r="L112" s="2001"/>
      <c r="M112" s="2001"/>
      <c r="N112" s="2001"/>
      <c r="O112" s="2001"/>
      <c r="P112" s="2001"/>
      <c r="Q112" s="2001"/>
      <c r="R112" s="2001"/>
      <c r="S112" s="2001"/>
      <c r="T112" s="2068"/>
      <c r="U112" s="2075" t="str">
        <f>IF('PIM Model'!$B$12=0,"",'PIM Model'!$B$12)</f>
        <v/>
      </c>
      <c r="V112" s="1948"/>
      <c r="W112" s="1948"/>
      <c r="X112" s="1948"/>
      <c r="Y112" s="1948"/>
      <c r="Z112" s="1948" t="str">
        <f>'PIM Model'!$AF$12</f>
        <v/>
      </c>
      <c r="AA112" s="1948"/>
      <c r="AB112" s="1948"/>
      <c r="AC112" s="1948"/>
      <c r="AD112" s="1948"/>
      <c r="AE112" s="1948"/>
      <c r="AF112" s="1991" t="str">
        <f>'PIM Model'!$AG$12</f>
        <v/>
      </c>
      <c r="AG112" s="1992"/>
      <c r="AH112" s="1992"/>
      <c r="AI112" s="1992"/>
      <c r="AJ112" s="1992"/>
      <c r="AK112" s="1992"/>
      <c r="AL112" s="2079"/>
      <c r="AM112" s="1991" t="str">
        <f>'PIM Model'!$AH$12</f>
        <v/>
      </c>
      <c r="AN112" s="1992"/>
      <c r="AO112" s="1992"/>
      <c r="AP112" s="1992"/>
      <c r="AQ112" s="1992"/>
      <c r="AR112" s="1992"/>
      <c r="AS112" s="1993"/>
      <c r="BF112" s="138"/>
    </row>
    <row r="113" spans="2:58" x14ac:dyDescent="0.25">
      <c r="B113" s="137"/>
      <c r="D113" s="2067" t="s">
        <v>102</v>
      </c>
      <c r="E113" s="2001"/>
      <c r="F113" s="2001"/>
      <c r="G113" s="2001"/>
      <c r="H113" s="2001"/>
      <c r="I113" s="2001"/>
      <c r="J113" s="2001"/>
      <c r="K113" s="2001"/>
      <c r="L113" s="2001"/>
      <c r="M113" s="2001"/>
      <c r="N113" s="2001"/>
      <c r="O113" s="2001"/>
      <c r="P113" s="2001"/>
      <c r="Q113" s="2001"/>
      <c r="R113" s="2001"/>
      <c r="S113" s="2001"/>
      <c r="T113" s="2068"/>
      <c r="U113" s="2075" t="str">
        <f>IF('PIM Model'!$B$13=0,"",'PIM Model'!$B$13)</f>
        <v/>
      </c>
      <c r="V113" s="1948"/>
      <c r="W113" s="1948"/>
      <c r="X113" s="1948"/>
      <c r="Y113" s="1948"/>
      <c r="Z113" s="1948" t="str">
        <f>'PIM Model'!$AF$13</f>
        <v/>
      </c>
      <c r="AA113" s="1948"/>
      <c r="AB113" s="1948"/>
      <c r="AC113" s="1948"/>
      <c r="AD113" s="1948"/>
      <c r="AE113" s="1948"/>
      <c r="AF113" s="1991" t="str">
        <f>'PIM Model'!$AG$13</f>
        <v/>
      </c>
      <c r="AG113" s="1992"/>
      <c r="AH113" s="1992"/>
      <c r="AI113" s="1992"/>
      <c r="AJ113" s="1992"/>
      <c r="AK113" s="1992"/>
      <c r="AL113" s="2079"/>
      <c r="AM113" s="1991" t="str">
        <f>'PIM Model'!$AH$13</f>
        <v/>
      </c>
      <c r="AN113" s="1992"/>
      <c r="AO113" s="1992"/>
      <c r="AP113" s="1992"/>
      <c r="AQ113" s="1992"/>
      <c r="AR113" s="1992"/>
      <c r="AS113" s="1993"/>
      <c r="BF113" s="138"/>
    </row>
    <row r="114" spans="2:58" x14ac:dyDescent="0.25">
      <c r="B114" s="137"/>
      <c r="D114" s="2067" t="s">
        <v>100</v>
      </c>
      <c r="E114" s="2001"/>
      <c r="F114" s="2001"/>
      <c r="G114" s="2001"/>
      <c r="H114" s="2001"/>
      <c r="I114" s="2001"/>
      <c r="J114" s="2001"/>
      <c r="K114" s="2001"/>
      <c r="L114" s="2001"/>
      <c r="M114" s="2001"/>
      <c r="N114" s="2001"/>
      <c r="O114" s="2001"/>
      <c r="P114" s="2001"/>
      <c r="Q114" s="2001"/>
      <c r="R114" s="2001"/>
      <c r="S114" s="2001"/>
      <c r="T114" s="2068"/>
      <c r="U114" s="2075" t="str">
        <f>IF('PIM Model'!$B$14=0,"",'PIM Model'!$B$14)</f>
        <v/>
      </c>
      <c r="V114" s="1948"/>
      <c r="W114" s="1948"/>
      <c r="X114" s="1948"/>
      <c r="Y114" s="1948"/>
      <c r="Z114" s="1948" t="str">
        <f>'PIM Model'!$AF$14</f>
        <v/>
      </c>
      <c r="AA114" s="1948"/>
      <c r="AB114" s="1948"/>
      <c r="AC114" s="1948"/>
      <c r="AD114" s="1948"/>
      <c r="AE114" s="1948"/>
      <c r="AF114" s="1991" t="str">
        <f>'PIM Model'!$AG$14</f>
        <v/>
      </c>
      <c r="AG114" s="1992"/>
      <c r="AH114" s="1992"/>
      <c r="AI114" s="1992"/>
      <c r="AJ114" s="1992"/>
      <c r="AK114" s="1992"/>
      <c r="AL114" s="2079"/>
      <c r="AM114" s="1991" t="str">
        <f>'PIM Model'!$AH$14</f>
        <v/>
      </c>
      <c r="AN114" s="1992"/>
      <c r="AO114" s="1992"/>
      <c r="AP114" s="1992"/>
      <c r="AQ114" s="1992"/>
      <c r="AR114" s="1992"/>
      <c r="AS114" s="1993"/>
      <c r="BF114" s="138"/>
    </row>
    <row r="115" spans="2:58" x14ac:dyDescent="0.25">
      <c r="B115" s="137"/>
      <c r="D115" s="2067" t="s">
        <v>104</v>
      </c>
      <c r="E115" s="2001"/>
      <c r="F115" s="2001"/>
      <c r="G115" s="2001"/>
      <c r="H115" s="2001"/>
      <c r="I115" s="2001"/>
      <c r="J115" s="2001"/>
      <c r="K115" s="2001"/>
      <c r="L115" s="2001"/>
      <c r="M115" s="2001"/>
      <c r="N115" s="2001"/>
      <c r="O115" s="2001"/>
      <c r="P115" s="2001"/>
      <c r="Q115" s="2001"/>
      <c r="R115" s="2001"/>
      <c r="S115" s="2001"/>
      <c r="T115" s="2068"/>
      <c r="U115" s="2075" t="str">
        <f>IF('PIM Model'!$B$15=0,"",'PIM Model'!$B$15)</f>
        <v/>
      </c>
      <c r="V115" s="1948"/>
      <c r="W115" s="1948"/>
      <c r="X115" s="1948"/>
      <c r="Y115" s="1948"/>
      <c r="Z115" s="1948" t="str">
        <f>'PIM Model'!$AF$15</f>
        <v/>
      </c>
      <c r="AA115" s="1948"/>
      <c r="AB115" s="1948"/>
      <c r="AC115" s="1948"/>
      <c r="AD115" s="1948"/>
      <c r="AE115" s="1948"/>
      <c r="AF115" s="1991" t="str">
        <f>'PIM Model'!$AG$15</f>
        <v/>
      </c>
      <c r="AG115" s="1992"/>
      <c r="AH115" s="1992"/>
      <c r="AI115" s="1992"/>
      <c r="AJ115" s="1992"/>
      <c r="AK115" s="1992"/>
      <c r="AL115" s="2079"/>
      <c r="AM115" s="1991" t="str">
        <f>'PIM Model'!$AH$15</f>
        <v/>
      </c>
      <c r="AN115" s="1992"/>
      <c r="AO115" s="1992"/>
      <c r="AP115" s="1992"/>
      <c r="AQ115" s="1992"/>
      <c r="AR115" s="1992"/>
      <c r="AS115" s="1993"/>
      <c r="BF115" s="138"/>
    </row>
    <row r="116" spans="2:58" x14ac:dyDescent="0.25">
      <c r="B116" s="137"/>
      <c r="D116" s="2067" t="s">
        <v>98</v>
      </c>
      <c r="E116" s="2001"/>
      <c r="F116" s="2001"/>
      <c r="G116" s="2001"/>
      <c r="H116" s="2001"/>
      <c r="I116" s="2001"/>
      <c r="J116" s="2001"/>
      <c r="K116" s="2001"/>
      <c r="L116" s="2001"/>
      <c r="M116" s="2001"/>
      <c r="N116" s="2001"/>
      <c r="O116" s="2001"/>
      <c r="P116" s="2001"/>
      <c r="Q116" s="2001"/>
      <c r="R116" s="2001"/>
      <c r="S116" s="2001"/>
      <c r="T116" s="2068"/>
      <c r="U116" s="2075" t="str">
        <f>IF('PIM Model'!$B$16=0,"",'PIM Model'!$B$16)</f>
        <v/>
      </c>
      <c r="V116" s="1948"/>
      <c r="W116" s="1948"/>
      <c r="X116" s="1948"/>
      <c r="Y116" s="1948"/>
      <c r="Z116" s="1948" t="str">
        <f>'PIM Model'!$AF$16</f>
        <v/>
      </c>
      <c r="AA116" s="1948"/>
      <c r="AB116" s="1948"/>
      <c r="AC116" s="1948"/>
      <c r="AD116" s="1948"/>
      <c r="AE116" s="1948"/>
      <c r="AF116" s="1991" t="str">
        <f>'PIM Model'!$AG$16</f>
        <v/>
      </c>
      <c r="AG116" s="1992"/>
      <c r="AH116" s="1992"/>
      <c r="AI116" s="1992"/>
      <c r="AJ116" s="1992"/>
      <c r="AK116" s="1992"/>
      <c r="AL116" s="2079"/>
      <c r="AM116" s="1991" t="str">
        <f>'PIM Model'!$AH$16</f>
        <v/>
      </c>
      <c r="AN116" s="1992"/>
      <c r="AO116" s="1992"/>
      <c r="AP116" s="1992"/>
      <c r="AQ116" s="1992"/>
      <c r="AR116" s="1992"/>
      <c r="AS116" s="1993"/>
      <c r="BF116" s="138"/>
    </row>
    <row r="117" spans="2:58" x14ac:dyDescent="0.25">
      <c r="B117" s="137"/>
      <c r="D117" s="2067" t="s">
        <v>95</v>
      </c>
      <c r="E117" s="2001"/>
      <c r="F117" s="2001"/>
      <c r="G117" s="2001"/>
      <c r="H117" s="2001"/>
      <c r="I117" s="2001"/>
      <c r="J117" s="2001"/>
      <c r="K117" s="2001"/>
      <c r="L117" s="2001"/>
      <c r="M117" s="2001"/>
      <c r="N117" s="2001"/>
      <c r="O117" s="2001"/>
      <c r="P117" s="2001"/>
      <c r="Q117" s="2001"/>
      <c r="R117" s="2001"/>
      <c r="S117" s="2001"/>
      <c r="T117" s="2068"/>
      <c r="U117" s="2075" t="str">
        <f>IF('PIM Model'!$B$17=0,"",'PIM Model'!$B$17)</f>
        <v/>
      </c>
      <c r="V117" s="1948"/>
      <c r="W117" s="1948"/>
      <c r="X117" s="1948"/>
      <c r="Y117" s="1948"/>
      <c r="Z117" s="1948" t="str">
        <f>'PIM Model'!$AF$17</f>
        <v/>
      </c>
      <c r="AA117" s="1948"/>
      <c r="AB117" s="1948"/>
      <c r="AC117" s="1948"/>
      <c r="AD117" s="1948"/>
      <c r="AE117" s="1948"/>
      <c r="AF117" s="1991" t="str">
        <f>'PIM Model'!$AG$17</f>
        <v/>
      </c>
      <c r="AG117" s="1992"/>
      <c r="AH117" s="1992"/>
      <c r="AI117" s="1992"/>
      <c r="AJ117" s="1992"/>
      <c r="AK117" s="1992"/>
      <c r="AL117" s="2079"/>
      <c r="AM117" s="1991" t="str">
        <f>'PIM Model'!$AH$17</f>
        <v/>
      </c>
      <c r="AN117" s="1992"/>
      <c r="AO117" s="1992"/>
      <c r="AP117" s="1992"/>
      <c r="AQ117" s="1992"/>
      <c r="AR117" s="1992"/>
      <c r="AS117" s="1993"/>
      <c r="BF117" s="138"/>
    </row>
    <row r="118" spans="2:58" x14ac:dyDescent="0.25">
      <c r="B118" s="137"/>
      <c r="D118" s="2067" t="s">
        <v>96</v>
      </c>
      <c r="E118" s="2001"/>
      <c r="F118" s="2001"/>
      <c r="G118" s="2001"/>
      <c r="H118" s="2001"/>
      <c r="I118" s="2001"/>
      <c r="J118" s="2001"/>
      <c r="K118" s="2001"/>
      <c r="L118" s="2001"/>
      <c r="M118" s="2001"/>
      <c r="N118" s="2001"/>
      <c r="O118" s="2001"/>
      <c r="P118" s="2001"/>
      <c r="Q118" s="2001"/>
      <c r="R118" s="2001"/>
      <c r="S118" s="2001"/>
      <c r="T118" s="2068"/>
      <c r="U118" s="2075" t="str">
        <f>IF('PIM Model'!$B$18=0,"",'PIM Model'!$B$18)</f>
        <v/>
      </c>
      <c r="V118" s="1948"/>
      <c r="W118" s="1948"/>
      <c r="X118" s="1948"/>
      <c r="Y118" s="1948"/>
      <c r="Z118" s="1948" t="str">
        <f>'PIM Model'!$AF$18</f>
        <v/>
      </c>
      <c r="AA118" s="1948"/>
      <c r="AB118" s="1948"/>
      <c r="AC118" s="1948"/>
      <c r="AD118" s="1948"/>
      <c r="AE118" s="1948"/>
      <c r="AF118" s="1991" t="str">
        <f>'PIM Model'!$AG$18</f>
        <v/>
      </c>
      <c r="AG118" s="1992"/>
      <c r="AH118" s="1992"/>
      <c r="AI118" s="1992"/>
      <c r="AJ118" s="1992"/>
      <c r="AK118" s="1992"/>
      <c r="AL118" s="2079"/>
      <c r="AM118" s="1991" t="str">
        <f>'PIM Model'!$AH$18</f>
        <v/>
      </c>
      <c r="AN118" s="1992"/>
      <c r="AO118" s="1992"/>
      <c r="AP118" s="1992"/>
      <c r="AQ118" s="1992"/>
      <c r="AR118" s="1992"/>
      <c r="AS118" s="1993"/>
      <c r="BF118" s="138"/>
    </row>
    <row r="119" spans="2:58" x14ac:dyDescent="0.25">
      <c r="B119" s="137"/>
      <c r="D119" s="2067" t="s">
        <v>101</v>
      </c>
      <c r="E119" s="2001"/>
      <c r="F119" s="2001"/>
      <c r="G119" s="2001"/>
      <c r="H119" s="2001"/>
      <c r="I119" s="2001"/>
      <c r="J119" s="2001"/>
      <c r="K119" s="2001"/>
      <c r="L119" s="2001"/>
      <c r="M119" s="2001"/>
      <c r="N119" s="2001"/>
      <c r="O119" s="2001"/>
      <c r="P119" s="2001"/>
      <c r="Q119" s="2001"/>
      <c r="R119" s="2001"/>
      <c r="S119" s="2001"/>
      <c r="T119" s="2068"/>
      <c r="U119" s="2075" t="str">
        <f>IF('PIM Model'!$B$19=0,"",'PIM Model'!$B$19)</f>
        <v/>
      </c>
      <c r="V119" s="1948"/>
      <c r="W119" s="1948"/>
      <c r="X119" s="1948"/>
      <c r="Y119" s="1948"/>
      <c r="Z119" s="1948" t="str">
        <f>'PIM Model'!$AF$19</f>
        <v/>
      </c>
      <c r="AA119" s="1948"/>
      <c r="AB119" s="1948"/>
      <c r="AC119" s="1948"/>
      <c r="AD119" s="1948"/>
      <c r="AE119" s="1948"/>
      <c r="AF119" s="1991" t="str">
        <f>'PIM Model'!$AG$19</f>
        <v/>
      </c>
      <c r="AG119" s="1992"/>
      <c r="AH119" s="1992"/>
      <c r="AI119" s="1992"/>
      <c r="AJ119" s="1992"/>
      <c r="AK119" s="1992"/>
      <c r="AL119" s="2079"/>
      <c r="AM119" s="1991" t="str">
        <f>'PIM Model'!$AH$19</f>
        <v/>
      </c>
      <c r="AN119" s="1992"/>
      <c r="AO119" s="1992"/>
      <c r="AP119" s="1992"/>
      <c r="AQ119" s="1992"/>
      <c r="AR119" s="1992"/>
      <c r="AS119" s="1993"/>
      <c r="BF119" s="138"/>
    </row>
    <row r="120" spans="2:58" x14ac:dyDescent="0.25">
      <c r="B120" s="137"/>
      <c r="D120" s="2067" t="s">
        <v>97</v>
      </c>
      <c r="E120" s="2001"/>
      <c r="F120" s="2001"/>
      <c r="G120" s="2001"/>
      <c r="H120" s="2001"/>
      <c r="I120" s="2001"/>
      <c r="J120" s="2001"/>
      <c r="K120" s="2001"/>
      <c r="L120" s="2001"/>
      <c r="M120" s="2001"/>
      <c r="N120" s="2001"/>
      <c r="O120" s="2001"/>
      <c r="P120" s="2001"/>
      <c r="Q120" s="2001"/>
      <c r="R120" s="2001"/>
      <c r="S120" s="2001"/>
      <c r="T120" s="2068"/>
      <c r="U120" s="2075" t="str">
        <f>IF('PIM Model'!$B$20=0,"",'PIM Model'!$B$20)</f>
        <v/>
      </c>
      <c r="V120" s="1948"/>
      <c r="W120" s="1948"/>
      <c r="X120" s="1948"/>
      <c r="Y120" s="1948"/>
      <c r="Z120" s="1948" t="str">
        <f>'PIM Model'!$AF$20</f>
        <v/>
      </c>
      <c r="AA120" s="1948"/>
      <c r="AB120" s="1948"/>
      <c r="AC120" s="1948"/>
      <c r="AD120" s="1948"/>
      <c r="AE120" s="1948"/>
      <c r="AF120" s="1991" t="str">
        <f>'PIM Model'!$AG$20</f>
        <v/>
      </c>
      <c r="AG120" s="1992"/>
      <c r="AH120" s="1992"/>
      <c r="AI120" s="1992"/>
      <c r="AJ120" s="1992"/>
      <c r="AK120" s="1992"/>
      <c r="AL120" s="2079"/>
      <c r="AM120" s="1991" t="str">
        <f>'PIM Model'!$AH$20</f>
        <v/>
      </c>
      <c r="AN120" s="1992"/>
      <c r="AO120" s="1992"/>
      <c r="AP120" s="1992"/>
      <c r="AQ120" s="1992"/>
      <c r="AR120" s="1992"/>
      <c r="AS120" s="1993"/>
      <c r="BF120" s="138"/>
    </row>
    <row r="121" spans="2:58" x14ac:dyDescent="0.25">
      <c r="B121" s="137"/>
      <c r="D121" s="2067" t="s">
        <v>93</v>
      </c>
      <c r="E121" s="2001"/>
      <c r="F121" s="2001"/>
      <c r="G121" s="2001"/>
      <c r="H121" s="2001"/>
      <c r="I121" s="2001"/>
      <c r="J121" s="2001"/>
      <c r="K121" s="2001"/>
      <c r="L121" s="2001"/>
      <c r="M121" s="2001"/>
      <c r="N121" s="2001"/>
      <c r="O121" s="2001"/>
      <c r="P121" s="2001"/>
      <c r="Q121" s="2001"/>
      <c r="R121" s="2001"/>
      <c r="S121" s="2001"/>
      <c r="T121" s="2068"/>
      <c r="U121" s="2075" t="str">
        <f>IF('PIM Model'!$B$21=0,"",'PIM Model'!$B$21)</f>
        <v/>
      </c>
      <c r="V121" s="1948"/>
      <c r="W121" s="1948"/>
      <c r="X121" s="1948"/>
      <c r="Y121" s="1948"/>
      <c r="Z121" s="1948" t="str">
        <f>'PIM Model'!$AF$21</f>
        <v/>
      </c>
      <c r="AA121" s="1948"/>
      <c r="AB121" s="1948"/>
      <c r="AC121" s="1948"/>
      <c r="AD121" s="1948"/>
      <c r="AE121" s="1948"/>
      <c r="AF121" s="1991" t="str">
        <f>'PIM Model'!$AG$21</f>
        <v/>
      </c>
      <c r="AG121" s="1992"/>
      <c r="AH121" s="1992"/>
      <c r="AI121" s="1992"/>
      <c r="AJ121" s="1992"/>
      <c r="AK121" s="1992"/>
      <c r="AL121" s="2079"/>
      <c r="AM121" s="1991" t="str">
        <f>'PIM Model'!$AH$21</f>
        <v/>
      </c>
      <c r="AN121" s="1992"/>
      <c r="AO121" s="1992"/>
      <c r="AP121" s="1992"/>
      <c r="AQ121" s="1992"/>
      <c r="AR121" s="1992"/>
      <c r="AS121" s="1993"/>
      <c r="BF121" s="138"/>
    </row>
    <row r="122" spans="2:58" x14ac:dyDescent="0.25">
      <c r="B122" s="137"/>
      <c r="D122" s="2067" t="s">
        <v>105</v>
      </c>
      <c r="E122" s="2001"/>
      <c r="F122" s="2001"/>
      <c r="G122" s="2001"/>
      <c r="H122" s="2001"/>
      <c r="I122" s="2001"/>
      <c r="J122" s="2001"/>
      <c r="K122" s="2001"/>
      <c r="L122" s="2001"/>
      <c r="M122" s="2001"/>
      <c r="N122" s="2001"/>
      <c r="O122" s="2001"/>
      <c r="P122" s="2001"/>
      <c r="Q122" s="2001"/>
      <c r="R122" s="2001"/>
      <c r="S122" s="2001"/>
      <c r="T122" s="2068"/>
      <c r="U122" s="2075" t="str">
        <f>IF('PIM Model'!$B$22=0,"",'PIM Model'!$B$22)</f>
        <v/>
      </c>
      <c r="V122" s="1948"/>
      <c r="W122" s="1948"/>
      <c r="X122" s="1948"/>
      <c r="Y122" s="1948"/>
      <c r="Z122" s="1948" t="str">
        <f>'PIM Model'!$AF$22</f>
        <v/>
      </c>
      <c r="AA122" s="1948"/>
      <c r="AB122" s="1948"/>
      <c r="AC122" s="1948"/>
      <c r="AD122" s="1948"/>
      <c r="AE122" s="1948"/>
      <c r="AF122" s="1991" t="str">
        <f>'PIM Model'!$AG$22</f>
        <v/>
      </c>
      <c r="AG122" s="1992"/>
      <c r="AH122" s="1992"/>
      <c r="AI122" s="1992"/>
      <c r="AJ122" s="1992"/>
      <c r="AK122" s="1992"/>
      <c r="AL122" s="2079"/>
      <c r="AM122" s="1991" t="str">
        <f>'PIM Model'!$AH$22</f>
        <v/>
      </c>
      <c r="AN122" s="1992"/>
      <c r="AO122" s="1992"/>
      <c r="AP122" s="1992"/>
      <c r="AQ122" s="1992"/>
      <c r="AR122" s="1992"/>
      <c r="AS122" s="1993"/>
      <c r="BF122" s="138"/>
    </row>
    <row r="123" spans="2:58" x14ac:dyDescent="0.25">
      <c r="B123" s="137"/>
      <c r="D123" s="2067" t="s">
        <v>92</v>
      </c>
      <c r="E123" s="2001"/>
      <c r="F123" s="2001"/>
      <c r="G123" s="2001"/>
      <c r="H123" s="2001"/>
      <c r="I123" s="2001"/>
      <c r="J123" s="2001"/>
      <c r="K123" s="2001"/>
      <c r="L123" s="2001"/>
      <c r="M123" s="2001"/>
      <c r="N123" s="2001"/>
      <c r="O123" s="2001"/>
      <c r="P123" s="2001"/>
      <c r="Q123" s="2001"/>
      <c r="R123" s="2001"/>
      <c r="S123" s="2001"/>
      <c r="T123" s="2068"/>
      <c r="U123" s="2075" t="str">
        <f>IF('PIM Model'!$B$23=0,"",'PIM Model'!$B$23)</f>
        <v/>
      </c>
      <c r="V123" s="1948"/>
      <c r="W123" s="1948"/>
      <c r="X123" s="1948"/>
      <c r="Y123" s="1948"/>
      <c r="Z123" s="1948" t="str">
        <f>'PIM Model'!$AF$23</f>
        <v/>
      </c>
      <c r="AA123" s="1948"/>
      <c r="AB123" s="1948"/>
      <c r="AC123" s="1948"/>
      <c r="AD123" s="1948"/>
      <c r="AE123" s="1948"/>
      <c r="AF123" s="1991" t="str">
        <f>'PIM Model'!$AG$23</f>
        <v/>
      </c>
      <c r="AG123" s="1992"/>
      <c r="AH123" s="1992"/>
      <c r="AI123" s="1992"/>
      <c r="AJ123" s="1992"/>
      <c r="AK123" s="1992"/>
      <c r="AL123" s="2079"/>
      <c r="AM123" s="1991" t="str">
        <f>'PIM Model'!$AH$23</f>
        <v/>
      </c>
      <c r="AN123" s="1992"/>
      <c r="AO123" s="1992"/>
      <c r="AP123" s="1992"/>
      <c r="AQ123" s="1992"/>
      <c r="AR123" s="1992"/>
      <c r="AS123" s="1993"/>
      <c r="BF123" s="138"/>
    </row>
    <row r="124" spans="2:58" x14ac:dyDescent="0.25">
      <c r="B124" s="137"/>
      <c r="D124" s="2067" t="s">
        <v>91</v>
      </c>
      <c r="E124" s="2001"/>
      <c r="F124" s="2001"/>
      <c r="G124" s="2001"/>
      <c r="H124" s="2001"/>
      <c r="I124" s="2001"/>
      <c r="J124" s="2001"/>
      <c r="K124" s="2001"/>
      <c r="L124" s="2001"/>
      <c r="M124" s="2001"/>
      <c r="N124" s="2001"/>
      <c r="O124" s="2001"/>
      <c r="P124" s="2001"/>
      <c r="Q124" s="2001"/>
      <c r="R124" s="2001"/>
      <c r="S124" s="2001"/>
      <c r="T124" s="2068"/>
      <c r="U124" s="2075" t="str">
        <f>IF('PIM Model'!$B$24=0,"",'PIM Model'!$B$24)</f>
        <v/>
      </c>
      <c r="V124" s="1948"/>
      <c r="W124" s="1948"/>
      <c r="X124" s="1948"/>
      <c r="Y124" s="1948"/>
      <c r="Z124" s="1948" t="str">
        <f>'PIM Model'!$AF$24</f>
        <v/>
      </c>
      <c r="AA124" s="1948"/>
      <c r="AB124" s="1948"/>
      <c r="AC124" s="1948"/>
      <c r="AD124" s="1948"/>
      <c r="AE124" s="1948"/>
      <c r="AF124" s="1991" t="str">
        <f>'PIM Model'!$AG$24</f>
        <v/>
      </c>
      <c r="AG124" s="1992"/>
      <c r="AH124" s="1992"/>
      <c r="AI124" s="1992"/>
      <c r="AJ124" s="1992"/>
      <c r="AK124" s="1992"/>
      <c r="AL124" s="2079"/>
      <c r="AM124" s="1991" t="str">
        <f>'PIM Model'!$AH$24</f>
        <v/>
      </c>
      <c r="AN124" s="1992"/>
      <c r="AO124" s="1992"/>
      <c r="AP124" s="1992"/>
      <c r="AQ124" s="1992"/>
      <c r="AR124" s="1992"/>
      <c r="AS124" s="1993"/>
      <c r="BF124" s="138"/>
    </row>
    <row r="125" spans="2:58" x14ac:dyDescent="0.25">
      <c r="B125" s="137"/>
      <c r="D125" s="2067" t="s">
        <v>90</v>
      </c>
      <c r="E125" s="2001"/>
      <c r="F125" s="2001"/>
      <c r="G125" s="2001"/>
      <c r="H125" s="2001"/>
      <c r="I125" s="2001"/>
      <c r="J125" s="2001"/>
      <c r="K125" s="2001"/>
      <c r="L125" s="2001"/>
      <c r="M125" s="2001"/>
      <c r="N125" s="2001"/>
      <c r="O125" s="2001"/>
      <c r="P125" s="2001"/>
      <c r="Q125" s="2001"/>
      <c r="R125" s="2001"/>
      <c r="S125" s="2001"/>
      <c r="T125" s="2068"/>
      <c r="U125" s="2075" t="str">
        <f>IF('PIM Model'!$B$25=0,"",'PIM Model'!$B$25)</f>
        <v/>
      </c>
      <c r="V125" s="1948"/>
      <c r="W125" s="1948"/>
      <c r="X125" s="1948"/>
      <c r="Y125" s="1948"/>
      <c r="Z125" s="1948" t="str">
        <f>'PIM Model'!$AF$25</f>
        <v/>
      </c>
      <c r="AA125" s="1948"/>
      <c r="AB125" s="1948"/>
      <c r="AC125" s="1948"/>
      <c r="AD125" s="1948"/>
      <c r="AE125" s="1948"/>
      <c r="AF125" s="1991" t="str">
        <f>'PIM Model'!$AG$25</f>
        <v/>
      </c>
      <c r="AG125" s="1992"/>
      <c r="AH125" s="1992"/>
      <c r="AI125" s="1992"/>
      <c r="AJ125" s="1992"/>
      <c r="AK125" s="1992"/>
      <c r="AL125" s="2079"/>
      <c r="AM125" s="1991" t="str">
        <f>'PIM Model'!$AH$25</f>
        <v/>
      </c>
      <c r="AN125" s="1992"/>
      <c r="AO125" s="1992"/>
      <c r="AP125" s="1992"/>
      <c r="AQ125" s="1992"/>
      <c r="AR125" s="1992"/>
      <c r="AS125" s="1993"/>
      <c r="BF125" s="138"/>
    </row>
    <row r="126" spans="2:58" x14ac:dyDescent="0.25">
      <c r="B126" s="137"/>
      <c r="D126" s="2067" t="s">
        <v>89</v>
      </c>
      <c r="E126" s="2001"/>
      <c r="F126" s="2001"/>
      <c r="G126" s="2001"/>
      <c r="H126" s="2001"/>
      <c r="I126" s="2001"/>
      <c r="J126" s="2001"/>
      <c r="K126" s="2001"/>
      <c r="L126" s="2001"/>
      <c r="M126" s="2001"/>
      <c r="N126" s="2001"/>
      <c r="O126" s="2001"/>
      <c r="P126" s="2001"/>
      <c r="Q126" s="2001"/>
      <c r="R126" s="2001"/>
      <c r="S126" s="2001"/>
      <c r="T126" s="2068"/>
      <c r="U126" s="2075" t="str">
        <f>IF('PIM Model'!$B$26=0,"",'PIM Model'!$B$26)</f>
        <v/>
      </c>
      <c r="V126" s="1948"/>
      <c r="W126" s="1948"/>
      <c r="X126" s="1948"/>
      <c r="Y126" s="1948"/>
      <c r="Z126" s="1948" t="str">
        <f>'PIM Model'!$AF$26</f>
        <v/>
      </c>
      <c r="AA126" s="1948"/>
      <c r="AB126" s="1948"/>
      <c r="AC126" s="1948"/>
      <c r="AD126" s="1948"/>
      <c r="AE126" s="1948"/>
      <c r="AF126" s="1991" t="str">
        <f>'PIM Model'!$AG$26</f>
        <v/>
      </c>
      <c r="AG126" s="1992"/>
      <c r="AH126" s="1992"/>
      <c r="AI126" s="1992"/>
      <c r="AJ126" s="1992"/>
      <c r="AK126" s="1992"/>
      <c r="AL126" s="2079"/>
      <c r="AM126" s="1991" t="str">
        <f>'PIM Model'!$AH$26</f>
        <v/>
      </c>
      <c r="AN126" s="1992"/>
      <c r="AO126" s="1992"/>
      <c r="AP126" s="1992"/>
      <c r="AQ126" s="1992"/>
      <c r="AR126" s="1992"/>
      <c r="AS126" s="1993"/>
      <c r="BF126" s="138"/>
    </row>
    <row r="127" spans="2:58" x14ac:dyDescent="0.25">
      <c r="B127" s="137"/>
      <c r="D127" s="2067" t="s">
        <v>94</v>
      </c>
      <c r="E127" s="2001"/>
      <c r="F127" s="2001"/>
      <c r="G127" s="2001"/>
      <c r="H127" s="2001"/>
      <c r="I127" s="2001"/>
      <c r="J127" s="2001"/>
      <c r="K127" s="2001"/>
      <c r="L127" s="2001"/>
      <c r="M127" s="2001"/>
      <c r="N127" s="2001"/>
      <c r="O127" s="2001"/>
      <c r="P127" s="2001"/>
      <c r="Q127" s="2001"/>
      <c r="R127" s="2001"/>
      <c r="S127" s="2001"/>
      <c r="T127" s="2068"/>
      <c r="U127" s="2075" t="str">
        <f>IF('PIM Model'!$B$27=0,"",'PIM Model'!$B$27)</f>
        <v/>
      </c>
      <c r="V127" s="1948"/>
      <c r="W127" s="1948"/>
      <c r="X127" s="1948"/>
      <c r="Y127" s="1948"/>
      <c r="Z127" s="1948" t="str">
        <f>'PIM Model'!$AF$27</f>
        <v/>
      </c>
      <c r="AA127" s="1948"/>
      <c r="AB127" s="1948"/>
      <c r="AC127" s="1948"/>
      <c r="AD127" s="1948"/>
      <c r="AE127" s="1948"/>
      <c r="AF127" s="1991" t="str">
        <f>'PIM Model'!$AG$27</f>
        <v/>
      </c>
      <c r="AG127" s="1992"/>
      <c r="AH127" s="1992"/>
      <c r="AI127" s="1992"/>
      <c r="AJ127" s="1992"/>
      <c r="AK127" s="1992"/>
      <c r="AL127" s="2079"/>
      <c r="AM127" s="1991" t="str">
        <f>'PIM Model'!$AH$27</f>
        <v/>
      </c>
      <c r="AN127" s="1992"/>
      <c r="AO127" s="1992"/>
      <c r="AP127" s="1992"/>
      <c r="AQ127" s="1992"/>
      <c r="AR127" s="1992"/>
      <c r="AS127" s="1993"/>
      <c r="BF127" s="138"/>
    </row>
    <row r="128" spans="2:58" x14ac:dyDescent="0.25">
      <c r="B128" s="137"/>
      <c r="D128" s="2067" t="s">
        <v>86</v>
      </c>
      <c r="E128" s="2001"/>
      <c r="F128" s="2001"/>
      <c r="G128" s="2001"/>
      <c r="H128" s="2001"/>
      <c r="I128" s="2001"/>
      <c r="J128" s="2001"/>
      <c r="K128" s="2001"/>
      <c r="L128" s="2001"/>
      <c r="M128" s="2001"/>
      <c r="N128" s="2001"/>
      <c r="O128" s="2001"/>
      <c r="P128" s="2001"/>
      <c r="Q128" s="2001"/>
      <c r="R128" s="2001"/>
      <c r="S128" s="2001"/>
      <c r="T128" s="2068"/>
      <c r="U128" s="2075" t="str">
        <f>IF('PIM Model'!$B$28=0,"",'PIM Model'!$B$28)</f>
        <v/>
      </c>
      <c r="V128" s="1948"/>
      <c r="W128" s="1948"/>
      <c r="X128" s="1948"/>
      <c r="Y128" s="1948"/>
      <c r="Z128" s="1948" t="str">
        <f>'PIM Model'!$AF$28</f>
        <v/>
      </c>
      <c r="AA128" s="1948"/>
      <c r="AB128" s="1948"/>
      <c r="AC128" s="1948"/>
      <c r="AD128" s="1948"/>
      <c r="AE128" s="1948"/>
      <c r="AF128" s="1991" t="str">
        <f>'PIM Model'!$AG$28</f>
        <v/>
      </c>
      <c r="AG128" s="1992"/>
      <c r="AH128" s="1992"/>
      <c r="AI128" s="1992"/>
      <c r="AJ128" s="1992"/>
      <c r="AK128" s="1992"/>
      <c r="AL128" s="2079"/>
      <c r="AM128" s="1991" t="str">
        <f>'PIM Model'!$AH$28</f>
        <v/>
      </c>
      <c r="AN128" s="1992"/>
      <c r="AO128" s="1992"/>
      <c r="AP128" s="1992"/>
      <c r="AQ128" s="1992"/>
      <c r="AR128" s="1992"/>
      <c r="AS128" s="1993"/>
      <c r="BF128" s="138"/>
    </row>
    <row r="129" spans="2:58" x14ac:dyDescent="0.25">
      <c r="B129" s="137"/>
      <c r="D129" s="2067" t="s">
        <v>88</v>
      </c>
      <c r="E129" s="2001"/>
      <c r="F129" s="2001"/>
      <c r="G129" s="2001"/>
      <c r="H129" s="2001"/>
      <c r="I129" s="2001"/>
      <c r="J129" s="2001"/>
      <c r="K129" s="2001"/>
      <c r="L129" s="2001"/>
      <c r="M129" s="2001"/>
      <c r="N129" s="2001"/>
      <c r="O129" s="2001"/>
      <c r="P129" s="2001"/>
      <c r="Q129" s="2001"/>
      <c r="R129" s="2001"/>
      <c r="S129" s="2001"/>
      <c r="T129" s="2068"/>
      <c r="U129" s="2075" t="str">
        <f>IF('PIM Model'!$B$29=0,"",'PIM Model'!$B$29)</f>
        <v/>
      </c>
      <c r="V129" s="1948"/>
      <c r="W129" s="1948"/>
      <c r="X129" s="1948"/>
      <c r="Y129" s="1948"/>
      <c r="Z129" s="1948" t="str">
        <f>'PIM Model'!$AF$29</f>
        <v/>
      </c>
      <c r="AA129" s="1948"/>
      <c r="AB129" s="1948"/>
      <c r="AC129" s="1948"/>
      <c r="AD129" s="1948"/>
      <c r="AE129" s="1948"/>
      <c r="AF129" s="1991" t="str">
        <f>'PIM Model'!$AG$29</f>
        <v/>
      </c>
      <c r="AG129" s="1992"/>
      <c r="AH129" s="1992"/>
      <c r="AI129" s="1992"/>
      <c r="AJ129" s="1992"/>
      <c r="AK129" s="1992"/>
      <c r="AL129" s="2079"/>
      <c r="AM129" s="1991" t="str">
        <f>'PIM Model'!$AH$29</f>
        <v/>
      </c>
      <c r="AN129" s="1992"/>
      <c r="AO129" s="1992"/>
      <c r="AP129" s="1992"/>
      <c r="AQ129" s="1992"/>
      <c r="AR129" s="1992"/>
      <c r="AS129" s="1993"/>
      <c r="BF129" s="138"/>
    </row>
    <row r="130" spans="2:58" ht="15.75" thickBot="1" x14ac:dyDescent="0.3">
      <c r="B130" s="137"/>
      <c r="D130" s="2076" t="s">
        <v>87</v>
      </c>
      <c r="E130" s="2077"/>
      <c r="F130" s="2077"/>
      <c r="G130" s="2077"/>
      <c r="H130" s="2077"/>
      <c r="I130" s="2077"/>
      <c r="J130" s="2077"/>
      <c r="K130" s="2077"/>
      <c r="L130" s="2077"/>
      <c r="M130" s="2077"/>
      <c r="N130" s="2077"/>
      <c r="O130" s="2077"/>
      <c r="P130" s="2077"/>
      <c r="Q130" s="2077"/>
      <c r="R130" s="2077"/>
      <c r="S130" s="2077"/>
      <c r="T130" s="2078"/>
      <c r="U130" s="2072" t="str">
        <f>IF('PIM Model'!$B$30=0,"",'PIM Model'!$B$30)</f>
        <v/>
      </c>
      <c r="V130" s="2073"/>
      <c r="W130" s="2073"/>
      <c r="X130" s="2073"/>
      <c r="Y130" s="2073"/>
      <c r="Z130" s="2073" t="str">
        <f>'PIM Model'!$AF$30</f>
        <v/>
      </c>
      <c r="AA130" s="2073"/>
      <c r="AB130" s="2073"/>
      <c r="AC130" s="2073"/>
      <c r="AD130" s="2073"/>
      <c r="AE130" s="2073"/>
      <c r="AF130" s="2080" t="str">
        <f>'PIM Model'!$AG$30</f>
        <v/>
      </c>
      <c r="AG130" s="2081"/>
      <c r="AH130" s="2081"/>
      <c r="AI130" s="2081"/>
      <c r="AJ130" s="2081"/>
      <c r="AK130" s="2081"/>
      <c r="AL130" s="2095"/>
      <c r="AM130" s="2080" t="str">
        <f>'PIM Model'!$AH$30</f>
        <v/>
      </c>
      <c r="AN130" s="2081"/>
      <c r="AO130" s="2081"/>
      <c r="AP130" s="2081"/>
      <c r="AQ130" s="2081"/>
      <c r="AR130" s="2081"/>
      <c r="AS130" s="2082"/>
      <c r="BF130" s="138"/>
    </row>
    <row r="131" spans="2:58" ht="16.5" thickTop="1" thickBot="1" x14ac:dyDescent="0.3">
      <c r="B131" s="137"/>
      <c r="D131" s="2086" t="s">
        <v>964</v>
      </c>
      <c r="E131" s="2087"/>
      <c r="F131" s="2087"/>
      <c r="G131" s="2087"/>
      <c r="H131" s="2087"/>
      <c r="I131" s="2087"/>
      <c r="J131" s="2087"/>
      <c r="K131" s="2087"/>
      <c r="L131" s="2087"/>
      <c r="M131" s="2087"/>
      <c r="N131" s="2087"/>
      <c r="O131" s="2087"/>
      <c r="P131" s="2087"/>
      <c r="Q131" s="2087"/>
      <c r="R131" s="2087"/>
      <c r="S131" s="2087"/>
      <c r="T131" s="2088"/>
      <c r="U131" s="2089">
        <f>COUNT($U$110:$Y$130)</f>
        <v>0</v>
      </c>
      <c r="V131" s="2090"/>
      <c r="W131" s="2090"/>
      <c r="X131" s="2090"/>
      <c r="Y131" s="2090"/>
      <c r="Z131" s="2087">
        <f>COUNTIF($Z$110:$AE$130,"ABOVE")+COUNTIF($Z$110:$AE$130,"BELOW")</f>
        <v>0</v>
      </c>
      <c r="AA131" s="2087"/>
      <c r="AB131" s="2087"/>
      <c r="AC131" s="2087"/>
      <c r="AD131" s="2087"/>
      <c r="AE131" s="2087"/>
      <c r="AF131" s="2091"/>
      <c r="AG131" s="2092"/>
      <c r="AH131" s="2092"/>
      <c r="AI131" s="2092"/>
      <c r="AJ131" s="2092"/>
      <c r="AK131" s="2092"/>
      <c r="AL131" s="2093"/>
      <c r="AM131" s="2091"/>
      <c r="AN131" s="2092"/>
      <c r="AO131" s="2092"/>
      <c r="AP131" s="2092"/>
      <c r="AQ131" s="2092"/>
      <c r="AR131" s="2092"/>
      <c r="AS131" s="209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100" t="s">
        <v>988</v>
      </c>
      <c r="C2" s="2101"/>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98" t="s">
        <v>819</v>
      </c>
      <c r="C6" s="2099"/>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98" t="s">
        <v>820</v>
      </c>
      <c r="C13" s="2099"/>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54"/>
  <sheetViews>
    <sheetView workbookViewId="0">
      <selection activeCell="E1" sqref="E1"/>
    </sheetView>
  </sheetViews>
  <sheetFormatPr defaultRowHeight="15" x14ac:dyDescent="0.25"/>
  <cols>
    <col min="1" max="1" width="17.85546875" style="848" customWidth="1"/>
    <col min="2" max="2" width="23.5703125" style="848" customWidth="1"/>
    <col min="3" max="3" width="40.85546875" style="1074" customWidth="1"/>
    <col min="4" max="4" width="43.140625" style="1074"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1408</v>
      </c>
      <c r="E1" s="1057" t="s">
        <v>1409</v>
      </c>
    </row>
    <row r="2" spans="1:5" x14ac:dyDescent="0.25">
      <c r="A2" s="974">
        <v>1</v>
      </c>
      <c r="B2" s="974" t="s">
        <v>1410</v>
      </c>
      <c r="C2" s="1046" t="s">
        <v>1410</v>
      </c>
      <c r="D2" s="1046" t="s">
        <v>1411</v>
      </c>
      <c r="E2" s="1043" t="s">
        <v>1412</v>
      </c>
    </row>
    <row r="3" spans="1:5" x14ac:dyDescent="0.25">
      <c r="A3" s="974">
        <v>2</v>
      </c>
      <c r="B3" s="974" t="s">
        <v>1410</v>
      </c>
      <c r="C3" s="1046" t="s">
        <v>1410</v>
      </c>
      <c r="D3" s="1046" t="s">
        <v>1411</v>
      </c>
      <c r="E3" s="1043" t="s">
        <v>1413</v>
      </c>
    </row>
    <row r="4" spans="1:5" x14ac:dyDescent="0.25">
      <c r="A4" s="974">
        <v>3</v>
      </c>
      <c r="B4" s="974" t="s">
        <v>1414</v>
      </c>
      <c r="C4" s="1046" t="s">
        <v>1410</v>
      </c>
      <c r="D4" s="1046" t="s">
        <v>1411</v>
      </c>
      <c r="E4" s="1043" t="s">
        <v>1415</v>
      </c>
    </row>
    <row r="5" spans="1:5" x14ac:dyDescent="0.25">
      <c r="A5" s="974">
        <v>4</v>
      </c>
      <c r="B5" s="974" t="s">
        <v>1374</v>
      </c>
      <c r="C5" s="1046" t="s">
        <v>1416</v>
      </c>
      <c r="D5" s="1046" t="s">
        <v>1417</v>
      </c>
      <c r="E5" s="1043" t="s">
        <v>1402</v>
      </c>
    </row>
    <row r="6" spans="1:5" x14ac:dyDescent="0.25">
      <c r="A6" s="974">
        <v>5</v>
      </c>
      <c r="B6" s="974" t="s">
        <v>1374</v>
      </c>
      <c r="C6" s="1046" t="s">
        <v>1416</v>
      </c>
      <c r="D6" s="1046" t="s">
        <v>1418</v>
      </c>
      <c r="E6" s="1043" t="s">
        <v>1403</v>
      </c>
    </row>
    <row r="7" spans="1:5" x14ac:dyDescent="0.25">
      <c r="A7" s="974">
        <v>6</v>
      </c>
      <c r="B7" s="974" t="s">
        <v>1401</v>
      </c>
      <c r="C7" s="1046" t="s">
        <v>1416</v>
      </c>
      <c r="D7" s="1046" t="s">
        <v>1419</v>
      </c>
      <c r="E7" s="1043" t="s">
        <v>1420</v>
      </c>
    </row>
    <row r="8" spans="1:5" x14ac:dyDescent="0.25">
      <c r="A8" s="974">
        <v>7</v>
      </c>
      <c r="B8" s="974" t="s">
        <v>1401</v>
      </c>
      <c r="C8" s="1046" t="s">
        <v>1416</v>
      </c>
      <c r="D8" s="1046" t="s">
        <v>1419</v>
      </c>
      <c r="E8" s="1043" t="s">
        <v>1421</v>
      </c>
    </row>
    <row r="9" spans="1:5" ht="30" x14ac:dyDescent="0.25">
      <c r="A9" s="974">
        <v>8</v>
      </c>
      <c r="B9" s="974" t="s">
        <v>1351</v>
      </c>
      <c r="C9" s="1046" t="s">
        <v>1416</v>
      </c>
      <c r="D9" s="1046" t="s">
        <v>1368</v>
      </c>
      <c r="E9" s="1043" t="s">
        <v>1214</v>
      </c>
    </row>
    <row r="10" spans="1:5" ht="30" x14ac:dyDescent="0.25">
      <c r="A10" s="974">
        <v>9</v>
      </c>
      <c r="B10" s="974" t="s">
        <v>1351</v>
      </c>
      <c r="C10" s="1046" t="s">
        <v>1416</v>
      </c>
      <c r="D10" s="1046" t="s">
        <v>1368</v>
      </c>
      <c r="E10" s="1043" t="s">
        <v>1215</v>
      </c>
    </row>
    <row r="11" spans="1:5" x14ac:dyDescent="0.25">
      <c r="A11" s="974">
        <v>10</v>
      </c>
      <c r="B11" s="974" t="s">
        <v>1351</v>
      </c>
      <c r="C11" s="1046" t="s">
        <v>1416</v>
      </c>
      <c r="D11" s="1046" t="s">
        <v>1368</v>
      </c>
      <c r="E11" s="1043" t="s">
        <v>1219</v>
      </c>
    </row>
    <row r="12" spans="1:5" x14ac:dyDescent="0.25">
      <c r="A12" s="974">
        <v>11</v>
      </c>
      <c r="B12" s="974" t="s">
        <v>1351</v>
      </c>
      <c r="C12" s="1046" t="s">
        <v>1422</v>
      </c>
      <c r="D12" s="1046" t="s">
        <v>1368</v>
      </c>
      <c r="E12" s="1043" t="s">
        <v>1216</v>
      </c>
    </row>
    <row r="13" spans="1:5" x14ac:dyDescent="0.25">
      <c r="A13" s="974">
        <v>12</v>
      </c>
      <c r="B13" s="974" t="s">
        <v>1351</v>
      </c>
      <c r="C13" s="1046" t="s">
        <v>1422</v>
      </c>
      <c r="D13" s="1046" t="s">
        <v>1368</v>
      </c>
      <c r="E13" s="1043" t="s">
        <v>1227</v>
      </c>
    </row>
    <row r="14" spans="1:5" x14ac:dyDescent="0.25">
      <c r="A14" s="974">
        <v>13</v>
      </c>
      <c r="B14" s="974" t="s">
        <v>1351</v>
      </c>
      <c r="C14" s="1046" t="s">
        <v>1422</v>
      </c>
      <c r="D14" s="1046" t="s">
        <v>1368</v>
      </c>
      <c r="E14" s="1043" t="s">
        <v>1228</v>
      </c>
    </row>
    <row r="15" spans="1:5" x14ac:dyDescent="0.25">
      <c r="A15" s="974">
        <v>14</v>
      </c>
      <c r="B15" s="974" t="s">
        <v>1351</v>
      </c>
      <c r="C15" s="1046" t="s">
        <v>1422</v>
      </c>
      <c r="D15" s="1046" t="s">
        <v>1368</v>
      </c>
      <c r="E15" s="1043" t="s">
        <v>1230</v>
      </c>
    </row>
    <row r="16" spans="1:5" x14ac:dyDescent="0.25">
      <c r="A16" s="974">
        <v>15</v>
      </c>
      <c r="B16" s="974" t="s">
        <v>1351</v>
      </c>
      <c r="C16" s="1046" t="s">
        <v>1422</v>
      </c>
      <c r="D16" s="1046" t="s">
        <v>1368</v>
      </c>
      <c r="E16" s="1043" t="s">
        <v>1231</v>
      </c>
    </row>
    <row r="17" spans="1:5" ht="30" x14ac:dyDescent="0.25">
      <c r="A17" s="974">
        <v>16</v>
      </c>
      <c r="B17" s="974" t="s">
        <v>1351</v>
      </c>
      <c r="C17" s="1046" t="s">
        <v>1422</v>
      </c>
      <c r="D17" s="1046" t="s">
        <v>1368</v>
      </c>
      <c r="E17" s="1043" t="s">
        <v>1232</v>
      </c>
    </row>
    <row r="18" spans="1:5" x14ac:dyDescent="0.25">
      <c r="A18" s="974">
        <v>17</v>
      </c>
      <c r="B18" s="974" t="s">
        <v>1351</v>
      </c>
      <c r="C18" s="1046" t="s">
        <v>1422</v>
      </c>
      <c r="D18" s="1046" t="s">
        <v>1423</v>
      </c>
      <c r="E18" s="1043" t="s">
        <v>1220</v>
      </c>
    </row>
    <row r="19" spans="1:5" x14ac:dyDescent="0.25">
      <c r="A19" s="974">
        <v>18</v>
      </c>
      <c r="B19" s="974" t="s">
        <v>1351</v>
      </c>
      <c r="C19" s="1046" t="s">
        <v>1422</v>
      </c>
      <c r="D19" s="1046" t="s">
        <v>1423</v>
      </c>
      <c r="E19" s="1043" t="s">
        <v>1221</v>
      </c>
    </row>
    <row r="20" spans="1:5" x14ac:dyDescent="0.25">
      <c r="A20" s="974">
        <v>19</v>
      </c>
      <c r="B20" s="974" t="s">
        <v>1351</v>
      </c>
      <c r="C20" s="1046" t="s">
        <v>1238</v>
      </c>
      <c r="D20" s="1046" t="s">
        <v>1411</v>
      </c>
      <c r="E20" s="1042" t="s">
        <v>1262</v>
      </c>
    </row>
    <row r="21" spans="1:5" ht="30" x14ac:dyDescent="0.25">
      <c r="A21" s="974">
        <v>20</v>
      </c>
      <c r="B21" s="974" t="s">
        <v>1351</v>
      </c>
      <c r="C21" s="1046" t="s">
        <v>2137</v>
      </c>
      <c r="D21" s="1046" t="s">
        <v>1411</v>
      </c>
      <c r="E21" s="1042" t="s">
        <v>1202</v>
      </c>
    </row>
    <row r="22" spans="1:5" ht="30" x14ac:dyDescent="0.25">
      <c r="A22" s="974">
        <v>21</v>
      </c>
      <c r="B22" s="974" t="s">
        <v>1351</v>
      </c>
      <c r="C22" s="1046" t="s">
        <v>2137</v>
      </c>
      <c r="D22" s="1046" t="s">
        <v>1411</v>
      </c>
      <c r="E22" s="1042" t="s">
        <v>1723</v>
      </c>
    </row>
    <row r="23" spans="1:5" ht="30" x14ac:dyDescent="0.25">
      <c r="A23" s="974">
        <v>22</v>
      </c>
      <c r="B23" s="974" t="s">
        <v>1351</v>
      </c>
      <c r="C23" s="1046" t="s">
        <v>2137</v>
      </c>
      <c r="D23" s="1046" t="s">
        <v>1411</v>
      </c>
      <c r="E23" s="1042" t="s">
        <v>1201</v>
      </c>
    </row>
    <row r="24" spans="1:5" x14ac:dyDescent="0.25">
      <c r="A24" s="974">
        <v>23</v>
      </c>
      <c r="B24" s="974" t="s">
        <v>1351</v>
      </c>
      <c r="C24" s="1046" t="s">
        <v>1238</v>
      </c>
      <c r="D24" s="1046" t="s">
        <v>1411</v>
      </c>
      <c r="E24" s="1042" t="s">
        <v>1726</v>
      </c>
    </row>
    <row r="25" spans="1:5" x14ac:dyDescent="0.25">
      <c r="A25" s="974">
        <v>24</v>
      </c>
      <c r="B25" s="974" t="s">
        <v>1351</v>
      </c>
      <c r="C25" s="1046" t="s">
        <v>1197</v>
      </c>
      <c r="D25" s="1046" t="s">
        <v>1411</v>
      </c>
      <c r="E25" s="1042" t="s">
        <v>1724</v>
      </c>
    </row>
    <row r="26" spans="1:5" x14ac:dyDescent="0.25">
      <c r="A26" s="974">
        <v>25</v>
      </c>
      <c r="B26" s="974" t="s">
        <v>1374</v>
      </c>
      <c r="C26" s="1046" t="s">
        <v>1422</v>
      </c>
      <c r="D26" s="1046" t="s">
        <v>1368</v>
      </c>
      <c r="E26" s="1043" t="s">
        <v>1404</v>
      </c>
    </row>
    <row r="27" spans="1:5" x14ac:dyDescent="0.25">
      <c r="A27" s="974">
        <v>26</v>
      </c>
      <c r="B27" s="974" t="s">
        <v>1374</v>
      </c>
      <c r="C27" s="1046" t="s">
        <v>1424</v>
      </c>
      <c r="D27" s="1046" t="s">
        <v>1425</v>
      </c>
      <c r="E27" s="1043" t="s">
        <v>1405</v>
      </c>
    </row>
    <row r="28" spans="1:5" x14ac:dyDescent="0.25">
      <c r="A28" s="974">
        <v>27</v>
      </c>
      <c r="B28" s="974" t="s">
        <v>1374</v>
      </c>
      <c r="C28" s="1046" t="s">
        <v>1424</v>
      </c>
      <c r="D28" s="1046" t="s">
        <v>1425</v>
      </c>
      <c r="E28" s="1043" t="s">
        <v>1426</v>
      </c>
    </row>
    <row r="29" spans="1:5" x14ac:dyDescent="0.25">
      <c r="A29" s="974">
        <v>28</v>
      </c>
      <c r="B29" s="974" t="s">
        <v>1374</v>
      </c>
      <c r="C29" s="1046" t="s">
        <v>1424</v>
      </c>
      <c r="D29" s="1046" t="s">
        <v>1425</v>
      </c>
      <c r="E29" s="1043" t="s">
        <v>651</v>
      </c>
    </row>
    <row r="30" spans="1:5" x14ac:dyDescent="0.25">
      <c r="A30" s="974">
        <v>29</v>
      </c>
      <c r="B30" s="974" t="s">
        <v>1374</v>
      </c>
      <c r="C30" s="1046" t="s">
        <v>1424</v>
      </c>
      <c r="D30" s="1046" t="s">
        <v>1425</v>
      </c>
      <c r="E30" s="1043" t="s">
        <v>1158</v>
      </c>
    </row>
    <row r="31" spans="1:5" x14ac:dyDescent="0.25">
      <c r="A31" s="974">
        <v>30</v>
      </c>
      <c r="B31" s="974" t="s">
        <v>1374</v>
      </c>
      <c r="C31" s="1046" t="s">
        <v>1424</v>
      </c>
      <c r="D31" s="1046" t="s">
        <v>1425</v>
      </c>
      <c r="E31" s="1043" t="s">
        <v>1159</v>
      </c>
    </row>
    <row r="32" spans="1:5" x14ac:dyDescent="0.25">
      <c r="A32" s="974">
        <v>31</v>
      </c>
      <c r="B32" s="974" t="s">
        <v>1374</v>
      </c>
      <c r="C32" s="1046" t="s">
        <v>1424</v>
      </c>
      <c r="D32" s="1046" t="s">
        <v>1425</v>
      </c>
      <c r="E32" s="1043" t="s">
        <v>1160</v>
      </c>
    </row>
    <row r="33" spans="1:5" x14ac:dyDescent="0.25">
      <c r="A33" s="974">
        <v>32</v>
      </c>
      <c r="B33" s="974" t="s">
        <v>1374</v>
      </c>
      <c r="C33" s="1046" t="s">
        <v>1427</v>
      </c>
      <c r="D33" s="1046" t="s">
        <v>2138</v>
      </c>
      <c r="E33" s="1043" t="s">
        <v>1472</v>
      </c>
    </row>
    <row r="34" spans="1:5" x14ac:dyDescent="0.25">
      <c r="A34" s="974">
        <v>33</v>
      </c>
      <c r="B34" s="974" t="s">
        <v>1401</v>
      </c>
      <c r="C34" s="1046" t="s">
        <v>1428</v>
      </c>
      <c r="D34" s="1046" t="s">
        <v>1411</v>
      </c>
      <c r="E34" s="1043" t="s">
        <v>1178</v>
      </c>
    </row>
    <row r="35" spans="1:5" x14ac:dyDescent="0.25">
      <c r="A35" s="974">
        <v>34</v>
      </c>
      <c r="B35" s="974" t="s">
        <v>870</v>
      </c>
      <c r="C35" s="1046" t="s">
        <v>1428</v>
      </c>
      <c r="D35" s="1046" t="s">
        <v>1411</v>
      </c>
      <c r="E35" s="1043" t="s">
        <v>1182</v>
      </c>
    </row>
    <row r="36" spans="1:5" x14ac:dyDescent="0.25">
      <c r="A36" s="974">
        <v>35</v>
      </c>
      <c r="B36" s="974" t="s">
        <v>1401</v>
      </c>
      <c r="C36" s="1046" t="s">
        <v>1428</v>
      </c>
      <c r="D36" s="1046" t="s">
        <v>1411</v>
      </c>
      <c r="E36" s="1043" t="s">
        <v>766</v>
      </c>
    </row>
    <row r="37" spans="1:5" x14ac:dyDescent="0.25">
      <c r="A37" s="974">
        <v>36</v>
      </c>
      <c r="B37" s="974" t="s">
        <v>870</v>
      </c>
      <c r="C37" s="1046" t="s">
        <v>1428</v>
      </c>
      <c r="D37" s="1046" t="s">
        <v>1411</v>
      </c>
      <c r="E37" s="1045" t="s">
        <v>1262</v>
      </c>
    </row>
    <row r="38" spans="1:5" ht="30" x14ac:dyDescent="0.25">
      <c r="A38" s="974">
        <v>37</v>
      </c>
      <c r="B38" s="974" t="s">
        <v>870</v>
      </c>
      <c r="C38" s="1046" t="s">
        <v>1428</v>
      </c>
      <c r="D38" s="1046" t="s">
        <v>1411</v>
      </c>
      <c r="E38" s="1045" t="s">
        <v>1263</v>
      </c>
    </row>
    <row r="39" spans="1:5" x14ac:dyDescent="0.25">
      <c r="A39" s="974">
        <v>38</v>
      </c>
      <c r="B39" s="974" t="s">
        <v>870</v>
      </c>
      <c r="C39" s="1046" t="s">
        <v>1428</v>
      </c>
      <c r="D39" s="1046" t="s">
        <v>1411</v>
      </c>
      <c r="E39" s="1045" t="s">
        <v>1185</v>
      </c>
    </row>
    <row r="40" spans="1:5" x14ac:dyDescent="0.25">
      <c r="A40" s="974">
        <v>39</v>
      </c>
      <c r="B40" s="974" t="s">
        <v>870</v>
      </c>
      <c r="C40" s="1046" t="s">
        <v>1428</v>
      </c>
      <c r="D40" s="1046" t="s">
        <v>1411</v>
      </c>
      <c r="E40" s="1045" t="s">
        <v>1186</v>
      </c>
    </row>
    <row r="41" spans="1:5" x14ac:dyDescent="0.25">
      <c r="A41" s="974">
        <v>40</v>
      </c>
      <c r="B41" s="974" t="s">
        <v>870</v>
      </c>
      <c r="C41" s="1046" t="s">
        <v>1428</v>
      </c>
      <c r="D41" s="1046" t="s">
        <v>1411</v>
      </c>
      <c r="E41" s="1045" t="s">
        <v>1187</v>
      </c>
    </row>
    <row r="42" spans="1:5" x14ac:dyDescent="0.25">
      <c r="A42" s="974">
        <v>41</v>
      </c>
      <c r="B42" s="974" t="s">
        <v>870</v>
      </c>
      <c r="C42" s="1046" t="s">
        <v>1428</v>
      </c>
      <c r="D42" s="1046" t="s">
        <v>1411</v>
      </c>
      <c r="E42" s="1045" t="s">
        <v>1188</v>
      </c>
    </row>
    <row r="43" spans="1:5" x14ac:dyDescent="0.25">
      <c r="A43" s="974">
        <v>42</v>
      </c>
      <c r="B43" s="974" t="s">
        <v>870</v>
      </c>
      <c r="C43" s="1046" t="s">
        <v>1428</v>
      </c>
      <c r="D43" s="1046" t="s">
        <v>1411</v>
      </c>
      <c r="E43" s="1045" t="s">
        <v>1189</v>
      </c>
    </row>
    <row r="44" spans="1:5" x14ac:dyDescent="0.25">
      <c r="A44" s="974">
        <v>43</v>
      </c>
      <c r="B44" s="974" t="s">
        <v>870</v>
      </c>
      <c r="C44" s="1046" t="s">
        <v>1428</v>
      </c>
      <c r="D44" s="1046" t="s">
        <v>1411</v>
      </c>
      <c r="E44" s="1045" t="s">
        <v>1429</v>
      </c>
    </row>
    <row r="45" spans="1:5" x14ac:dyDescent="0.25">
      <c r="A45" s="974">
        <v>44</v>
      </c>
      <c r="B45" s="974" t="s">
        <v>870</v>
      </c>
      <c r="C45" s="1046" t="s">
        <v>1428</v>
      </c>
      <c r="D45" s="1046" t="s">
        <v>1411</v>
      </c>
      <c r="E45" s="1045" t="s">
        <v>1632</v>
      </c>
    </row>
    <row r="46" spans="1:5" x14ac:dyDescent="0.25">
      <c r="A46" s="974">
        <v>45</v>
      </c>
      <c r="B46" s="974" t="s">
        <v>1401</v>
      </c>
      <c r="C46" s="1046" t="s">
        <v>1428</v>
      </c>
      <c r="D46" s="1046" t="s">
        <v>1430</v>
      </c>
      <c r="E46" s="1043" t="s">
        <v>765</v>
      </c>
    </row>
    <row r="47" spans="1:5" x14ac:dyDescent="0.25">
      <c r="A47" s="974">
        <v>46</v>
      </c>
      <c r="B47" s="974" t="s">
        <v>1401</v>
      </c>
      <c r="C47" s="1046" t="s">
        <v>1428</v>
      </c>
      <c r="D47" s="1046" t="s">
        <v>1430</v>
      </c>
      <c r="E47" s="1043" t="s">
        <v>1179</v>
      </c>
    </row>
    <row r="48" spans="1:5" x14ac:dyDescent="0.25">
      <c r="A48" s="974">
        <v>47</v>
      </c>
      <c r="B48" s="974" t="s">
        <v>1401</v>
      </c>
      <c r="C48" s="1046" t="s">
        <v>1428</v>
      </c>
      <c r="D48" s="1046" t="s">
        <v>1411</v>
      </c>
      <c r="E48" s="1043" t="s">
        <v>1180</v>
      </c>
    </row>
    <row r="49" spans="1:5" x14ac:dyDescent="0.25">
      <c r="A49" s="974">
        <v>48</v>
      </c>
      <c r="B49" s="974" t="s">
        <v>1401</v>
      </c>
      <c r="C49" s="1046" t="s">
        <v>1428</v>
      </c>
      <c r="D49" s="1046" t="s">
        <v>1411</v>
      </c>
      <c r="E49" s="1043" t="s">
        <v>1367</v>
      </c>
    </row>
    <row r="50" spans="1:5" x14ac:dyDescent="0.25">
      <c r="A50" s="974">
        <v>49</v>
      </c>
      <c r="B50" s="974" t="s">
        <v>1401</v>
      </c>
      <c r="C50" s="1046" t="s">
        <v>1428</v>
      </c>
      <c r="D50" s="1046" t="s">
        <v>1411</v>
      </c>
      <c r="E50" s="1043" t="s">
        <v>1297</v>
      </c>
    </row>
    <row r="51" spans="1:5" x14ac:dyDescent="0.25">
      <c r="A51" s="974">
        <v>50</v>
      </c>
      <c r="B51" s="974" t="s">
        <v>1401</v>
      </c>
      <c r="C51" s="1046" t="s">
        <v>1428</v>
      </c>
      <c r="D51" s="1046" t="s">
        <v>1411</v>
      </c>
      <c r="E51" s="1043" t="s">
        <v>767</v>
      </c>
    </row>
    <row r="52" spans="1:5" x14ac:dyDescent="0.25">
      <c r="A52" s="974">
        <v>51</v>
      </c>
      <c r="B52" s="974" t="s">
        <v>1401</v>
      </c>
      <c r="C52" s="1046" t="s">
        <v>1428</v>
      </c>
      <c r="D52" s="1046" t="s">
        <v>1411</v>
      </c>
      <c r="E52" s="1043" t="s">
        <v>768</v>
      </c>
    </row>
    <row r="53" spans="1:5" x14ac:dyDescent="0.25">
      <c r="A53" s="974">
        <v>52</v>
      </c>
      <c r="B53" s="974" t="s">
        <v>1401</v>
      </c>
      <c r="C53" s="1046" t="s">
        <v>1428</v>
      </c>
      <c r="D53" s="1046" t="s">
        <v>1411</v>
      </c>
      <c r="E53" s="1043" t="s">
        <v>769</v>
      </c>
    </row>
    <row r="54" spans="1:5" x14ac:dyDescent="0.25">
      <c r="A54" s="974">
        <v>53</v>
      </c>
      <c r="B54" s="974" t="s">
        <v>1401</v>
      </c>
      <c r="C54" s="1046" t="s">
        <v>1428</v>
      </c>
      <c r="D54" s="1046" t="s">
        <v>1411</v>
      </c>
      <c r="E54" s="1043" t="s">
        <v>204</v>
      </c>
    </row>
    <row r="55" spans="1:5" x14ac:dyDescent="0.25">
      <c r="A55" s="974">
        <v>54</v>
      </c>
      <c r="B55" s="974" t="s">
        <v>1401</v>
      </c>
      <c r="C55" s="1046" t="s">
        <v>1431</v>
      </c>
      <c r="D55" s="1046" t="s">
        <v>1411</v>
      </c>
      <c r="E55" s="1043" t="s">
        <v>1178</v>
      </c>
    </row>
    <row r="56" spans="1:5" x14ac:dyDescent="0.25">
      <c r="A56" s="974">
        <v>55</v>
      </c>
      <c r="B56" s="974" t="s">
        <v>870</v>
      </c>
      <c r="C56" s="1046" t="s">
        <v>1431</v>
      </c>
      <c r="D56" s="1046" t="s">
        <v>1411</v>
      </c>
      <c r="E56" s="1043" t="s">
        <v>1182</v>
      </c>
    </row>
    <row r="57" spans="1:5" x14ac:dyDescent="0.25">
      <c r="A57" s="974">
        <v>56</v>
      </c>
      <c r="B57" s="974" t="s">
        <v>1401</v>
      </c>
      <c r="C57" s="1046" t="s">
        <v>1431</v>
      </c>
      <c r="D57" s="1046" t="s">
        <v>1411</v>
      </c>
      <c r="E57" s="1043" t="s">
        <v>766</v>
      </c>
    </row>
    <row r="58" spans="1:5" x14ac:dyDescent="0.25">
      <c r="A58" s="974">
        <v>57</v>
      </c>
      <c r="B58" s="974" t="s">
        <v>870</v>
      </c>
      <c r="C58" s="1046" t="s">
        <v>1431</v>
      </c>
      <c r="D58" s="1046" t="s">
        <v>1411</v>
      </c>
      <c r="E58" s="1045" t="s">
        <v>1262</v>
      </c>
    </row>
    <row r="59" spans="1:5" ht="30" x14ac:dyDescent="0.25">
      <c r="A59" s="974">
        <v>58</v>
      </c>
      <c r="B59" s="974" t="s">
        <v>870</v>
      </c>
      <c r="C59" s="1046" t="s">
        <v>1431</v>
      </c>
      <c r="D59" s="1046" t="s">
        <v>1411</v>
      </c>
      <c r="E59" s="1045" t="s">
        <v>1263</v>
      </c>
    </row>
    <row r="60" spans="1:5" x14ac:dyDescent="0.25">
      <c r="A60" s="974">
        <v>59</v>
      </c>
      <c r="B60" s="974" t="s">
        <v>870</v>
      </c>
      <c r="C60" s="1046" t="s">
        <v>1431</v>
      </c>
      <c r="D60" s="1046" t="s">
        <v>1411</v>
      </c>
      <c r="E60" s="1045" t="s">
        <v>1185</v>
      </c>
    </row>
    <row r="61" spans="1:5" x14ac:dyDescent="0.25">
      <c r="A61" s="974">
        <v>60</v>
      </c>
      <c r="B61" s="974" t="s">
        <v>870</v>
      </c>
      <c r="C61" s="1046" t="s">
        <v>1431</v>
      </c>
      <c r="D61" s="1046" t="s">
        <v>1411</v>
      </c>
      <c r="E61" s="1045" t="s">
        <v>1186</v>
      </c>
    </row>
    <row r="62" spans="1:5" x14ac:dyDescent="0.25">
      <c r="A62" s="974">
        <v>61</v>
      </c>
      <c r="B62" s="974" t="s">
        <v>870</v>
      </c>
      <c r="C62" s="1046" t="s">
        <v>1431</v>
      </c>
      <c r="D62" s="1046" t="s">
        <v>1411</v>
      </c>
      <c r="E62" s="1045" t="s">
        <v>1187</v>
      </c>
    </row>
    <row r="63" spans="1:5" x14ac:dyDescent="0.25">
      <c r="A63" s="974">
        <v>62</v>
      </c>
      <c r="B63" s="974" t="s">
        <v>870</v>
      </c>
      <c r="C63" s="1046" t="s">
        <v>1431</v>
      </c>
      <c r="D63" s="1046" t="s">
        <v>1411</v>
      </c>
      <c r="E63" s="1045" t="s">
        <v>1188</v>
      </c>
    </row>
    <row r="64" spans="1:5" x14ac:dyDescent="0.25">
      <c r="A64" s="974">
        <v>63</v>
      </c>
      <c r="B64" s="974" t="s">
        <v>870</v>
      </c>
      <c r="C64" s="1046" t="s">
        <v>1431</v>
      </c>
      <c r="D64" s="1046" t="s">
        <v>1411</v>
      </c>
      <c r="E64" s="1045" t="s">
        <v>1189</v>
      </c>
    </row>
    <row r="65" spans="1:5" x14ac:dyDescent="0.25">
      <c r="A65" s="974">
        <v>64</v>
      </c>
      <c r="B65" s="974" t="s">
        <v>870</v>
      </c>
      <c r="C65" s="1046" t="s">
        <v>1431</v>
      </c>
      <c r="D65" s="1046" t="s">
        <v>1411</v>
      </c>
      <c r="E65" s="1045" t="s">
        <v>1429</v>
      </c>
    </row>
    <row r="66" spans="1:5" x14ac:dyDescent="0.25">
      <c r="A66" s="974">
        <v>65</v>
      </c>
      <c r="B66" s="974" t="s">
        <v>870</v>
      </c>
      <c r="C66" s="1046" t="s">
        <v>1431</v>
      </c>
      <c r="D66" s="1046" t="s">
        <v>1411</v>
      </c>
      <c r="E66" s="1045" t="s">
        <v>1632</v>
      </c>
    </row>
    <row r="67" spans="1:5" x14ac:dyDescent="0.25">
      <c r="A67" s="974">
        <v>66</v>
      </c>
      <c r="B67" s="974" t="s">
        <v>1401</v>
      </c>
      <c r="C67" s="1046" t="s">
        <v>1431</v>
      </c>
      <c r="D67" s="1046" t="s">
        <v>1430</v>
      </c>
      <c r="E67" s="1043" t="s">
        <v>765</v>
      </c>
    </row>
    <row r="68" spans="1:5" x14ac:dyDescent="0.25">
      <c r="A68" s="974">
        <v>67</v>
      </c>
      <c r="B68" s="974" t="s">
        <v>1401</v>
      </c>
      <c r="C68" s="1046" t="s">
        <v>1431</v>
      </c>
      <c r="D68" s="1046" t="s">
        <v>1430</v>
      </c>
      <c r="E68" s="1043" t="s">
        <v>1179</v>
      </c>
    </row>
    <row r="69" spans="1:5" x14ac:dyDescent="0.25">
      <c r="A69" s="974">
        <v>68</v>
      </c>
      <c r="B69" s="974" t="s">
        <v>1401</v>
      </c>
      <c r="C69" s="1046" t="s">
        <v>1431</v>
      </c>
      <c r="D69" s="1046" t="s">
        <v>1411</v>
      </c>
      <c r="E69" s="1043" t="s">
        <v>1180</v>
      </c>
    </row>
    <row r="70" spans="1:5" x14ac:dyDescent="0.25">
      <c r="A70" s="974">
        <v>69</v>
      </c>
      <c r="B70" s="974" t="s">
        <v>1401</v>
      </c>
      <c r="C70" s="1046" t="s">
        <v>1431</v>
      </c>
      <c r="D70" s="1046" t="s">
        <v>1411</v>
      </c>
      <c r="E70" s="1043" t="s">
        <v>1367</v>
      </c>
    </row>
    <row r="71" spans="1:5" x14ac:dyDescent="0.25">
      <c r="A71" s="974">
        <v>70</v>
      </c>
      <c r="B71" s="974" t="s">
        <v>1401</v>
      </c>
      <c r="C71" s="1046" t="s">
        <v>1431</v>
      </c>
      <c r="D71" s="1046" t="s">
        <v>1411</v>
      </c>
      <c r="E71" s="1043" t="s">
        <v>1297</v>
      </c>
    </row>
    <row r="72" spans="1:5" x14ac:dyDescent="0.25">
      <c r="A72" s="974">
        <v>71</v>
      </c>
      <c r="B72" s="974" t="s">
        <v>1401</v>
      </c>
      <c r="C72" s="1046" t="s">
        <v>1431</v>
      </c>
      <c r="D72" s="1046" t="s">
        <v>1411</v>
      </c>
      <c r="E72" s="1043" t="s">
        <v>767</v>
      </c>
    </row>
    <row r="73" spans="1:5" x14ac:dyDescent="0.25">
      <c r="A73" s="974">
        <v>72</v>
      </c>
      <c r="B73" s="974" t="s">
        <v>1401</v>
      </c>
      <c r="C73" s="1046" t="s">
        <v>1431</v>
      </c>
      <c r="D73" s="1046" t="s">
        <v>1411</v>
      </c>
      <c r="E73" s="1043" t="s">
        <v>768</v>
      </c>
    </row>
    <row r="74" spans="1:5" x14ac:dyDescent="0.25">
      <c r="A74" s="974">
        <v>73</v>
      </c>
      <c r="B74" s="974" t="s">
        <v>1401</v>
      </c>
      <c r="C74" s="1046" t="s">
        <v>1431</v>
      </c>
      <c r="D74" s="1046" t="s">
        <v>1411</v>
      </c>
      <c r="E74" s="1043" t="s">
        <v>769</v>
      </c>
    </row>
    <row r="75" spans="1:5" x14ac:dyDescent="0.25">
      <c r="A75" s="974">
        <v>74</v>
      </c>
      <c r="B75" s="974" t="s">
        <v>1401</v>
      </c>
      <c r="C75" s="1046" t="s">
        <v>1431</v>
      </c>
      <c r="D75" s="1046" t="s">
        <v>1411</v>
      </c>
      <c r="E75" s="1043" t="s">
        <v>204</v>
      </c>
    </row>
    <row r="76" spans="1:5" x14ac:dyDescent="0.25">
      <c r="A76" s="974">
        <v>75</v>
      </c>
      <c r="B76" s="974" t="s">
        <v>1401</v>
      </c>
      <c r="C76" s="1046" t="s">
        <v>1432</v>
      </c>
      <c r="D76" s="1046" t="s">
        <v>1430</v>
      </c>
      <c r="E76" s="1043" t="s">
        <v>1178</v>
      </c>
    </row>
    <row r="77" spans="1:5" x14ac:dyDescent="0.25">
      <c r="A77" s="974">
        <v>76</v>
      </c>
      <c r="B77" s="974" t="s">
        <v>870</v>
      </c>
      <c r="C77" s="1046" t="s">
        <v>1432</v>
      </c>
      <c r="D77" s="1046" t="s">
        <v>1411</v>
      </c>
      <c r="E77" s="1043" t="s">
        <v>1182</v>
      </c>
    </row>
    <row r="78" spans="1:5" x14ac:dyDescent="0.25">
      <c r="A78" s="974">
        <v>77</v>
      </c>
      <c r="B78" s="974" t="s">
        <v>1401</v>
      </c>
      <c r="C78" s="1046" t="s">
        <v>1432</v>
      </c>
      <c r="D78" s="1046" t="s">
        <v>1411</v>
      </c>
      <c r="E78" s="1043" t="s">
        <v>766</v>
      </c>
    </row>
    <row r="79" spans="1:5" x14ac:dyDescent="0.25">
      <c r="A79" s="974">
        <v>78</v>
      </c>
      <c r="B79" s="974" t="s">
        <v>870</v>
      </c>
      <c r="C79" s="1046" t="s">
        <v>1432</v>
      </c>
      <c r="D79" s="1046" t="s">
        <v>1411</v>
      </c>
      <c r="E79" s="1045" t="s">
        <v>1262</v>
      </c>
    </row>
    <row r="80" spans="1:5" ht="30" x14ac:dyDescent="0.25">
      <c r="A80" s="974">
        <v>79</v>
      </c>
      <c r="B80" s="974" t="s">
        <v>870</v>
      </c>
      <c r="C80" s="1046" t="s">
        <v>1432</v>
      </c>
      <c r="D80" s="1046" t="s">
        <v>1411</v>
      </c>
      <c r="E80" s="1045" t="s">
        <v>1263</v>
      </c>
    </row>
    <row r="81" spans="1:5" x14ac:dyDescent="0.25">
      <c r="A81" s="974">
        <v>80</v>
      </c>
      <c r="B81" s="974" t="s">
        <v>870</v>
      </c>
      <c r="C81" s="1046" t="s">
        <v>1432</v>
      </c>
      <c r="D81" s="1046" t="s">
        <v>1411</v>
      </c>
      <c r="E81" s="1045" t="s">
        <v>1185</v>
      </c>
    </row>
    <row r="82" spans="1:5" x14ac:dyDescent="0.25">
      <c r="A82" s="974">
        <v>81</v>
      </c>
      <c r="B82" s="974" t="s">
        <v>870</v>
      </c>
      <c r="C82" s="1046" t="s">
        <v>1432</v>
      </c>
      <c r="D82" s="1046" t="s">
        <v>1411</v>
      </c>
      <c r="E82" s="1045" t="s">
        <v>1186</v>
      </c>
    </row>
    <row r="83" spans="1:5" x14ac:dyDescent="0.25">
      <c r="A83" s="974">
        <v>82</v>
      </c>
      <c r="B83" s="974" t="s">
        <v>870</v>
      </c>
      <c r="C83" s="1046" t="s">
        <v>1432</v>
      </c>
      <c r="D83" s="1046" t="s">
        <v>1411</v>
      </c>
      <c r="E83" s="1045" t="s">
        <v>1187</v>
      </c>
    </row>
    <row r="84" spans="1:5" x14ac:dyDescent="0.25">
      <c r="A84" s="974">
        <v>83</v>
      </c>
      <c r="B84" s="974" t="s">
        <v>870</v>
      </c>
      <c r="C84" s="1046" t="s">
        <v>1432</v>
      </c>
      <c r="D84" s="1046" t="s">
        <v>1411</v>
      </c>
      <c r="E84" s="1045" t="s">
        <v>1188</v>
      </c>
    </row>
    <row r="85" spans="1:5" x14ac:dyDescent="0.25">
      <c r="A85" s="974">
        <v>84</v>
      </c>
      <c r="B85" s="974" t="s">
        <v>870</v>
      </c>
      <c r="C85" s="1046" t="s">
        <v>1432</v>
      </c>
      <c r="D85" s="1046" t="s">
        <v>1411</v>
      </c>
      <c r="E85" s="1045" t="s">
        <v>1189</v>
      </c>
    </row>
    <row r="86" spans="1:5" x14ac:dyDescent="0.25">
      <c r="A86" s="974">
        <v>85</v>
      </c>
      <c r="B86" s="974" t="s">
        <v>870</v>
      </c>
      <c r="C86" s="1046" t="s">
        <v>1432</v>
      </c>
      <c r="D86" s="1046" t="s">
        <v>1411</v>
      </c>
      <c r="E86" s="1045" t="s">
        <v>1429</v>
      </c>
    </row>
    <row r="87" spans="1:5" x14ac:dyDescent="0.25">
      <c r="A87" s="974">
        <v>86</v>
      </c>
      <c r="B87" s="974" t="s">
        <v>870</v>
      </c>
      <c r="C87" s="1046" t="s">
        <v>1432</v>
      </c>
      <c r="D87" s="1046" t="s">
        <v>1411</v>
      </c>
      <c r="E87" s="1045" t="s">
        <v>1632</v>
      </c>
    </row>
    <row r="88" spans="1:5" x14ac:dyDescent="0.25">
      <c r="A88" s="974">
        <v>87</v>
      </c>
      <c r="B88" s="974" t="s">
        <v>1401</v>
      </c>
      <c r="C88" s="1046" t="s">
        <v>1432</v>
      </c>
      <c r="D88" s="1046" t="s">
        <v>1430</v>
      </c>
      <c r="E88" s="1043" t="s">
        <v>765</v>
      </c>
    </row>
    <row r="89" spans="1:5" x14ac:dyDescent="0.25">
      <c r="A89" s="974">
        <v>88</v>
      </c>
      <c r="B89" s="974" t="s">
        <v>1401</v>
      </c>
      <c r="C89" s="1046" t="s">
        <v>1432</v>
      </c>
      <c r="D89" s="1046" t="s">
        <v>1430</v>
      </c>
      <c r="E89" s="1043" t="s">
        <v>1179</v>
      </c>
    </row>
    <row r="90" spans="1:5" x14ac:dyDescent="0.25">
      <c r="A90" s="974">
        <v>89</v>
      </c>
      <c r="B90" s="974" t="s">
        <v>1401</v>
      </c>
      <c r="C90" s="1046" t="s">
        <v>1432</v>
      </c>
      <c r="D90" s="1046" t="s">
        <v>1411</v>
      </c>
      <c r="E90" s="1043" t="s">
        <v>1180</v>
      </c>
    </row>
    <row r="91" spans="1:5" x14ac:dyDescent="0.25">
      <c r="A91" s="974">
        <v>90</v>
      </c>
      <c r="B91" s="974" t="s">
        <v>1401</v>
      </c>
      <c r="C91" s="1046" t="s">
        <v>1432</v>
      </c>
      <c r="D91" s="1046" t="s">
        <v>1411</v>
      </c>
      <c r="E91" s="1043" t="s">
        <v>1367</v>
      </c>
    </row>
    <row r="92" spans="1:5" x14ac:dyDescent="0.25">
      <c r="A92" s="974">
        <v>91</v>
      </c>
      <c r="B92" s="974" t="s">
        <v>1401</v>
      </c>
      <c r="C92" s="1046" t="s">
        <v>1432</v>
      </c>
      <c r="D92" s="1046" t="s">
        <v>1411</v>
      </c>
      <c r="E92" s="1043" t="s">
        <v>1297</v>
      </c>
    </row>
    <row r="93" spans="1:5" x14ac:dyDescent="0.25">
      <c r="A93" s="974">
        <v>92</v>
      </c>
      <c r="B93" s="974" t="s">
        <v>1401</v>
      </c>
      <c r="C93" s="1046" t="s">
        <v>1432</v>
      </c>
      <c r="D93" s="1046" t="s">
        <v>1411</v>
      </c>
      <c r="E93" s="1043" t="s">
        <v>767</v>
      </c>
    </row>
    <row r="94" spans="1:5" x14ac:dyDescent="0.25">
      <c r="A94" s="974">
        <v>93</v>
      </c>
      <c r="B94" s="974" t="s">
        <v>1401</v>
      </c>
      <c r="C94" s="1046" t="s">
        <v>1432</v>
      </c>
      <c r="D94" s="1046" t="s">
        <v>1411</v>
      </c>
      <c r="E94" s="1043" t="s">
        <v>768</v>
      </c>
    </row>
    <row r="95" spans="1:5" x14ac:dyDescent="0.25">
      <c r="A95" s="974">
        <v>94</v>
      </c>
      <c r="B95" s="974" t="s">
        <v>1401</v>
      </c>
      <c r="C95" s="1046" t="s">
        <v>1432</v>
      </c>
      <c r="D95" s="1046" t="s">
        <v>1411</v>
      </c>
      <c r="E95" s="1043" t="s">
        <v>769</v>
      </c>
    </row>
    <row r="96" spans="1:5" x14ac:dyDescent="0.25">
      <c r="A96" s="974">
        <v>95</v>
      </c>
      <c r="B96" s="974" t="s">
        <v>1401</v>
      </c>
      <c r="C96" s="1046" t="s">
        <v>1432</v>
      </c>
      <c r="D96" s="1046" t="s">
        <v>1411</v>
      </c>
      <c r="E96" s="1043" t="s">
        <v>204</v>
      </c>
    </row>
    <row r="97" spans="1:5" x14ac:dyDescent="0.25">
      <c r="A97" s="974">
        <v>96</v>
      </c>
      <c r="B97" s="974" t="s">
        <v>1401</v>
      </c>
      <c r="C97" s="1046" t="s">
        <v>1433</v>
      </c>
      <c r="D97" s="1046" t="s">
        <v>1411</v>
      </c>
      <c r="E97" s="1043" t="s">
        <v>1178</v>
      </c>
    </row>
    <row r="98" spans="1:5" x14ac:dyDescent="0.25">
      <c r="A98" s="974">
        <v>97</v>
      </c>
      <c r="B98" s="974" t="s">
        <v>870</v>
      </c>
      <c r="C98" s="1046" t="s">
        <v>1433</v>
      </c>
      <c r="D98" s="1046" t="s">
        <v>1411</v>
      </c>
      <c r="E98" s="1043" t="s">
        <v>1182</v>
      </c>
    </row>
    <row r="99" spans="1:5" x14ac:dyDescent="0.25">
      <c r="A99" s="974">
        <v>98</v>
      </c>
      <c r="B99" s="974" t="s">
        <v>1401</v>
      </c>
      <c r="C99" s="1046" t="s">
        <v>1433</v>
      </c>
      <c r="D99" s="1046" t="s">
        <v>1411</v>
      </c>
      <c r="E99" s="1043" t="s">
        <v>766</v>
      </c>
    </row>
    <row r="100" spans="1:5" x14ac:dyDescent="0.25">
      <c r="A100" s="974">
        <v>99</v>
      </c>
      <c r="B100" s="974" t="s">
        <v>870</v>
      </c>
      <c r="C100" s="1046" t="s">
        <v>1433</v>
      </c>
      <c r="D100" s="1046" t="s">
        <v>1411</v>
      </c>
      <c r="E100" s="1045" t="s">
        <v>1262</v>
      </c>
    </row>
    <row r="101" spans="1:5" ht="30" x14ac:dyDescent="0.25">
      <c r="A101" s="974">
        <v>100</v>
      </c>
      <c r="B101" s="974" t="s">
        <v>870</v>
      </c>
      <c r="C101" s="1046" t="s">
        <v>1433</v>
      </c>
      <c r="D101" s="1046" t="s">
        <v>1411</v>
      </c>
      <c r="E101" s="1045" t="s">
        <v>1263</v>
      </c>
    </row>
    <row r="102" spans="1:5" x14ac:dyDescent="0.25">
      <c r="A102" s="974">
        <v>101</v>
      </c>
      <c r="B102" s="974" t="s">
        <v>870</v>
      </c>
      <c r="C102" s="1046" t="s">
        <v>1433</v>
      </c>
      <c r="D102" s="1046" t="s">
        <v>1411</v>
      </c>
      <c r="E102" s="1045" t="s">
        <v>1185</v>
      </c>
    </row>
    <row r="103" spans="1:5" x14ac:dyDescent="0.25">
      <c r="A103" s="974">
        <v>102</v>
      </c>
      <c r="B103" s="974" t="s">
        <v>870</v>
      </c>
      <c r="C103" s="1046" t="s">
        <v>1433</v>
      </c>
      <c r="D103" s="1046" t="s">
        <v>1411</v>
      </c>
      <c r="E103" s="1045" t="s">
        <v>1186</v>
      </c>
    </row>
    <row r="104" spans="1:5" x14ac:dyDescent="0.25">
      <c r="A104" s="974">
        <v>103</v>
      </c>
      <c r="B104" s="974" t="s">
        <v>870</v>
      </c>
      <c r="C104" s="1046" t="s">
        <v>1433</v>
      </c>
      <c r="D104" s="1046" t="s">
        <v>1411</v>
      </c>
      <c r="E104" s="1045" t="s">
        <v>1187</v>
      </c>
    </row>
    <row r="105" spans="1:5" x14ac:dyDescent="0.25">
      <c r="A105" s="974">
        <v>104</v>
      </c>
      <c r="B105" s="974" t="s">
        <v>870</v>
      </c>
      <c r="C105" s="1046" t="s">
        <v>1433</v>
      </c>
      <c r="D105" s="1046" t="s">
        <v>1411</v>
      </c>
      <c r="E105" s="1045" t="s">
        <v>1188</v>
      </c>
    </row>
    <row r="106" spans="1:5" x14ac:dyDescent="0.25">
      <c r="A106" s="974">
        <v>105</v>
      </c>
      <c r="B106" s="974" t="s">
        <v>870</v>
      </c>
      <c r="C106" s="1046" t="s">
        <v>1433</v>
      </c>
      <c r="D106" s="1046" t="s">
        <v>1411</v>
      </c>
      <c r="E106" s="1045" t="s">
        <v>1189</v>
      </c>
    </row>
    <row r="107" spans="1:5" x14ac:dyDescent="0.25">
      <c r="A107" s="974">
        <v>106</v>
      </c>
      <c r="B107" s="974" t="s">
        <v>870</v>
      </c>
      <c r="C107" s="1046" t="s">
        <v>1433</v>
      </c>
      <c r="D107" s="1046" t="s">
        <v>1411</v>
      </c>
      <c r="E107" s="1045" t="s">
        <v>1429</v>
      </c>
    </row>
    <row r="108" spans="1:5" x14ac:dyDescent="0.25">
      <c r="A108" s="974">
        <v>107</v>
      </c>
      <c r="B108" s="974" t="s">
        <v>870</v>
      </c>
      <c r="C108" s="1046" t="s">
        <v>1433</v>
      </c>
      <c r="D108" s="1046" t="s">
        <v>1411</v>
      </c>
      <c r="E108" s="1045" t="s">
        <v>1632</v>
      </c>
    </row>
    <row r="109" spans="1:5" x14ac:dyDescent="0.25">
      <c r="A109" s="974">
        <v>108</v>
      </c>
      <c r="B109" s="974" t="s">
        <v>1401</v>
      </c>
      <c r="C109" s="1046" t="s">
        <v>1433</v>
      </c>
      <c r="D109" s="1046" t="s">
        <v>1430</v>
      </c>
      <c r="E109" s="1043" t="s">
        <v>765</v>
      </c>
    </row>
    <row r="110" spans="1:5" x14ac:dyDescent="0.25">
      <c r="A110" s="974">
        <v>109</v>
      </c>
      <c r="B110" s="974" t="s">
        <v>1401</v>
      </c>
      <c r="C110" s="1046" t="s">
        <v>1433</v>
      </c>
      <c r="D110" s="1046" t="s">
        <v>1430</v>
      </c>
      <c r="E110" s="1043" t="s">
        <v>1179</v>
      </c>
    </row>
    <row r="111" spans="1:5" x14ac:dyDescent="0.25">
      <c r="A111" s="974">
        <v>110</v>
      </c>
      <c r="B111" s="974" t="s">
        <v>1401</v>
      </c>
      <c r="C111" s="1046" t="s">
        <v>1433</v>
      </c>
      <c r="D111" s="1046" t="s">
        <v>1411</v>
      </c>
      <c r="E111" s="1043" t="s">
        <v>1180</v>
      </c>
    </row>
    <row r="112" spans="1:5" x14ac:dyDescent="0.25">
      <c r="A112" s="974">
        <v>111</v>
      </c>
      <c r="B112" s="974" t="s">
        <v>1401</v>
      </c>
      <c r="C112" s="1046" t="s">
        <v>1433</v>
      </c>
      <c r="D112" s="1046" t="s">
        <v>1411</v>
      </c>
      <c r="E112" s="1043" t="s">
        <v>1367</v>
      </c>
    </row>
    <row r="113" spans="1:5" x14ac:dyDescent="0.25">
      <c r="A113" s="974">
        <v>112</v>
      </c>
      <c r="B113" s="974" t="s">
        <v>1401</v>
      </c>
      <c r="C113" s="1046" t="s">
        <v>1433</v>
      </c>
      <c r="D113" s="1046" t="s">
        <v>1411</v>
      </c>
      <c r="E113" s="1043" t="s">
        <v>1297</v>
      </c>
    </row>
    <row r="114" spans="1:5" x14ac:dyDescent="0.25">
      <c r="A114" s="974">
        <v>113</v>
      </c>
      <c r="B114" s="974" t="s">
        <v>1401</v>
      </c>
      <c r="C114" s="1046" t="s">
        <v>1433</v>
      </c>
      <c r="D114" s="1046" t="s">
        <v>1411</v>
      </c>
      <c r="E114" s="1043" t="s">
        <v>767</v>
      </c>
    </row>
    <row r="115" spans="1:5" x14ac:dyDescent="0.25">
      <c r="A115" s="974">
        <v>114</v>
      </c>
      <c r="B115" s="974" t="s">
        <v>1401</v>
      </c>
      <c r="C115" s="1046" t="s">
        <v>1433</v>
      </c>
      <c r="D115" s="1046" t="s">
        <v>1411</v>
      </c>
      <c r="E115" s="1043" t="s">
        <v>768</v>
      </c>
    </row>
    <row r="116" spans="1:5" x14ac:dyDescent="0.25">
      <c r="A116" s="974">
        <v>115</v>
      </c>
      <c r="B116" s="974" t="s">
        <v>1401</v>
      </c>
      <c r="C116" s="1046" t="s">
        <v>1433</v>
      </c>
      <c r="D116" s="1046" t="s">
        <v>1411</v>
      </c>
      <c r="E116" s="1043" t="s">
        <v>769</v>
      </c>
    </row>
    <row r="117" spans="1:5" x14ac:dyDescent="0.25">
      <c r="A117" s="974">
        <v>116</v>
      </c>
      <c r="B117" s="974" t="s">
        <v>1401</v>
      </c>
      <c r="C117" s="1046" t="s">
        <v>1433</v>
      </c>
      <c r="D117" s="1046" t="s">
        <v>1411</v>
      </c>
      <c r="E117" s="1043" t="s">
        <v>204</v>
      </c>
    </row>
    <row r="118" spans="1:5" x14ac:dyDescent="0.25">
      <c r="A118" s="974">
        <v>117</v>
      </c>
      <c r="B118" s="974" t="s">
        <v>1401</v>
      </c>
      <c r="C118" s="1046" t="s">
        <v>1434</v>
      </c>
      <c r="D118" s="1046" t="s">
        <v>1411</v>
      </c>
      <c r="E118" s="1043" t="s">
        <v>1178</v>
      </c>
    </row>
    <row r="119" spans="1:5" x14ac:dyDescent="0.25">
      <c r="A119" s="974">
        <v>118</v>
      </c>
      <c r="B119" s="974" t="s">
        <v>870</v>
      </c>
      <c r="C119" s="1046" t="s">
        <v>1434</v>
      </c>
      <c r="D119" s="1046" t="s">
        <v>1411</v>
      </c>
      <c r="E119" s="1043" t="s">
        <v>1182</v>
      </c>
    </row>
    <row r="120" spans="1:5" x14ac:dyDescent="0.25">
      <c r="A120" s="974">
        <v>119</v>
      </c>
      <c r="B120" s="974" t="s">
        <v>1401</v>
      </c>
      <c r="C120" s="1046" t="s">
        <v>1434</v>
      </c>
      <c r="D120" s="1046" t="s">
        <v>1411</v>
      </c>
      <c r="E120" s="1043" t="s">
        <v>766</v>
      </c>
    </row>
    <row r="121" spans="1:5" x14ac:dyDescent="0.25">
      <c r="A121" s="974">
        <v>120</v>
      </c>
      <c r="B121" s="974" t="s">
        <v>870</v>
      </c>
      <c r="C121" s="1046" t="s">
        <v>1434</v>
      </c>
      <c r="D121" s="1046" t="s">
        <v>1411</v>
      </c>
      <c r="E121" s="1045" t="s">
        <v>1262</v>
      </c>
    </row>
    <row r="122" spans="1:5" ht="30" x14ac:dyDescent="0.25">
      <c r="A122" s="974">
        <v>121</v>
      </c>
      <c r="B122" s="974" t="s">
        <v>870</v>
      </c>
      <c r="C122" s="1046" t="s">
        <v>1434</v>
      </c>
      <c r="D122" s="1046" t="s">
        <v>1411</v>
      </c>
      <c r="E122" s="1045" t="s">
        <v>1263</v>
      </c>
    </row>
    <row r="123" spans="1:5" x14ac:dyDescent="0.25">
      <c r="A123" s="974">
        <v>122</v>
      </c>
      <c r="B123" s="974" t="s">
        <v>870</v>
      </c>
      <c r="C123" s="1046" t="s">
        <v>1434</v>
      </c>
      <c r="D123" s="1046" t="s">
        <v>1411</v>
      </c>
      <c r="E123" s="1045" t="s">
        <v>1185</v>
      </c>
    </row>
    <row r="124" spans="1:5" x14ac:dyDescent="0.25">
      <c r="A124" s="974">
        <v>123</v>
      </c>
      <c r="B124" s="974" t="s">
        <v>870</v>
      </c>
      <c r="C124" s="1046" t="s">
        <v>1434</v>
      </c>
      <c r="D124" s="1046" t="s">
        <v>1411</v>
      </c>
      <c r="E124" s="1045" t="s">
        <v>1186</v>
      </c>
    </row>
    <row r="125" spans="1:5" x14ac:dyDescent="0.25">
      <c r="A125" s="974">
        <v>124</v>
      </c>
      <c r="B125" s="974" t="s">
        <v>870</v>
      </c>
      <c r="C125" s="1046" t="s">
        <v>1434</v>
      </c>
      <c r="D125" s="1046" t="s">
        <v>1411</v>
      </c>
      <c r="E125" s="1045" t="s">
        <v>1187</v>
      </c>
    </row>
    <row r="126" spans="1:5" x14ac:dyDescent="0.25">
      <c r="A126" s="974">
        <v>125</v>
      </c>
      <c r="B126" s="974" t="s">
        <v>870</v>
      </c>
      <c r="C126" s="1046" t="s">
        <v>1434</v>
      </c>
      <c r="D126" s="1046" t="s">
        <v>1411</v>
      </c>
      <c r="E126" s="1045" t="s">
        <v>1188</v>
      </c>
    </row>
    <row r="127" spans="1:5" x14ac:dyDescent="0.25">
      <c r="A127" s="974">
        <v>126</v>
      </c>
      <c r="B127" s="974" t="s">
        <v>870</v>
      </c>
      <c r="C127" s="1046" t="s">
        <v>1434</v>
      </c>
      <c r="D127" s="1046" t="s">
        <v>1411</v>
      </c>
      <c r="E127" s="1045" t="s">
        <v>1189</v>
      </c>
    </row>
    <row r="128" spans="1:5" x14ac:dyDescent="0.25">
      <c r="A128" s="974">
        <v>127</v>
      </c>
      <c r="B128" s="974" t="s">
        <v>870</v>
      </c>
      <c r="C128" s="1046" t="s">
        <v>1434</v>
      </c>
      <c r="D128" s="1046" t="s">
        <v>1411</v>
      </c>
      <c r="E128" s="1045" t="s">
        <v>1429</v>
      </c>
    </row>
    <row r="129" spans="1:5" x14ac:dyDescent="0.25">
      <c r="A129" s="974">
        <v>128</v>
      </c>
      <c r="B129" s="974" t="s">
        <v>870</v>
      </c>
      <c r="C129" s="1046" t="s">
        <v>1434</v>
      </c>
      <c r="D129" s="1046" t="s">
        <v>1411</v>
      </c>
      <c r="E129" s="1045" t="s">
        <v>1632</v>
      </c>
    </row>
    <row r="130" spans="1:5" x14ac:dyDescent="0.25">
      <c r="A130" s="974">
        <v>129</v>
      </c>
      <c r="B130" s="974" t="s">
        <v>1401</v>
      </c>
      <c r="C130" s="1046" t="s">
        <v>1434</v>
      </c>
      <c r="D130" s="1046" t="s">
        <v>1430</v>
      </c>
      <c r="E130" s="1043" t="s">
        <v>765</v>
      </c>
    </row>
    <row r="131" spans="1:5" x14ac:dyDescent="0.25">
      <c r="A131" s="974">
        <v>130</v>
      </c>
      <c r="B131" s="974" t="s">
        <v>1401</v>
      </c>
      <c r="C131" s="1046" t="s">
        <v>1434</v>
      </c>
      <c r="D131" s="1046" t="s">
        <v>1430</v>
      </c>
      <c r="E131" s="1043" t="s">
        <v>1179</v>
      </c>
    </row>
    <row r="132" spans="1:5" x14ac:dyDescent="0.25">
      <c r="A132" s="974">
        <v>131</v>
      </c>
      <c r="B132" s="974" t="s">
        <v>1401</v>
      </c>
      <c r="C132" s="1046" t="s">
        <v>1434</v>
      </c>
      <c r="D132" s="1046" t="s">
        <v>1411</v>
      </c>
      <c r="E132" s="1043" t="s">
        <v>1180</v>
      </c>
    </row>
    <row r="133" spans="1:5" x14ac:dyDescent="0.25">
      <c r="A133" s="974">
        <v>132</v>
      </c>
      <c r="B133" s="974" t="s">
        <v>1401</v>
      </c>
      <c r="C133" s="1046" t="s">
        <v>1434</v>
      </c>
      <c r="D133" s="1046" t="s">
        <v>1411</v>
      </c>
      <c r="E133" s="1043" t="s">
        <v>1367</v>
      </c>
    </row>
    <row r="134" spans="1:5" x14ac:dyDescent="0.25">
      <c r="A134" s="974">
        <v>133</v>
      </c>
      <c r="B134" s="974" t="s">
        <v>1401</v>
      </c>
      <c r="C134" s="1046" t="s">
        <v>1434</v>
      </c>
      <c r="D134" s="1046" t="s">
        <v>1411</v>
      </c>
      <c r="E134" s="1043" t="s">
        <v>1297</v>
      </c>
    </row>
    <row r="135" spans="1:5" x14ac:dyDescent="0.25">
      <c r="A135" s="974">
        <v>134</v>
      </c>
      <c r="B135" s="974" t="s">
        <v>1401</v>
      </c>
      <c r="C135" s="1046" t="s">
        <v>1434</v>
      </c>
      <c r="D135" s="1046" t="s">
        <v>1411</v>
      </c>
      <c r="E135" s="1043" t="s">
        <v>767</v>
      </c>
    </row>
    <row r="136" spans="1:5" x14ac:dyDescent="0.25">
      <c r="A136" s="974">
        <v>135</v>
      </c>
      <c r="B136" s="974" t="s">
        <v>1401</v>
      </c>
      <c r="C136" s="1046" t="s">
        <v>1434</v>
      </c>
      <c r="D136" s="1046" t="s">
        <v>1411</v>
      </c>
      <c r="E136" s="1043" t="s">
        <v>768</v>
      </c>
    </row>
    <row r="137" spans="1:5" x14ac:dyDescent="0.25">
      <c r="A137" s="974">
        <v>136</v>
      </c>
      <c r="B137" s="974" t="s">
        <v>1401</v>
      </c>
      <c r="C137" s="1046" t="s">
        <v>1434</v>
      </c>
      <c r="D137" s="1046" t="s">
        <v>1411</v>
      </c>
      <c r="E137" s="1043" t="s">
        <v>769</v>
      </c>
    </row>
    <row r="138" spans="1:5" x14ac:dyDescent="0.25">
      <c r="A138" s="974">
        <v>137</v>
      </c>
      <c r="B138" s="974" t="s">
        <v>1401</v>
      </c>
      <c r="C138" s="1046" t="s">
        <v>1434</v>
      </c>
      <c r="D138" s="1046" t="s">
        <v>1411</v>
      </c>
      <c r="E138" s="1043" t="s">
        <v>204</v>
      </c>
    </row>
    <row r="139" spans="1:5" x14ac:dyDescent="0.25">
      <c r="A139" s="974">
        <v>138</v>
      </c>
      <c r="B139" s="974" t="s">
        <v>1401</v>
      </c>
      <c r="C139" s="1046" t="s">
        <v>1435</v>
      </c>
      <c r="D139" s="1046" t="s">
        <v>1411</v>
      </c>
      <c r="E139" s="1043" t="s">
        <v>1178</v>
      </c>
    </row>
    <row r="140" spans="1:5" x14ac:dyDescent="0.25">
      <c r="A140" s="974">
        <v>139</v>
      </c>
      <c r="B140" s="974" t="s">
        <v>870</v>
      </c>
      <c r="C140" s="1046" t="s">
        <v>1435</v>
      </c>
      <c r="D140" s="1046" t="s">
        <v>1411</v>
      </c>
      <c r="E140" s="1043" t="s">
        <v>1182</v>
      </c>
    </row>
    <row r="141" spans="1:5" x14ac:dyDescent="0.25">
      <c r="A141" s="974">
        <v>140</v>
      </c>
      <c r="B141" s="974" t="s">
        <v>1401</v>
      </c>
      <c r="C141" s="1046" t="s">
        <v>1435</v>
      </c>
      <c r="D141" s="1046" t="s">
        <v>1411</v>
      </c>
      <c r="E141" s="1043" t="s">
        <v>766</v>
      </c>
    </row>
    <row r="142" spans="1:5" x14ac:dyDescent="0.25">
      <c r="A142" s="974">
        <v>141</v>
      </c>
      <c r="B142" s="974" t="s">
        <v>870</v>
      </c>
      <c r="C142" s="1046" t="s">
        <v>1435</v>
      </c>
      <c r="D142" s="1046" t="s">
        <v>1411</v>
      </c>
      <c r="E142" s="1045" t="s">
        <v>1262</v>
      </c>
    </row>
    <row r="143" spans="1:5" ht="30" x14ac:dyDescent="0.25">
      <c r="A143" s="974">
        <v>142</v>
      </c>
      <c r="B143" s="974" t="s">
        <v>870</v>
      </c>
      <c r="C143" s="1046" t="s">
        <v>1435</v>
      </c>
      <c r="D143" s="1046" t="s">
        <v>1411</v>
      </c>
      <c r="E143" s="1045" t="s">
        <v>1263</v>
      </c>
    </row>
    <row r="144" spans="1:5" x14ac:dyDescent="0.25">
      <c r="A144" s="974">
        <v>143</v>
      </c>
      <c r="B144" s="974" t="s">
        <v>870</v>
      </c>
      <c r="C144" s="1046" t="s">
        <v>1435</v>
      </c>
      <c r="D144" s="1046" t="s">
        <v>1411</v>
      </c>
      <c r="E144" s="1045" t="s">
        <v>1185</v>
      </c>
    </row>
    <row r="145" spans="1:5" x14ac:dyDescent="0.25">
      <c r="A145" s="974">
        <v>144</v>
      </c>
      <c r="B145" s="974" t="s">
        <v>870</v>
      </c>
      <c r="C145" s="1046" t="s">
        <v>1435</v>
      </c>
      <c r="D145" s="1046" t="s">
        <v>1411</v>
      </c>
      <c r="E145" s="1045" t="s">
        <v>1186</v>
      </c>
    </row>
    <row r="146" spans="1:5" x14ac:dyDescent="0.25">
      <c r="A146" s="974">
        <v>145</v>
      </c>
      <c r="B146" s="974" t="s">
        <v>870</v>
      </c>
      <c r="C146" s="1046" t="s">
        <v>1435</v>
      </c>
      <c r="D146" s="1046" t="s">
        <v>1411</v>
      </c>
      <c r="E146" s="1045" t="s">
        <v>1187</v>
      </c>
    </row>
    <row r="147" spans="1:5" x14ac:dyDescent="0.25">
      <c r="A147" s="974">
        <v>146</v>
      </c>
      <c r="B147" s="974" t="s">
        <v>870</v>
      </c>
      <c r="C147" s="1046" t="s">
        <v>1435</v>
      </c>
      <c r="D147" s="1046" t="s">
        <v>1411</v>
      </c>
      <c r="E147" s="1045" t="s">
        <v>1188</v>
      </c>
    </row>
    <row r="148" spans="1:5" x14ac:dyDescent="0.25">
      <c r="A148" s="974">
        <v>147</v>
      </c>
      <c r="B148" s="974" t="s">
        <v>870</v>
      </c>
      <c r="C148" s="1046" t="s">
        <v>1435</v>
      </c>
      <c r="D148" s="1046" t="s">
        <v>1411</v>
      </c>
      <c r="E148" s="1045" t="s">
        <v>1189</v>
      </c>
    </row>
    <row r="149" spans="1:5" x14ac:dyDescent="0.25">
      <c r="A149" s="974">
        <v>148</v>
      </c>
      <c r="B149" s="974" t="s">
        <v>870</v>
      </c>
      <c r="C149" s="1046" t="s">
        <v>1435</v>
      </c>
      <c r="D149" s="1046" t="s">
        <v>1411</v>
      </c>
      <c r="E149" s="1045" t="s">
        <v>1429</v>
      </c>
    </row>
    <row r="150" spans="1:5" x14ac:dyDescent="0.25">
      <c r="A150" s="974">
        <v>149</v>
      </c>
      <c r="B150" s="974" t="s">
        <v>870</v>
      </c>
      <c r="C150" s="1046" t="s">
        <v>1435</v>
      </c>
      <c r="D150" s="1046" t="s">
        <v>1411</v>
      </c>
      <c r="E150" s="1045" t="s">
        <v>1632</v>
      </c>
    </row>
    <row r="151" spans="1:5" x14ac:dyDescent="0.25">
      <c r="A151" s="974">
        <v>150</v>
      </c>
      <c r="B151" s="974" t="s">
        <v>1401</v>
      </c>
      <c r="C151" s="1046" t="s">
        <v>1435</v>
      </c>
      <c r="D151" s="1046" t="s">
        <v>1430</v>
      </c>
      <c r="E151" s="1043" t="s">
        <v>765</v>
      </c>
    </row>
    <row r="152" spans="1:5" x14ac:dyDescent="0.25">
      <c r="A152" s="974">
        <v>151</v>
      </c>
      <c r="B152" s="974" t="s">
        <v>1401</v>
      </c>
      <c r="C152" s="1046" t="s">
        <v>1435</v>
      </c>
      <c r="D152" s="1046" t="s">
        <v>1430</v>
      </c>
      <c r="E152" s="1043" t="s">
        <v>1179</v>
      </c>
    </row>
    <row r="153" spans="1:5" x14ac:dyDescent="0.25">
      <c r="A153" s="974">
        <v>152</v>
      </c>
      <c r="B153" s="974" t="s">
        <v>1401</v>
      </c>
      <c r="C153" s="1046" t="s">
        <v>1435</v>
      </c>
      <c r="D153" s="1046" t="s">
        <v>1411</v>
      </c>
      <c r="E153" s="1043" t="s">
        <v>1180</v>
      </c>
    </row>
    <row r="154" spans="1:5" x14ac:dyDescent="0.25">
      <c r="A154" s="974">
        <v>153</v>
      </c>
      <c r="B154" s="974" t="s">
        <v>1401</v>
      </c>
      <c r="C154" s="1046" t="s">
        <v>1435</v>
      </c>
      <c r="D154" s="1046" t="s">
        <v>1411</v>
      </c>
      <c r="E154" s="1043" t="s">
        <v>1367</v>
      </c>
    </row>
    <row r="155" spans="1:5" x14ac:dyDescent="0.25">
      <c r="A155" s="974">
        <v>154</v>
      </c>
      <c r="B155" s="974" t="s">
        <v>1401</v>
      </c>
      <c r="C155" s="1046" t="s">
        <v>1435</v>
      </c>
      <c r="D155" s="1046" t="s">
        <v>1411</v>
      </c>
      <c r="E155" s="1043" t="s">
        <v>1297</v>
      </c>
    </row>
    <row r="156" spans="1:5" x14ac:dyDescent="0.25">
      <c r="A156" s="974">
        <v>155</v>
      </c>
      <c r="B156" s="974" t="s">
        <v>1401</v>
      </c>
      <c r="C156" s="1046" t="s">
        <v>1435</v>
      </c>
      <c r="D156" s="1046" t="s">
        <v>1411</v>
      </c>
      <c r="E156" s="1043" t="s">
        <v>767</v>
      </c>
    </row>
    <row r="157" spans="1:5" x14ac:dyDescent="0.25">
      <c r="A157" s="974">
        <v>156</v>
      </c>
      <c r="B157" s="974" t="s">
        <v>1401</v>
      </c>
      <c r="C157" s="1046" t="s">
        <v>1435</v>
      </c>
      <c r="D157" s="1046" t="s">
        <v>1411</v>
      </c>
      <c r="E157" s="1043" t="s">
        <v>768</v>
      </c>
    </row>
    <row r="158" spans="1:5" x14ac:dyDescent="0.25">
      <c r="A158" s="974">
        <v>157</v>
      </c>
      <c r="B158" s="974" t="s">
        <v>1401</v>
      </c>
      <c r="C158" s="1046" t="s">
        <v>1435</v>
      </c>
      <c r="D158" s="1046" t="s">
        <v>1411</v>
      </c>
      <c r="E158" s="1043" t="s">
        <v>769</v>
      </c>
    </row>
    <row r="159" spans="1:5" x14ac:dyDescent="0.25">
      <c r="A159" s="974">
        <v>158</v>
      </c>
      <c r="B159" s="974" t="s">
        <v>1401</v>
      </c>
      <c r="C159" s="1046" t="s">
        <v>1435</v>
      </c>
      <c r="D159" s="1046" t="s">
        <v>1411</v>
      </c>
      <c r="E159" s="1043" t="s">
        <v>204</v>
      </c>
    </row>
    <row r="160" spans="1:5" x14ac:dyDescent="0.25">
      <c r="A160" s="974">
        <v>159</v>
      </c>
      <c r="B160" s="974" t="s">
        <v>1401</v>
      </c>
      <c r="C160" s="1046" t="s">
        <v>1436</v>
      </c>
      <c r="D160" s="1046" t="s">
        <v>1411</v>
      </c>
      <c r="E160" s="1043" t="s">
        <v>1178</v>
      </c>
    </row>
    <row r="161" spans="1:5" x14ac:dyDescent="0.25">
      <c r="A161" s="974">
        <v>160</v>
      </c>
      <c r="B161" s="974" t="s">
        <v>870</v>
      </c>
      <c r="C161" s="1046" t="s">
        <v>1436</v>
      </c>
      <c r="D161" s="1046" t="s">
        <v>1411</v>
      </c>
      <c r="E161" s="1043" t="s">
        <v>1182</v>
      </c>
    </row>
    <row r="162" spans="1:5" x14ac:dyDescent="0.25">
      <c r="A162" s="974">
        <v>161</v>
      </c>
      <c r="B162" s="974" t="s">
        <v>1401</v>
      </c>
      <c r="C162" s="1046" t="s">
        <v>1436</v>
      </c>
      <c r="D162" s="1046" t="s">
        <v>1411</v>
      </c>
      <c r="E162" s="1043" t="s">
        <v>766</v>
      </c>
    </row>
    <row r="163" spans="1:5" x14ac:dyDescent="0.25">
      <c r="A163" s="974">
        <v>162</v>
      </c>
      <c r="B163" s="974" t="s">
        <v>870</v>
      </c>
      <c r="C163" s="1046" t="s">
        <v>1436</v>
      </c>
      <c r="D163" s="1046" t="s">
        <v>1411</v>
      </c>
      <c r="E163" s="1045" t="s">
        <v>1262</v>
      </c>
    </row>
    <row r="164" spans="1:5" ht="30" x14ac:dyDescent="0.25">
      <c r="A164" s="974">
        <v>163</v>
      </c>
      <c r="B164" s="974" t="s">
        <v>870</v>
      </c>
      <c r="C164" s="1046" t="s">
        <v>1436</v>
      </c>
      <c r="D164" s="1046" t="s">
        <v>1411</v>
      </c>
      <c r="E164" s="1045" t="s">
        <v>1263</v>
      </c>
    </row>
    <row r="165" spans="1:5" x14ac:dyDescent="0.25">
      <c r="A165" s="974">
        <v>164</v>
      </c>
      <c r="B165" s="974" t="s">
        <v>870</v>
      </c>
      <c r="C165" s="1046" t="s">
        <v>1436</v>
      </c>
      <c r="D165" s="1046" t="s">
        <v>1411</v>
      </c>
      <c r="E165" s="1045" t="s">
        <v>1185</v>
      </c>
    </row>
    <row r="166" spans="1:5" x14ac:dyDescent="0.25">
      <c r="A166" s="974">
        <v>165</v>
      </c>
      <c r="B166" s="974" t="s">
        <v>870</v>
      </c>
      <c r="C166" s="1046" t="s">
        <v>1436</v>
      </c>
      <c r="D166" s="1046" t="s">
        <v>1411</v>
      </c>
      <c r="E166" s="1045" t="s">
        <v>1186</v>
      </c>
    </row>
    <row r="167" spans="1:5" x14ac:dyDescent="0.25">
      <c r="A167" s="974">
        <v>166</v>
      </c>
      <c r="B167" s="974" t="s">
        <v>870</v>
      </c>
      <c r="C167" s="1046" t="s">
        <v>1436</v>
      </c>
      <c r="D167" s="1046" t="s">
        <v>1411</v>
      </c>
      <c r="E167" s="1045" t="s">
        <v>1187</v>
      </c>
    </row>
    <row r="168" spans="1:5" x14ac:dyDescent="0.25">
      <c r="A168" s="974">
        <v>167</v>
      </c>
      <c r="B168" s="974" t="s">
        <v>870</v>
      </c>
      <c r="C168" s="1046" t="s">
        <v>1436</v>
      </c>
      <c r="D168" s="1046" t="s">
        <v>1411</v>
      </c>
      <c r="E168" s="1045" t="s">
        <v>1188</v>
      </c>
    </row>
    <row r="169" spans="1:5" x14ac:dyDescent="0.25">
      <c r="A169" s="974">
        <v>168</v>
      </c>
      <c r="B169" s="974" t="s">
        <v>870</v>
      </c>
      <c r="C169" s="1046" t="s">
        <v>1436</v>
      </c>
      <c r="D169" s="1046" t="s">
        <v>1411</v>
      </c>
      <c r="E169" s="1045" t="s">
        <v>1189</v>
      </c>
    </row>
    <row r="170" spans="1:5" x14ac:dyDescent="0.25">
      <c r="A170" s="974">
        <v>169</v>
      </c>
      <c r="B170" s="974" t="s">
        <v>870</v>
      </c>
      <c r="C170" s="1046" t="s">
        <v>1436</v>
      </c>
      <c r="D170" s="1046" t="s">
        <v>1411</v>
      </c>
      <c r="E170" s="1045" t="s">
        <v>1429</v>
      </c>
    </row>
    <row r="171" spans="1:5" x14ac:dyDescent="0.25">
      <c r="A171" s="974">
        <v>170</v>
      </c>
      <c r="B171" s="974" t="s">
        <v>870</v>
      </c>
      <c r="C171" s="1046" t="s">
        <v>1436</v>
      </c>
      <c r="D171" s="1046" t="s">
        <v>1411</v>
      </c>
      <c r="E171" s="1045" t="s">
        <v>1632</v>
      </c>
    </row>
    <row r="172" spans="1:5" x14ac:dyDescent="0.25">
      <c r="A172" s="974">
        <v>171</v>
      </c>
      <c r="B172" s="974" t="s">
        <v>1401</v>
      </c>
      <c r="C172" s="1046" t="s">
        <v>1436</v>
      </c>
      <c r="D172" s="1046" t="s">
        <v>1430</v>
      </c>
      <c r="E172" s="1043" t="s">
        <v>765</v>
      </c>
    </row>
    <row r="173" spans="1:5" x14ac:dyDescent="0.25">
      <c r="A173" s="974">
        <v>172</v>
      </c>
      <c r="B173" s="974" t="s">
        <v>1401</v>
      </c>
      <c r="C173" s="1046" t="s">
        <v>1436</v>
      </c>
      <c r="D173" s="1046" t="s">
        <v>1430</v>
      </c>
      <c r="E173" s="1043" t="s">
        <v>1179</v>
      </c>
    </row>
    <row r="174" spans="1:5" x14ac:dyDescent="0.25">
      <c r="A174" s="974">
        <v>173</v>
      </c>
      <c r="B174" s="974" t="s">
        <v>1401</v>
      </c>
      <c r="C174" s="1046" t="s">
        <v>1436</v>
      </c>
      <c r="D174" s="1046" t="s">
        <v>1411</v>
      </c>
      <c r="E174" s="1043" t="s">
        <v>1180</v>
      </c>
    </row>
    <row r="175" spans="1:5" x14ac:dyDescent="0.25">
      <c r="A175" s="974">
        <v>174</v>
      </c>
      <c r="B175" s="974" t="s">
        <v>1401</v>
      </c>
      <c r="C175" s="1046" t="s">
        <v>1436</v>
      </c>
      <c r="D175" s="1046" t="s">
        <v>1411</v>
      </c>
      <c r="E175" s="1043" t="s">
        <v>1367</v>
      </c>
    </row>
    <row r="176" spans="1:5" x14ac:dyDescent="0.25">
      <c r="A176" s="974">
        <v>175</v>
      </c>
      <c r="B176" s="974" t="s">
        <v>1401</v>
      </c>
      <c r="C176" s="1046" t="s">
        <v>1436</v>
      </c>
      <c r="D176" s="1046" t="s">
        <v>1411</v>
      </c>
      <c r="E176" s="1043" t="s">
        <v>1297</v>
      </c>
    </row>
    <row r="177" spans="1:5" x14ac:dyDescent="0.25">
      <c r="A177" s="974">
        <v>176</v>
      </c>
      <c r="B177" s="974" t="s">
        <v>1401</v>
      </c>
      <c r="C177" s="1046" t="s">
        <v>1436</v>
      </c>
      <c r="D177" s="1046" t="s">
        <v>1411</v>
      </c>
      <c r="E177" s="1043" t="s">
        <v>767</v>
      </c>
    </row>
    <row r="178" spans="1:5" x14ac:dyDescent="0.25">
      <c r="A178" s="974">
        <v>177</v>
      </c>
      <c r="B178" s="974" t="s">
        <v>1401</v>
      </c>
      <c r="C178" s="1046" t="s">
        <v>1436</v>
      </c>
      <c r="D178" s="1046" t="s">
        <v>1411</v>
      </c>
      <c r="E178" s="1043" t="s">
        <v>768</v>
      </c>
    </row>
    <row r="179" spans="1:5" x14ac:dyDescent="0.25">
      <c r="A179" s="974">
        <v>178</v>
      </c>
      <c r="B179" s="974" t="s">
        <v>1401</v>
      </c>
      <c r="C179" s="1046" t="s">
        <v>1436</v>
      </c>
      <c r="D179" s="1046" t="s">
        <v>1411</v>
      </c>
      <c r="E179" s="1043" t="s">
        <v>769</v>
      </c>
    </row>
    <row r="180" spans="1:5" x14ac:dyDescent="0.25">
      <c r="A180" s="974">
        <v>179</v>
      </c>
      <c r="B180" s="974" t="s">
        <v>1401</v>
      </c>
      <c r="C180" s="1046" t="s">
        <v>1436</v>
      </c>
      <c r="D180" s="1046" t="s">
        <v>1411</v>
      </c>
      <c r="E180" s="1043" t="s">
        <v>204</v>
      </c>
    </row>
    <row r="181" spans="1:5" x14ac:dyDescent="0.25">
      <c r="A181" s="974">
        <v>180</v>
      </c>
      <c r="B181" s="974" t="s">
        <v>1401</v>
      </c>
      <c r="C181" s="1046" t="s">
        <v>1437</v>
      </c>
      <c r="D181" s="1046" t="s">
        <v>1411</v>
      </c>
      <c r="E181" s="1043" t="s">
        <v>1178</v>
      </c>
    </row>
    <row r="182" spans="1:5" x14ac:dyDescent="0.25">
      <c r="A182" s="974">
        <v>181</v>
      </c>
      <c r="B182" s="974" t="s">
        <v>870</v>
      </c>
      <c r="C182" s="1046" t="s">
        <v>1437</v>
      </c>
      <c r="D182" s="1046" t="s">
        <v>1411</v>
      </c>
      <c r="E182" s="1043" t="s">
        <v>1182</v>
      </c>
    </row>
    <row r="183" spans="1:5" x14ac:dyDescent="0.25">
      <c r="A183" s="974">
        <v>182</v>
      </c>
      <c r="B183" s="974" t="s">
        <v>1401</v>
      </c>
      <c r="C183" s="1046" t="s">
        <v>1437</v>
      </c>
      <c r="D183" s="1046" t="s">
        <v>1411</v>
      </c>
      <c r="E183" s="1043" t="s">
        <v>766</v>
      </c>
    </row>
    <row r="184" spans="1:5" x14ac:dyDescent="0.25">
      <c r="A184" s="974">
        <v>183</v>
      </c>
      <c r="B184" s="974" t="s">
        <v>870</v>
      </c>
      <c r="C184" s="1046" t="s">
        <v>1437</v>
      </c>
      <c r="D184" s="1046" t="s">
        <v>1411</v>
      </c>
      <c r="E184" s="1045" t="s">
        <v>1262</v>
      </c>
    </row>
    <row r="185" spans="1:5" ht="30" x14ac:dyDescent="0.25">
      <c r="A185" s="974">
        <v>184</v>
      </c>
      <c r="B185" s="974" t="s">
        <v>870</v>
      </c>
      <c r="C185" s="1046" t="s">
        <v>1437</v>
      </c>
      <c r="D185" s="1046" t="s">
        <v>1411</v>
      </c>
      <c r="E185" s="1045" t="s">
        <v>1263</v>
      </c>
    </row>
    <row r="186" spans="1:5" x14ac:dyDescent="0.25">
      <c r="A186" s="974">
        <v>185</v>
      </c>
      <c r="B186" s="974" t="s">
        <v>870</v>
      </c>
      <c r="C186" s="1046" t="s">
        <v>1437</v>
      </c>
      <c r="D186" s="1046" t="s">
        <v>1411</v>
      </c>
      <c r="E186" s="1045" t="s">
        <v>1185</v>
      </c>
    </row>
    <row r="187" spans="1:5" x14ac:dyDescent="0.25">
      <c r="A187" s="974">
        <v>186</v>
      </c>
      <c r="B187" s="974" t="s">
        <v>870</v>
      </c>
      <c r="C187" s="1046" t="s">
        <v>1437</v>
      </c>
      <c r="D187" s="1046" t="s">
        <v>1411</v>
      </c>
      <c r="E187" s="1045" t="s">
        <v>1186</v>
      </c>
    </row>
    <row r="188" spans="1:5" x14ac:dyDescent="0.25">
      <c r="A188" s="974">
        <v>187</v>
      </c>
      <c r="B188" s="974" t="s">
        <v>870</v>
      </c>
      <c r="C188" s="1046" t="s">
        <v>1437</v>
      </c>
      <c r="D188" s="1046" t="s">
        <v>1411</v>
      </c>
      <c r="E188" s="1045" t="s">
        <v>1187</v>
      </c>
    </row>
    <row r="189" spans="1:5" x14ac:dyDescent="0.25">
      <c r="A189" s="974">
        <v>188</v>
      </c>
      <c r="B189" s="974" t="s">
        <v>870</v>
      </c>
      <c r="C189" s="1046" t="s">
        <v>1437</v>
      </c>
      <c r="D189" s="1046" t="s">
        <v>1411</v>
      </c>
      <c r="E189" s="1045" t="s">
        <v>1188</v>
      </c>
    </row>
    <row r="190" spans="1:5" x14ac:dyDescent="0.25">
      <c r="A190" s="974">
        <v>189</v>
      </c>
      <c r="B190" s="974" t="s">
        <v>870</v>
      </c>
      <c r="C190" s="1046" t="s">
        <v>1437</v>
      </c>
      <c r="D190" s="1046" t="s">
        <v>1411</v>
      </c>
      <c r="E190" s="1045" t="s">
        <v>1189</v>
      </c>
    </row>
    <row r="191" spans="1:5" x14ac:dyDescent="0.25">
      <c r="A191" s="974">
        <v>190</v>
      </c>
      <c r="B191" s="974" t="s">
        <v>870</v>
      </c>
      <c r="C191" s="1046" t="s">
        <v>1437</v>
      </c>
      <c r="D191" s="1046" t="s">
        <v>1411</v>
      </c>
      <c r="E191" s="1045" t="s">
        <v>1429</v>
      </c>
    </row>
    <row r="192" spans="1:5" x14ac:dyDescent="0.25">
      <c r="A192" s="974">
        <v>191</v>
      </c>
      <c r="B192" s="974" t="s">
        <v>870</v>
      </c>
      <c r="C192" s="1046" t="s">
        <v>1437</v>
      </c>
      <c r="D192" s="1046" t="s">
        <v>1411</v>
      </c>
      <c r="E192" s="1045" t="s">
        <v>1632</v>
      </c>
    </row>
    <row r="193" spans="1:5" x14ac:dyDescent="0.25">
      <c r="A193" s="974">
        <v>192</v>
      </c>
      <c r="B193" s="974" t="s">
        <v>1401</v>
      </c>
      <c r="C193" s="1046" t="s">
        <v>1437</v>
      </c>
      <c r="D193" s="1046" t="s">
        <v>1430</v>
      </c>
      <c r="E193" s="1043" t="s">
        <v>765</v>
      </c>
    </row>
    <row r="194" spans="1:5" x14ac:dyDescent="0.25">
      <c r="A194" s="974">
        <v>193</v>
      </c>
      <c r="B194" s="974" t="s">
        <v>1401</v>
      </c>
      <c r="C194" s="1046" t="s">
        <v>1437</v>
      </c>
      <c r="D194" s="1046" t="s">
        <v>1430</v>
      </c>
      <c r="E194" s="1043" t="s">
        <v>1179</v>
      </c>
    </row>
    <row r="195" spans="1:5" x14ac:dyDescent="0.25">
      <c r="A195" s="974">
        <v>194</v>
      </c>
      <c r="B195" s="974" t="s">
        <v>1401</v>
      </c>
      <c r="C195" s="1046" t="s">
        <v>1437</v>
      </c>
      <c r="D195" s="1046" t="s">
        <v>1411</v>
      </c>
      <c r="E195" s="1043" t="s">
        <v>1180</v>
      </c>
    </row>
    <row r="196" spans="1:5" x14ac:dyDescent="0.25">
      <c r="A196" s="974">
        <v>195</v>
      </c>
      <c r="B196" s="974" t="s">
        <v>1401</v>
      </c>
      <c r="C196" s="1046" t="s">
        <v>1437</v>
      </c>
      <c r="D196" s="1046" t="s">
        <v>1411</v>
      </c>
      <c r="E196" s="1043" t="s">
        <v>1367</v>
      </c>
    </row>
    <row r="197" spans="1:5" x14ac:dyDescent="0.25">
      <c r="A197" s="974">
        <v>196</v>
      </c>
      <c r="B197" s="974" t="s">
        <v>1401</v>
      </c>
      <c r="C197" s="1046" t="s">
        <v>1437</v>
      </c>
      <c r="D197" s="1046" t="s">
        <v>1411</v>
      </c>
      <c r="E197" s="1043" t="s">
        <v>1297</v>
      </c>
    </row>
    <row r="198" spans="1:5" x14ac:dyDescent="0.25">
      <c r="A198" s="974">
        <v>197</v>
      </c>
      <c r="B198" s="974" t="s">
        <v>1401</v>
      </c>
      <c r="C198" s="1046" t="s">
        <v>1437</v>
      </c>
      <c r="D198" s="1046" t="s">
        <v>1411</v>
      </c>
      <c r="E198" s="1043" t="s">
        <v>767</v>
      </c>
    </row>
    <row r="199" spans="1:5" x14ac:dyDescent="0.25">
      <c r="A199" s="974">
        <v>198</v>
      </c>
      <c r="B199" s="974" t="s">
        <v>1401</v>
      </c>
      <c r="C199" s="1046" t="s">
        <v>1437</v>
      </c>
      <c r="D199" s="1046" t="s">
        <v>1411</v>
      </c>
      <c r="E199" s="1043" t="s">
        <v>768</v>
      </c>
    </row>
    <row r="200" spans="1:5" x14ac:dyDescent="0.25">
      <c r="A200" s="974">
        <v>199</v>
      </c>
      <c r="B200" s="974" t="s">
        <v>1401</v>
      </c>
      <c r="C200" s="1046" t="s">
        <v>1437</v>
      </c>
      <c r="D200" s="1046" t="s">
        <v>1411</v>
      </c>
      <c r="E200" s="1043" t="s">
        <v>769</v>
      </c>
    </row>
    <row r="201" spans="1:5" x14ac:dyDescent="0.25">
      <c r="A201" s="974">
        <v>200</v>
      </c>
      <c r="B201" s="974" t="s">
        <v>1401</v>
      </c>
      <c r="C201" s="1046" t="s">
        <v>1437</v>
      </c>
      <c r="D201" s="1046" t="s">
        <v>1411</v>
      </c>
      <c r="E201" s="1043" t="s">
        <v>204</v>
      </c>
    </row>
    <row r="202" spans="1:5" x14ac:dyDescent="0.25">
      <c r="A202" s="974">
        <v>201</v>
      </c>
      <c r="B202" s="974" t="s">
        <v>1401</v>
      </c>
      <c r="C202" s="1046" t="s">
        <v>1438</v>
      </c>
      <c r="D202" s="1046" t="s">
        <v>1411</v>
      </c>
      <c r="E202" s="1043" t="s">
        <v>1178</v>
      </c>
    </row>
    <row r="203" spans="1:5" x14ac:dyDescent="0.25">
      <c r="A203" s="974">
        <v>202</v>
      </c>
      <c r="B203" s="974" t="s">
        <v>870</v>
      </c>
      <c r="C203" s="1046" t="s">
        <v>1438</v>
      </c>
      <c r="D203" s="1046" t="s">
        <v>1411</v>
      </c>
      <c r="E203" s="1043" t="s">
        <v>1182</v>
      </c>
    </row>
    <row r="204" spans="1:5" x14ac:dyDescent="0.25">
      <c r="A204" s="974">
        <v>203</v>
      </c>
      <c r="B204" s="974" t="s">
        <v>1401</v>
      </c>
      <c r="C204" s="1046" t="s">
        <v>1438</v>
      </c>
      <c r="D204" s="1046" t="s">
        <v>1411</v>
      </c>
      <c r="E204" s="1043" t="s">
        <v>766</v>
      </c>
    </row>
    <row r="205" spans="1:5" x14ac:dyDescent="0.25">
      <c r="A205" s="974">
        <v>204</v>
      </c>
      <c r="B205" s="974" t="s">
        <v>870</v>
      </c>
      <c r="C205" s="1046" t="s">
        <v>1438</v>
      </c>
      <c r="D205" s="1046" t="s">
        <v>1411</v>
      </c>
      <c r="E205" s="1045" t="s">
        <v>1262</v>
      </c>
    </row>
    <row r="206" spans="1:5" ht="30" x14ac:dyDescent="0.25">
      <c r="A206" s="974">
        <v>205</v>
      </c>
      <c r="B206" s="974" t="s">
        <v>870</v>
      </c>
      <c r="C206" s="1046" t="s">
        <v>1438</v>
      </c>
      <c r="D206" s="1046" t="s">
        <v>1411</v>
      </c>
      <c r="E206" s="1045" t="s">
        <v>1263</v>
      </c>
    </row>
    <row r="207" spans="1:5" x14ac:dyDescent="0.25">
      <c r="A207" s="974">
        <v>206</v>
      </c>
      <c r="B207" s="974" t="s">
        <v>870</v>
      </c>
      <c r="C207" s="1046" t="s">
        <v>1438</v>
      </c>
      <c r="D207" s="1046" t="s">
        <v>1411</v>
      </c>
      <c r="E207" s="1045" t="s">
        <v>1185</v>
      </c>
    </row>
    <row r="208" spans="1:5" x14ac:dyDescent="0.25">
      <c r="A208" s="974">
        <v>207</v>
      </c>
      <c r="B208" s="974" t="s">
        <v>870</v>
      </c>
      <c r="C208" s="1046" t="s">
        <v>1438</v>
      </c>
      <c r="D208" s="1046" t="s">
        <v>1411</v>
      </c>
      <c r="E208" s="1045" t="s">
        <v>1186</v>
      </c>
    </row>
    <row r="209" spans="1:5" x14ac:dyDescent="0.25">
      <c r="A209" s="974">
        <v>208</v>
      </c>
      <c r="B209" s="974" t="s">
        <v>870</v>
      </c>
      <c r="C209" s="1046" t="s">
        <v>1438</v>
      </c>
      <c r="D209" s="1046" t="s">
        <v>1411</v>
      </c>
      <c r="E209" s="1045" t="s">
        <v>1187</v>
      </c>
    </row>
    <row r="210" spans="1:5" x14ac:dyDescent="0.25">
      <c r="A210" s="974">
        <v>209</v>
      </c>
      <c r="B210" s="974" t="s">
        <v>870</v>
      </c>
      <c r="C210" s="1046" t="s">
        <v>1438</v>
      </c>
      <c r="D210" s="1046" t="s">
        <v>1411</v>
      </c>
      <c r="E210" s="1045" t="s">
        <v>1188</v>
      </c>
    </row>
    <row r="211" spans="1:5" x14ac:dyDescent="0.25">
      <c r="A211" s="974">
        <v>210</v>
      </c>
      <c r="B211" s="974" t="s">
        <v>870</v>
      </c>
      <c r="C211" s="1046" t="s">
        <v>1438</v>
      </c>
      <c r="D211" s="1046" t="s">
        <v>1411</v>
      </c>
      <c r="E211" s="1045" t="s">
        <v>1189</v>
      </c>
    </row>
    <row r="212" spans="1:5" x14ac:dyDescent="0.25">
      <c r="A212" s="974">
        <v>211</v>
      </c>
      <c r="B212" s="974" t="s">
        <v>870</v>
      </c>
      <c r="C212" s="1046" t="s">
        <v>1438</v>
      </c>
      <c r="D212" s="1046" t="s">
        <v>1411</v>
      </c>
      <c r="E212" s="1045" t="s">
        <v>1429</v>
      </c>
    </row>
    <row r="213" spans="1:5" x14ac:dyDescent="0.25">
      <c r="A213" s="974">
        <v>212</v>
      </c>
      <c r="B213" s="974" t="s">
        <v>870</v>
      </c>
      <c r="C213" s="1046" t="s">
        <v>1438</v>
      </c>
      <c r="D213" s="1046" t="s">
        <v>1411</v>
      </c>
      <c r="E213" s="1045" t="s">
        <v>1632</v>
      </c>
    </row>
    <row r="214" spans="1:5" x14ac:dyDescent="0.25">
      <c r="A214" s="974">
        <v>213</v>
      </c>
      <c r="B214" s="974" t="s">
        <v>1401</v>
      </c>
      <c r="C214" s="1046" t="s">
        <v>1438</v>
      </c>
      <c r="D214" s="1046" t="s">
        <v>1430</v>
      </c>
      <c r="E214" s="1043" t="s">
        <v>765</v>
      </c>
    </row>
    <row r="215" spans="1:5" x14ac:dyDescent="0.25">
      <c r="A215" s="974">
        <v>214</v>
      </c>
      <c r="B215" s="974" t="s">
        <v>1401</v>
      </c>
      <c r="C215" s="1046" t="s">
        <v>1438</v>
      </c>
      <c r="D215" s="1046" t="s">
        <v>1430</v>
      </c>
      <c r="E215" s="1043" t="s">
        <v>1179</v>
      </c>
    </row>
    <row r="216" spans="1:5" x14ac:dyDescent="0.25">
      <c r="A216" s="974">
        <v>215</v>
      </c>
      <c r="B216" s="974" t="s">
        <v>1401</v>
      </c>
      <c r="C216" s="1046" t="s">
        <v>1438</v>
      </c>
      <c r="D216" s="1046" t="s">
        <v>1411</v>
      </c>
      <c r="E216" s="1043" t="s">
        <v>1180</v>
      </c>
    </row>
    <row r="217" spans="1:5" x14ac:dyDescent="0.25">
      <c r="A217" s="974">
        <v>216</v>
      </c>
      <c r="B217" s="974" t="s">
        <v>1401</v>
      </c>
      <c r="C217" s="1046" t="s">
        <v>1438</v>
      </c>
      <c r="D217" s="1046" t="s">
        <v>1411</v>
      </c>
      <c r="E217" s="1043" t="s">
        <v>1367</v>
      </c>
    </row>
    <row r="218" spans="1:5" x14ac:dyDescent="0.25">
      <c r="A218" s="974">
        <v>217</v>
      </c>
      <c r="B218" s="974" t="s">
        <v>1401</v>
      </c>
      <c r="C218" s="1046" t="s">
        <v>1438</v>
      </c>
      <c r="D218" s="1046" t="s">
        <v>1411</v>
      </c>
      <c r="E218" s="1043" t="s">
        <v>1297</v>
      </c>
    </row>
    <row r="219" spans="1:5" x14ac:dyDescent="0.25">
      <c r="A219" s="974">
        <v>218</v>
      </c>
      <c r="B219" s="974" t="s">
        <v>1401</v>
      </c>
      <c r="C219" s="1046" t="s">
        <v>1438</v>
      </c>
      <c r="D219" s="1046" t="s">
        <v>1411</v>
      </c>
      <c r="E219" s="1043" t="s">
        <v>767</v>
      </c>
    </row>
    <row r="220" spans="1:5" x14ac:dyDescent="0.25">
      <c r="A220" s="974">
        <v>219</v>
      </c>
      <c r="B220" s="974" t="s">
        <v>1401</v>
      </c>
      <c r="C220" s="1046" t="s">
        <v>1438</v>
      </c>
      <c r="D220" s="1046" t="s">
        <v>1411</v>
      </c>
      <c r="E220" s="1043" t="s">
        <v>768</v>
      </c>
    </row>
    <row r="221" spans="1:5" x14ac:dyDescent="0.25">
      <c r="A221" s="974">
        <v>220</v>
      </c>
      <c r="B221" s="974" t="s">
        <v>1401</v>
      </c>
      <c r="C221" s="1046" t="s">
        <v>1438</v>
      </c>
      <c r="D221" s="1046" t="s">
        <v>1411</v>
      </c>
      <c r="E221" s="1043" t="s">
        <v>769</v>
      </c>
    </row>
    <row r="222" spans="1:5" x14ac:dyDescent="0.25">
      <c r="A222" s="974">
        <v>221</v>
      </c>
      <c r="B222" s="974" t="s">
        <v>1401</v>
      </c>
      <c r="C222" s="1046" t="s">
        <v>1438</v>
      </c>
      <c r="D222" s="1046" t="s">
        <v>1411</v>
      </c>
      <c r="E222" s="1043" t="s">
        <v>204</v>
      </c>
    </row>
    <row r="223" spans="1:5" x14ac:dyDescent="0.25">
      <c r="A223" s="974">
        <v>222</v>
      </c>
      <c r="B223" s="974" t="s">
        <v>1401</v>
      </c>
      <c r="C223" s="1046" t="s">
        <v>1439</v>
      </c>
      <c r="D223" s="1046" t="s">
        <v>1411</v>
      </c>
      <c r="E223" s="1043" t="s">
        <v>1178</v>
      </c>
    </row>
    <row r="224" spans="1:5" x14ac:dyDescent="0.25">
      <c r="A224" s="974">
        <v>223</v>
      </c>
      <c r="B224" s="974" t="s">
        <v>870</v>
      </c>
      <c r="C224" s="1046" t="s">
        <v>1439</v>
      </c>
      <c r="D224" s="1046" t="s">
        <v>1411</v>
      </c>
      <c r="E224" s="1043" t="s">
        <v>1182</v>
      </c>
    </row>
    <row r="225" spans="1:5" x14ac:dyDescent="0.25">
      <c r="A225" s="974">
        <v>224</v>
      </c>
      <c r="B225" s="974" t="s">
        <v>1401</v>
      </c>
      <c r="C225" s="1046" t="s">
        <v>1439</v>
      </c>
      <c r="D225" s="1046" t="s">
        <v>1411</v>
      </c>
      <c r="E225" s="1043" t="s">
        <v>766</v>
      </c>
    </row>
    <row r="226" spans="1:5" x14ac:dyDescent="0.25">
      <c r="A226" s="974">
        <v>225</v>
      </c>
      <c r="B226" s="974" t="s">
        <v>870</v>
      </c>
      <c r="C226" s="1046" t="s">
        <v>1439</v>
      </c>
      <c r="D226" s="1046" t="s">
        <v>1411</v>
      </c>
      <c r="E226" s="1045" t="s">
        <v>1262</v>
      </c>
    </row>
    <row r="227" spans="1:5" ht="30" x14ac:dyDescent="0.25">
      <c r="A227" s="974">
        <v>226</v>
      </c>
      <c r="B227" s="974" t="s">
        <v>870</v>
      </c>
      <c r="C227" s="1046" t="s">
        <v>1439</v>
      </c>
      <c r="D227" s="1046" t="s">
        <v>1411</v>
      </c>
      <c r="E227" s="1045" t="s">
        <v>1263</v>
      </c>
    </row>
    <row r="228" spans="1:5" x14ac:dyDescent="0.25">
      <c r="A228" s="974">
        <v>227</v>
      </c>
      <c r="B228" s="974" t="s">
        <v>870</v>
      </c>
      <c r="C228" s="1046" t="s">
        <v>1439</v>
      </c>
      <c r="D228" s="1046" t="s">
        <v>1411</v>
      </c>
      <c r="E228" s="1045" t="s">
        <v>1185</v>
      </c>
    </row>
    <row r="229" spans="1:5" x14ac:dyDescent="0.25">
      <c r="A229" s="974">
        <v>228</v>
      </c>
      <c r="B229" s="974" t="s">
        <v>870</v>
      </c>
      <c r="C229" s="1046" t="s">
        <v>1439</v>
      </c>
      <c r="D229" s="1046" t="s">
        <v>1411</v>
      </c>
      <c r="E229" s="1045" t="s">
        <v>1186</v>
      </c>
    </row>
    <row r="230" spans="1:5" x14ac:dyDescent="0.25">
      <c r="A230" s="974">
        <v>229</v>
      </c>
      <c r="B230" s="974" t="s">
        <v>870</v>
      </c>
      <c r="C230" s="1046" t="s">
        <v>1439</v>
      </c>
      <c r="D230" s="1046" t="s">
        <v>1411</v>
      </c>
      <c r="E230" s="1045" t="s">
        <v>1187</v>
      </c>
    </row>
    <row r="231" spans="1:5" x14ac:dyDescent="0.25">
      <c r="A231" s="974">
        <v>230</v>
      </c>
      <c r="B231" s="974" t="s">
        <v>870</v>
      </c>
      <c r="C231" s="1046" t="s">
        <v>1439</v>
      </c>
      <c r="D231" s="1046" t="s">
        <v>1411</v>
      </c>
      <c r="E231" s="1045" t="s">
        <v>1188</v>
      </c>
    </row>
    <row r="232" spans="1:5" x14ac:dyDescent="0.25">
      <c r="A232" s="974">
        <v>231</v>
      </c>
      <c r="B232" s="974" t="s">
        <v>870</v>
      </c>
      <c r="C232" s="1046" t="s">
        <v>1439</v>
      </c>
      <c r="D232" s="1046" t="s">
        <v>1411</v>
      </c>
      <c r="E232" s="1045" t="s">
        <v>1189</v>
      </c>
    </row>
    <row r="233" spans="1:5" x14ac:dyDescent="0.25">
      <c r="A233" s="974">
        <v>232</v>
      </c>
      <c r="B233" s="974" t="s">
        <v>870</v>
      </c>
      <c r="C233" s="1046" t="s">
        <v>1439</v>
      </c>
      <c r="D233" s="1046" t="s">
        <v>1411</v>
      </c>
      <c r="E233" s="1045" t="s">
        <v>1429</v>
      </c>
    </row>
    <row r="234" spans="1:5" x14ac:dyDescent="0.25">
      <c r="A234" s="974">
        <v>233</v>
      </c>
      <c r="B234" s="974" t="s">
        <v>870</v>
      </c>
      <c r="C234" s="1046" t="s">
        <v>1439</v>
      </c>
      <c r="D234" s="1046" t="s">
        <v>1411</v>
      </c>
      <c r="E234" s="1045" t="s">
        <v>1632</v>
      </c>
    </row>
    <row r="235" spans="1:5" x14ac:dyDescent="0.25">
      <c r="A235" s="974">
        <v>234</v>
      </c>
      <c r="B235" s="974" t="s">
        <v>1401</v>
      </c>
      <c r="C235" s="1046" t="s">
        <v>1439</v>
      </c>
      <c r="D235" s="1046" t="s">
        <v>1430</v>
      </c>
      <c r="E235" s="1043" t="s">
        <v>765</v>
      </c>
    </row>
    <row r="236" spans="1:5" x14ac:dyDescent="0.25">
      <c r="A236" s="974">
        <v>235</v>
      </c>
      <c r="B236" s="974" t="s">
        <v>1401</v>
      </c>
      <c r="C236" s="1046" t="s">
        <v>1439</v>
      </c>
      <c r="D236" s="1046" t="s">
        <v>1430</v>
      </c>
      <c r="E236" s="1043" t="s">
        <v>1179</v>
      </c>
    </row>
    <row r="237" spans="1:5" x14ac:dyDescent="0.25">
      <c r="A237" s="974">
        <v>236</v>
      </c>
      <c r="B237" s="974" t="s">
        <v>1401</v>
      </c>
      <c r="C237" s="1046" t="s">
        <v>1439</v>
      </c>
      <c r="D237" s="1046" t="s">
        <v>1411</v>
      </c>
      <c r="E237" s="1043" t="s">
        <v>1180</v>
      </c>
    </row>
    <row r="238" spans="1:5" x14ac:dyDescent="0.25">
      <c r="A238" s="974">
        <v>237</v>
      </c>
      <c r="B238" s="974" t="s">
        <v>1401</v>
      </c>
      <c r="C238" s="1046" t="s">
        <v>1439</v>
      </c>
      <c r="D238" s="1046" t="s">
        <v>1411</v>
      </c>
      <c r="E238" s="1043" t="s">
        <v>1367</v>
      </c>
    </row>
    <row r="239" spans="1:5" x14ac:dyDescent="0.25">
      <c r="A239" s="974">
        <v>238</v>
      </c>
      <c r="B239" s="974" t="s">
        <v>1401</v>
      </c>
      <c r="C239" s="1046" t="s">
        <v>1439</v>
      </c>
      <c r="D239" s="1046" t="s">
        <v>1411</v>
      </c>
      <c r="E239" s="1043" t="s">
        <v>1297</v>
      </c>
    </row>
    <row r="240" spans="1:5" x14ac:dyDescent="0.25">
      <c r="A240" s="974">
        <v>239</v>
      </c>
      <c r="B240" s="974" t="s">
        <v>1401</v>
      </c>
      <c r="C240" s="1046" t="s">
        <v>1439</v>
      </c>
      <c r="D240" s="1046" t="s">
        <v>1411</v>
      </c>
      <c r="E240" s="1043" t="s">
        <v>767</v>
      </c>
    </row>
    <row r="241" spans="1:5" x14ac:dyDescent="0.25">
      <c r="A241" s="974">
        <v>240</v>
      </c>
      <c r="B241" s="974" t="s">
        <v>1401</v>
      </c>
      <c r="C241" s="1046" t="s">
        <v>1439</v>
      </c>
      <c r="D241" s="1046" t="s">
        <v>1411</v>
      </c>
      <c r="E241" s="1043" t="s">
        <v>768</v>
      </c>
    </row>
    <row r="242" spans="1:5" x14ac:dyDescent="0.25">
      <c r="A242" s="974">
        <v>241</v>
      </c>
      <c r="B242" s="974" t="s">
        <v>1401</v>
      </c>
      <c r="C242" s="1046" t="s">
        <v>1439</v>
      </c>
      <c r="D242" s="1046" t="s">
        <v>1411</v>
      </c>
      <c r="E242" s="1043" t="s">
        <v>769</v>
      </c>
    </row>
    <row r="243" spans="1:5" x14ac:dyDescent="0.25">
      <c r="A243" s="974">
        <v>242</v>
      </c>
      <c r="B243" s="974" t="s">
        <v>1401</v>
      </c>
      <c r="C243" s="1046" t="s">
        <v>1439</v>
      </c>
      <c r="D243" s="1046" t="s">
        <v>1411</v>
      </c>
      <c r="E243" s="1043" t="s">
        <v>204</v>
      </c>
    </row>
    <row r="244" spans="1:5" ht="45" x14ac:dyDescent="0.25">
      <c r="A244" s="974">
        <v>243</v>
      </c>
      <c r="B244" s="974" t="s">
        <v>1279</v>
      </c>
      <c r="C244" s="1046" t="s">
        <v>2137</v>
      </c>
      <c r="D244" s="1046" t="s">
        <v>1440</v>
      </c>
      <c r="E244" s="1043" t="s">
        <v>1441</v>
      </c>
    </row>
    <row r="245" spans="1:5" ht="30" x14ac:dyDescent="0.25">
      <c r="A245" s="974">
        <v>244</v>
      </c>
      <c r="B245" s="974" t="s">
        <v>1279</v>
      </c>
      <c r="C245" s="1046" t="s">
        <v>2137</v>
      </c>
      <c r="D245" s="1046" t="s">
        <v>1442</v>
      </c>
      <c r="E245" s="1043" t="s">
        <v>1377</v>
      </c>
    </row>
    <row r="246" spans="1:5" ht="30" x14ac:dyDescent="0.25">
      <c r="A246" s="974">
        <v>245</v>
      </c>
      <c r="B246" s="974" t="s">
        <v>1279</v>
      </c>
      <c r="C246" s="1046" t="s">
        <v>2137</v>
      </c>
      <c r="D246" s="1046" t="s">
        <v>1443</v>
      </c>
      <c r="E246" s="1043" t="s">
        <v>1267</v>
      </c>
    </row>
    <row r="247" spans="1:5" ht="30" x14ac:dyDescent="0.25">
      <c r="A247" s="974">
        <v>246</v>
      </c>
      <c r="B247" s="974" t="s">
        <v>1279</v>
      </c>
      <c r="C247" s="1046" t="s">
        <v>99</v>
      </c>
      <c r="D247" s="1046" t="s">
        <v>1444</v>
      </c>
      <c r="E247" s="1043" t="s">
        <v>1289</v>
      </c>
    </row>
    <row r="248" spans="1:5" ht="30" x14ac:dyDescent="0.25">
      <c r="A248" s="974">
        <v>247</v>
      </c>
      <c r="B248" s="974" t="s">
        <v>1279</v>
      </c>
      <c r="C248" s="1046" t="s">
        <v>99</v>
      </c>
      <c r="D248" s="1046" t="s">
        <v>1411</v>
      </c>
      <c r="E248" s="1046" t="s">
        <v>252</v>
      </c>
    </row>
    <row r="249" spans="1:5" ht="30" x14ac:dyDescent="0.25">
      <c r="A249" s="974">
        <v>248</v>
      </c>
      <c r="B249" s="974" t="s">
        <v>1279</v>
      </c>
      <c r="C249" s="1046" t="s">
        <v>99</v>
      </c>
      <c r="D249" s="1046" t="s">
        <v>1279</v>
      </c>
      <c r="E249" s="1046" t="s">
        <v>1246</v>
      </c>
    </row>
    <row r="250" spans="1:5" ht="30" x14ac:dyDescent="0.25">
      <c r="A250" s="974">
        <v>249</v>
      </c>
      <c r="B250" s="974" t="s">
        <v>1279</v>
      </c>
      <c r="C250" s="1046" t="s">
        <v>99</v>
      </c>
      <c r="D250" s="1046" t="s">
        <v>1279</v>
      </c>
      <c r="E250" s="1046" t="s">
        <v>225</v>
      </c>
    </row>
    <row r="251" spans="1:5" ht="30" x14ac:dyDescent="0.25">
      <c r="A251" s="974">
        <v>250</v>
      </c>
      <c r="B251" s="974" t="s">
        <v>208</v>
      </c>
      <c r="C251" s="1046" t="s">
        <v>99</v>
      </c>
      <c r="D251" s="1046" t="s">
        <v>1411</v>
      </c>
      <c r="E251" s="1045" t="s">
        <v>463</v>
      </c>
    </row>
    <row r="252" spans="1:5" ht="30" x14ac:dyDescent="0.25">
      <c r="A252" s="974">
        <v>251</v>
      </c>
      <c r="B252" s="974" t="s">
        <v>1279</v>
      </c>
      <c r="C252" s="1046" t="s">
        <v>99</v>
      </c>
      <c r="D252" s="1046" t="s">
        <v>1279</v>
      </c>
      <c r="E252" s="1045" t="s">
        <v>1282</v>
      </c>
    </row>
    <row r="253" spans="1:5" ht="30" x14ac:dyDescent="0.25">
      <c r="A253" s="974">
        <v>252</v>
      </c>
      <c r="B253" s="974" t="s">
        <v>1279</v>
      </c>
      <c r="C253" s="1046" t="s">
        <v>99</v>
      </c>
      <c r="D253" s="1046" t="s">
        <v>1411</v>
      </c>
      <c r="E253" s="1045" t="s">
        <v>1284</v>
      </c>
    </row>
    <row r="254" spans="1:5" ht="30" x14ac:dyDescent="0.25">
      <c r="A254" s="974">
        <v>253</v>
      </c>
      <c r="B254" s="974" t="s">
        <v>1279</v>
      </c>
      <c r="C254" s="1046" t="s">
        <v>99</v>
      </c>
      <c r="D254" s="1046" t="s">
        <v>1411</v>
      </c>
      <c r="E254" s="1045" t="s">
        <v>1285</v>
      </c>
    </row>
    <row r="255" spans="1:5" ht="30" x14ac:dyDescent="0.25">
      <c r="A255" s="974">
        <v>254</v>
      </c>
      <c r="B255" s="974" t="s">
        <v>1279</v>
      </c>
      <c r="C255" s="1046" t="s">
        <v>99</v>
      </c>
      <c r="D255" s="1046" t="s">
        <v>1445</v>
      </c>
      <c r="E255" s="1045" t="s">
        <v>1286</v>
      </c>
    </row>
    <row r="256" spans="1:5" ht="30" x14ac:dyDescent="0.25">
      <c r="A256" s="974">
        <v>255</v>
      </c>
      <c r="B256" s="974" t="s">
        <v>1279</v>
      </c>
      <c r="C256" s="1046" t="s">
        <v>99</v>
      </c>
      <c r="D256" s="1046" t="s">
        <v>1411</v>
      </c>
      <c r="E256" s="1045" t="s">
        <v>1287</v>
      </c>
    </row>
    <row r="257" spans="1:5" ht="30" x14ac:dyDescent="0.25">
      <c r="A257" s="974">
        <v>256</v>
      </c>
      <c r="B257" s="974" t="s">
        <v>1279</v>
      </c>
      <c r="C257" s="1046" t="s">
        <v>99</v>
      </c>
      <c r="D257" s="1046" t="s">
        <v>1445</v>
      </c>
      <c r="E257" s="1045" t="s">
        <v>1288</v>
      </c>
    </row>
    <row r="258" spans="1:5" ht="30" x14ac:dyDescent="0.25">
      <c r="A258" s="974">
        <v>257</v>
      </c>
      <c r="B258" s="974" t="s">
        <v>1279</v>
      </c>
      <c r="C258" s="1046" t="s">
        <v>99</v>
      </c>
      <c r="D258" s="1046" t="s">
        <v>1445</v>
      </c>
      <c r="E258" s="1045" t="s">
        <v>1228</v>
      </c>
    </row>
    <row r="259" spans="1:5" x14ac:dyDescent="0.25">
      <c r="A259" s="974">
        <v>258</v>
      </c>
      <c r="B259" s="974" t="s">
        <v>1279</v>
      </c>
      <c r="C259" s="1046" t="s">
        <v>103</v>
      </c>
      <c r="D259" s="1046" t="s">
        <v>1444</v>
      </c>
      <c r="E259" s="1043" t="s">
        <v>1289</v>
      </c>
    </row>
    <row r="260" spans="1:5" x14ac:dyDescent="0.25">
      <c r="A260" s="974">
        <v>259</v>
      </c>
      <c r="B260" s="974" t="s">
        <v>1279</v>
      </c>
      <c r="C260" s="1046" t="s">
        <v>103</v>
      </c>
      <c r="D260" s="1046" t="s">
        <v>1411</v>
      </c>
      <c r="E260" s="1043" t="s">
        <v>252</v>
      </c>
    </row>
    <row r="261" spans="1:5" x14ac:dyDescent="0.25">
      <c r="A261" s="974">
        <v>260</v>
      </c>
      <c r="B261" s="974" t="s">
        <v>1279</v>
      </c>
      <c r="C261" s="1046" t="s">
        <v>103</v>
      </c>
      <c r="D261" s="1046" t="s">
        <v>1279</v>
      </c>
      <c r="E261" s="1046" t="s">
        <v>1246</v>
      </c>
    </row>
    <row r="262" spans="1:5" x14ac:dyDescent="0.25">
      <c r="A262" s="974">
        <v>261</v>
      </c>
      <c r="B262" s="974" t="s">
        <v>1279</v>
      </c>
      <c r="C262" s="1046" t="s">
        <v>103</v>
      </c>
      <c r="D262" s="1046" t="s">
        <v>1279</v>
      </c>
      <c r="E262" s="1046" t="s">
        <v>225</v>
      </c>
    </row>
    <row r="263" spans="1:5" x14ac:dyDescent="0.25">
      <c r="A263" s="974">
        <v>262</v>
      </c>
      <c r="B263" s="974" t="s">
        <v>208</v>
      </c>
      <c r="C263" s="1046" t="s">
        <v>103</v>
      </c>
      <c r="D263" s="1046" t="s">
        <v>1411</v>
      </c>
      <c r="E263" s="1045" t="s">
        <v>463</v>
      </c>
    </row>
    <row r="264" spans="1:5" x14ac:dyDescent="0.25">
      <c r="A264" s="974">
        <v>263</v>
      </c>
      <c r="B264" s="974" t="s">
        <v>1279</v>
      </c>
      <c r="C264" s="1046" t="s">
        <v>103</v>
      </c>
      <c r="D264" s="1046" t="s">
        <v>1279</v>
      </c>
      <c r="E264" s="1045" t="s">
        <v>1282</v>
      </c>
    </row>
    <row r="265" spans="1:5" x14ac:dyDescent="0.25">
      <c r="A265" s="974">
        <v>264</v>
      </c>
      <c r="B265" s="974" t="s">
        <v>1279</v>
      </c>
      <c r="C265" s="1046" t="s">
        <v>103</v>
      </c>
      <c r="D265" s="1046" t="s">
        <v>1411</v>
      </c>
      <c r="E265" s="1045" t="s">
        <v>1284</v>
      </c>
    </row>
    <row r="266" spans="1:5" x14ac:dyDescent="0.25">
      <c r="A266" s="974">
        <v>265</v>
      </c>
      <c r="B266" s="974" t="s">
        <v>1279</v>
      </c>
      <c r="C266" s="1046" t="s">
        <v>103</v>
      </c>
      <c r="D266" s="1046" t="s">
        <v>1411</v>
      </c>
      <c r="E266" s="1045" t="s">
        <v>1285</v>
      </c>
    </row>
    <row r="267" spans="1:5" x14ac:dyDescent="0.25">
      <c r="A267" s="974">
        <v>266</v>
      </c>
      <c r="B267" s="974" t="s">
        <v>1279</v>
      </c>
      <c r="C267" s="1046" t="s">
        <v>103</v>
      </c>
      <c r="D267" s="1046" t="s">
        <v>1445</v>
      </c>
      <c r="E267" s="1045" t="s">
        <v>1286</v>
      </c>
    </row>
    <row r="268" spans="1:5" x14ac:dyDescent="0.25">
      <c r="A268" s="974">
        <v>267</v>
      </c>
      <c r="B268" s="974" t="s">
        <v>1279</v>
      </c>
      <c r="C268" s="1046" t="s">
        <v>103</v>
      </c>
      <c r="D268" s="1046" t="s">
        <v>1445</v>
      </c>
      <c r="E268" s="1045" t="s">
        <v>1287</v>
      </c>
    </row>
    <row r="269" spans="1:5" x14ac:dyDescent="0.25">
      <c r="A269" s="974">
        <v>268</v>
      </c>
      <c r="B269" s="974" t="s">
        <v>1279</v>
      </c>
      <c r="C269" s="1046" t="s">
        <v>103</v>
      </c>
      <c r="D269" s="1046" t="s">
        <v>1445</v>
      </c>
      <c r="E269" s="1045" t="s">
        <v>1288</v>
      </c>
    </row>
    <row r="270" spans="1:5" x14ac:dyDescent="0.25">
      <c r="A270" s="974">
        <v>269</v>
      </c>
      <c r="B270" s="974" t="s">
        <v>1279</v>
      </c>
      <c r="C270" s="1046" t="s">
        <v>103</v>
      </c>
      <c r="D270" s="1046" t="s">
        <v>1445</v>
      </c>
      <c r="E270" s="1045" t="s">
        <v>1228</v>
      </c>
    </row>
    <row r="271" spans="1:5" x14ac:dyDescent="0.25">
      <c r="A271" s="974">
        <v>270</v>
      </c>
      <c r="B271" s="974" t="s">
        <v>1279</v>
      </c>
      <c r="C271" s="1046" t="s">
        <v>1296</v>
      </c>
      <c r="D271" s="1046" t="s">
        <v>1291</v>
      </c>
      <c r="E271" s="1043" t="s">
        <v>1289</v>
      </c>
    </row>
    <row r="272" spans="1:5" x14ac:dyDescent="0.25">
      <c r="A272" s="974">
        <v>271</v>
      </c>
      <c r="B272" s="974" t="s">
        <v>1279</v>
      </c>
      <c r="C272" s="1046" t="s">
        <v>1296</v>
      </c>
      <c r="D272" s="1046" t="s">
        <v>1411</v>
      </c>
      <c r="E272" s="1043" t="s">
        <v>252</v>
      </c>
    </row>
    <row r="273" spans="1:5" x14ac:dyDescent="0.25">
      <c r="A273" s="974">
        <v>272</v>
      </c>
      <c r="B273" s="974" t="s">
        <v>1279</v>
      </c>
      <c r="C273" s="1046" t="s">
        <v>1296</v>
      </c>
      <c r="D273" s="1046" t="s">
        <v>1279</v>
      </c>
      <c r="E273" s="1046" t="s">
        <v>1246</v>
      </c>
    </row>
    <row r="274" spans="1:5" x14ac:dyDescent="0.25">
      <c r="A274" s="974">
        <v>273</v>
      </c>
      <c r="B274" s="974" t="s">
        <v>1279</v>
      </c>
      <c r="C274" s="1046" t="s">
        <v>1296</v>
      </c>
      <c r="D274" s="1046" t="s">
        <v>1279</v>
      </c>
      <c r="E274" s="1046" t="s">
        <v>225</v>
      </c>
    </row>
    <row r="275" spans="1:5" x14ac:dyDescent="0.25">
      <c r="A275" s="974">
        <v>274</v>
      </c>
      <c r="B275" s="974" t="s">
        <v>208</v>
      </c>
      <c r="C275" s="1046" t="s">
        <v>1296</v>
      </c>
      <c r="D275" s="1046" t="s">
        <v>1411</v>
      </c>
      <c r="E275" s="1045" t="s">
        <v>463</v>
      </c>
    </row>
    <row r="276" spans="1:5" x14ac:dyDescent="0.25">
      <c r="A276" s="974">
        <v>275</v>
      </c>
      <c r="B276" s="974" t="s">
        <v>1279</v>
      </c>
      <c r="C276" s="1046" t="s">
        <v>1296</v>
      </c>
      <c r="D276" s="1046" t="s">
        <v>1279</v>
      </c>
      <c r="E276" s="1045" t="s">
        <v>1282</v>
      </c>
    </row>
    <row r="277" spans="1:5" x14ac:dyDescent="0.25">
      <c r="A277" s="974">
        <v>276</v>
      </c>
      <c r="B277" s="974" t="s">
        <v>1279</v>
      </c>
      <c r="C277" s="1046" t="s">
        <v>1296</v>
      </c>
      <c r="D277" s="1046" t="s">
        <v>1411</v>
      </c>
      <c r="E277" s="1045" t="s">
        <v>1284</v>
      </c>
    </row>
    <row r="278" spans="1:5" x14ac:dyDescent="0.25">
      <c r="A278" s="974">
        <v>277</v>
      </c>
      <c r="B278" s="974" t="s">
        <v>1279</v>
      </c>
      <c r="C278" s="1046" t="s">
        <v>1296</v>
      </c>
      <c r="D278" s="1046" t="s">
        <v>1411</v>
      </c>
      <c r="E278" s="1045" t="s">
        <v>1285</v>
      </c>
    </row>
    <row r="279" spans="1:5" x14ac:dyDescent="0.25">
      <c r="A279" s="974">
        <v>278</v>
      </c>
      <c r="B279" s="974" t="s">
        <v>1279</v>
      </c>
      <c r="C279" s="1046" t="s">
        <v>1296</v>
      </c>
      <c r="D279" s="1046" t="s">
        <v>1445</v>
      </c>
      <c r="E279" s="1045" t="s">
        <v>1286</v>
      </c>
    </row>
    <row r="280" spans="1:5" x14ac:dyDescent="0.25">
      <c r="A280" s="974">
        <v>279</v>
      </c>
      <c r="B280" s="974" t="s">
        <v>1279</v>
      </c>
      <c r="C280" s="1046" t="s">
        <v>1296</v>
      </c>
      <c r="D280" s="1046" t="s">
        <v>1411</v>
      </c>
      <c r="E280" s="1045" t="s">
        <v>1287</v>
      </c>
    </row>
    <row r="281" spans="1:5" x14ac:dyDescent="0.25">
      <c r="A281" s="974">
        <v>280</v>
      </c>
      <c r="B281" s="974" t="s">
        <v>1279</v>
      </c>
      <c r="C281" s="1046" t="s">
        <v>1296</v>
      </c>
      <c r="D281" s="1046" t="s">
        <v>1445</v>
      </c>
      <c r="E281" s="1045" t="s">
        <v>1288</v>
      </c>
    </row>
    <row r="282" spans="1:5" x14ac:dyDescent="0.25">
      <c r="A282" s="974">
        <v>281</v>
      </c>
      <c r="B282" s="974" t="s">
        <v>1279</v>
      </c>
      <c r="C282" s="1046" t="s">
        <v>1296</v>
      </c>
      <c r="D282" s="1046" t="s">
        <v>1445</v>
      </c>
      <c r="E282" s="1045" t="s">
        <v>1228</v>
      </c>
    </row>
    <row r="283" spans="1:5" x14ac:dyDescent="0.25">
      <c r="A283" s="974">
        <v>282</v>
      </c>
      <c r="B283" s="974" t="s">
        <v>1279</v>
      </c>
      <c r="C283" s="1046" t="s">
        <v>102</v>
      </c>
      <c r="D283" s="1046" t="s">
        <v>1444</v>
      </c>
      <c r="E283" s="1043" t="s">
        <v>1289</v>
      </c>
    </row>
    <row r="284" spans="1:5" x14ac:dyDescent="0.25">
      <c r="A284" s="974">
        <v>283</v>
      </c>
      <c r="B284" s="974" t="s">
        <v>1279</v>
      </c>
      <c r="C284" s="1046" t="s">
        <v>102</v>
      </c>
      <c r="D284" s="1046" t="s">
        <v>1411</v>
      </c>
      <c r="E284" s="1043" t="s">
        <v>252</v>
      </c>
    </row>
    <row r="285" spans="1:5" x14ac:dyDescent="0.25">
      <c r="A285" s="974">
        <v>284</v>
      </c>
      <c r="B285" s="974" t="s">
        <v>1279</v>
      </c>
      <c r="C285" s="1046" t="s">
        <v>102</v>
      </c>
      <c r="D285" s="1046" t="s">
        <v>1279</v>
      </c>
      <c r="E285" s="1046" t="s">
        <v>1246</v>
      </c>
    </row>
    <row r="286" spans="1:5" x14ac:dyDescent="0.25">
      <c r="A286" s="974">
        <v>285</v>
      </c>
      <c r="B286" s="974" t="s">
        <v>1279</v>
      </c>
      <c r="C286" s="1046" t="s">
        <v>102</v>
      </c>
      <c r="D286" s="1046" t="s">
        <v>1279</v>
      </c>
      <c r="E286" s="1046" t="s">
        <v>225</v>
      </c>
    </row>
    <row r="287" spans="1:5" x14ac:dyDescent="0.25">
      <c r="A287" s="974">
        <v>286</v>
      </c>
      <c r="B287" s="974" t="s">
        <v>208</v>
      </c>
      <c r="C287" s="1046" t="s">
        <v>102</v>
      </c>
      <c r="D287" s="1046" t="s">
        <v>1411</v>
      </c>
      <c r="E287" s="1045" t="s">
        <v>463</v>
      </c>
    </row>
    <row r="288" spans="1:5" x14ac:dyDescent="0.25">
      <c r="A288" s="974">
        <v>287</v>
      </c>
      <c r="B288" s="974" t="s">
        <v>1279</v>
      </c>
      <c r="C288" s="1046" t="s">
        <v>102</v>
      </c>
      <c r="D288" s="1046" t="s">
        <v>1279</v>
      </c>
      <c r="E288" s="1045" t="s">
        <v>1282</v>
      </c>
    </row>
    <row r="289" spans="1:5" x14ac:dyDescent="0.25">
      <c r="A289" s="974">
        <v>288</v>
      </c>
      <c r="B289" s="974" t="s">
        <v>1279</v>
      </c>
      <c r="C289" s="1046" t="s">
        <v>102</v>
      </c>
      <c r="D289" s="1046" t="s">
        <v>1411</v>
      </c>
      <c r="E289" s="1045" t="s">
        <v>1284</v>
      </c>
    </row>
    <row r="290" spans="1:5" x14ac:dyDescent="0.25">
      <c r="A290" s="974">
        <v>289</v>
      </c>
      <c r="B290" s="974" t="s">
        <v>1279</v>
      </c>
      <c r="C290" s="1046" t="s">
        <v>102</v>
      </c>
      <c r="D290" s="1046" t="s">
        <v>1411</v>
      </c>
      <c r="E290" s="1045" t="s">
        <v>1285</v>
      </c>
    </row>
    <row r="291" spans="1:5" x14ac:dyDescent="0.25">
      <c r="A291" s="974">
        <v>290</v>
      </c>
      <c r="B291" s="974" t="s">
        <v>1279</v>
      </c>
      <c r="C291" s="1046" t="s">
        <v>102</v>
      </c>
      <c r="D291" s="1046" t="s">
        <v>1445</v>
      </c>
      <c r="E291" s="1045" t="s">
        <v>1286</v>
      </c>
    </row>
    <row r="292" spans="1:5" x14ac:dyDescent="0.25">
      <c r="A292" s="974">
        <v>291</v>
      </c>
      <c r="B292" s="974" t="s">
        <v>1279</v>
      </c>
      <c r="C292" s="1046" t="s">
        <v>102</v>
      </c>
      <c r="D292" s="1046" t="s">
        <v>1411</v>
      </c>
      <c r="E292" s="1045" t="s">
        <v>1287</v>
      </c>
    </row>
    <row r="293" spans="1:5" x14ac:dyDescent="0.25">
      <c r="A293" s="974">
        <v>292</v>
      </c>
      <c r="B293" s="974" t="s">
        <v>1279</v>
      </c>
      <c r="C293" s="1046" t="s">
        <v>102</v>
      </c>
      <c r="D293" s="1046" t="s">
        <v>1445</v>
      </c>
      <c r="E293" s="1045" t="s">
        <v>1288</v>
      </c>
    </row>
    <row r="294" spans="1:5" x14ac:dyDescent="0.25">
      <c r="A294" s="974">
        <v>293</v>
      </c>
      <c r="B294" s="974" t="s">
        <v>1279</v>
      </c>
      <c r="C294" s="1046" t="s">
        <v>102</v>
      </c>
      <c r="D294" s="1046" t="s">
        <v>1445</v>
      </c>
      <c r="E294" s="1045" t="s">
        <v>1228</v>
      </c>
    </row>
    <row r="295" spans="1:5" x14ac:dyDescent="0.25">
      <c r="A295" s="974">
        <v>294</v>
      </c>
      <c r="B295" s="974" t="s">
        <v>1279</v>
      </c>
      <c r="C295" s="1046" t="s">
        <v>100</v>
      </c>
      <c r="D295" s="1046" t="s">
        <v>1444</v>
      </c>
      <c r="E295" s="1043" t="s">
        <v>1289</v>
      </c>
    </row>
    <row r="296" spans="1:5" x14ac:dyDescent="0.25">
      <c r="A296" s="974">
        <v>295</v>
      </c>
      <c r="B296" s="974" t="s">
        <v>1279</v>
      </c>
      <c r="C296" s="1046" t="s">
        <v>100</v>
      </c>
      <c r="D296" s="1046" t="s">
        <v>1411</v>
      </c>
      <c r="E296" s="1043" t="s">
        <v>252</v>
      </c>
    </row>
    <row r="297" spans="1:5" x14ac:dyDescent="0.25">
      <c r="A297" s="974">
        <v>296</v>
      </c>
      <c r="B297" s="974" t="s">
        <v>1279</v>
      </c>
      <c r="C297" s="1046" t="s">
        <v>100</v>
      </c>
      <c r="D297" s="1046" t="s">
        <v>1279</v>
      </c>
      <c r="E297" s="1046" t="s">
        <v>1246</v>
      </c>
    </row>
    <row r="298" spans="1:5" x14ac:dyDescent="0.25">
      <c r="A298" s="974">
        <v>297</v>
      </c>
      <c r="B298" s="974" t="s">
        <v>1279</v>
      </c>
      <c r="C298" s="1046" t="s">
        <v>100</v>
      </c>
      <c r="D298" s="1046" t="s">
        <v>1279</v>
      </c>
      <c r="E298" s="1046" t="s">
        <v>225</v>
      </c>
    </row>
    <row r="299" spans="1:5" x14ac:dyDescent="0.25">
      <c r="A299" s="974">
        <v>298</v>
      </c>
      <c r="B299" s="974" t="s">
        <v>208</v>
      </c>
      <c r="C299" s="1046" t="s">
        <v>100</v>
      </c>
      <c r="D299" s="1046" t="s">
        <v>1411</v>
      </c>
      <c r="E299" s="1045" t="s">
        <v>463</v>
      </c>
    </row>
    <row r="300" spans="1:5" x14ac:dyDescent="0.25">
      <c r="A300" s="974">
        <v>299</v>
      </c>
      <c r="B300" s="974" t="s">
        <v>1279</v>
      </c>
      <c r="C300" s="1046" t="s">
        <v>100</v>
      </c>
      <c r="D300" s="1046" t="s">
        <v>1279</v>
      </c>
      <c r="E300" s="1045" t="s">
        <v>1282</v>
      </c>
    </row>
    <row r="301" spans="1:5" x14ac:dyDescent="0.25">
      <c r="A301" s="974">
        <v>300</v>
      </c>
      <c r="B301" s="974" t="s">
        <v>1279</v>
      </c>
      <c r="C301" s="1046" t="s">
        <v>100</v>
      </c>
      <c r="D301" s="1046" t="s">
        <v>1411</v>
      </c>
      <c r="E301" s="1045" t="s">
        <v>1284</v>
      </c>
    </row>
    <row r="302" spans="1:5" x14ac:dyDescent="0.25">
      <c r="A302" s="974">
        <v>301</v>
      </c>
      <c r="B302" s="974" t="s">
        <v>1279</v>
      </c>
      <c r="C302" s="1046" t="s">
        <v>100</v>
      </c>
      <c r="D302" s="1046" t="s">
        <v>1411</v>
      </c>
      <c r="E302" s="1045" t="s">
        <v>1285</v>
      </c>
    </row>
    <row r="303" spans="1:5" x14ac:dyDescent="0.25">
      <c r="A303" s="974">
        <v>302</v>
      </c>
      <c r="B303" s="974" t="s">
        <v>1279</v>
      </c>
      <c r="C303" s="1046" t="s">
        <v>100</v>
      </c>
      <c r="D303" s="1046" t="s">
        <v>1445</v>
      </c>
      <c r="E303" s="1045" t="s">
        <v>1286</v>
      </c>
    </row>
    <row r="304" spans="1:5" x14ac:dyDescent="0.25">
      <c r="A304" s="974">
        <v>303</v>
      </c>
      <c r="B304" s="974" t="s">
        <v>1279</v>
      </c>
      <c r="C304" s="1046" t="s">
        <v>100</v>
      </c>
      <c r="D304" s="1046" t="s">
        <v>1411</v>
      </c>
      <c r="E304" s="1045" t="s">
        <v>1287</v>
      </c>
    </row>
    <row r="305" spans="1:5" x14ac:dyDescent="0.25">
      <c r="A305" s="974">
        <v>304</v>
      </c>
      <c r="B305" s="974" t="s">
        <v>1279</v>
      </c>
      <c r="C305" s="1046" t="s">
        <v>100</v>
      </c>
      <c r="D305" s="1046" t="s">
        <v>1445</v>
      </c>
      <c r="E305" s="1045" t="s">
        <v>1288</v>
      </c>
    </row>
    <row r="306" spans="1:5" x14ac:dyDescent="0.25">
      <c r="A306" s="974">
        <v>305</v>
      </c>
      <c r="B306" s="974" t="s">
        <v>1279</v>
      </c>
      <c r="C306" s="1046" t="s">
        <v>100</v>
      </c>
      <c r="D306" s="1046" t="s">
        <v>1445</v>
      </c>
      <c r="E306" s="1045" t="s">
        <v>1228</v>
      </c>
    </row>
    <row r="307" spans="1:5" x14ac:dyDescent="0.25">
      <c r="A307" s="974">
        <v>306</v>
      </c>
      <c r="B307" s="974" t="s">
        <v>1279</v>
      </c>
      <c r="C307" s="1046" t="s">
        <v>104</v>
      </c>
      <c r="D307" s="1046" t="s">
        <v>1444</v>
      </c>
      <c r="E307" s="1043" t="s">
        <v>1289</v>
      </c>
    </row>
    <row r="308" spans="1:5" x14ac:dyDescent="0.25">
      <c r="A308" s="974">
        <v>307</v>
      </c>
      <c r="B308" s="974" t="s">
        <v>1279</v>
      </c>
      <c r="C308" s="1046" t="s">
        <v>104</v>
      </c>
      <c r="D308" s="1046" t="s">
        <v>1411</v>
      </c>
      <c r="E308" s="1043" t="s">
        <v>252</v>
      </c>
    </row>
    <row r="309" spans="1:5" x14ac:dyDescent="0.25">
      <c r="A309" s="974">
        <v>308</v>
      </c>
      <c r="B309" s="974" t="s">
        <v>1279</v>
      </c>
      <c r="C309" s="1046" t="s">
        <v>104</v>
      </c>
      <c r="D309" s="1046" t="s">
        <v>1279</v>
      </c>
      <c r="E309" s="1046" t="s">
        <v>1246</v>
      </c>
    </row>
    <row r="310" spans="1:5" x14ac:dyDescent="0.25">
      <c r="A310" s="974">
        <v>309</v>
      </c>
      <c r="B310" s="974" t="s">
        <v>1279</v>
      </c>
      <c r="C310" s="1046" t="s">
        <v>104</v>
      </c>
      <c r="D310" s="1046" t="s">
        <v>1279</v>
      </c>
      <c r="E310" s="1046" t="s">
        <v>225</v>
      </c>
    </row>
    <row r="311" spans="1:5" x14ac:dyDescent="0.25">
      <c r="A311" s="974">
        <v>310</v>
      </c>
      <c r="B311" s="974" t="s">
        <v>208</v>
      </c>
      <c r="C311" s="1046" t="s">
        <v>104</v>
      </c>
      <c r="D311" s="1046" t="s">
        <v>1411</v>
      </c>
      <c r="E311" s="1045" t="s">
        <v>463</v>
      </c>
    </row>
    <row r="312" spans="1:5" x14ac:dyDescent="0.25">
      <c r="A312" s="974">
        <v>311</v>
      </c>
      <c r="B312" s="974" t="s">
        <v>1279</v>
      </c>
      <c r="C312" s="1046" t="s">
        <v>104</v>
      </c>
      <c r="D312" s="1046" t="s">
        <v>1279</v>
      </c>
      <c r="E312" s="1045" t="s">
        <v>1282</v>
      </c>
    </row>
    <row r="313" spans="1:5" x14ac:dyDescent="0.25">
      <c r="A313" s="974">
        <v>312</v>
      </c>
      <c r="B313" s="974" t="s">
        <v>1279</v>
      </c>
      <c r="C313" s="1046" t="s">
        <v>104</v>
      </c>
      <c r="D313" s="1046" t="s">
        <v>1411</v>
      </c>
      <c r="E313" s="1045" t="s">
        <v>1284</v>
      </c>
    </row>
    <row r="314" spans="1:5" x14ac:dyDescent="0.25">
      <c r="A314" s="974">
        <v>313</v>
      </c>
      <c r="B314" s="974" t="s">
        <v>1279</v>
      </c>
      <c r="C314" s="1046" t="s">
        <v>104</v>
      </c>
      <c r="D314" s="1046" t="s">
        <v>1411</v>
      </c>
      <c r="E314" s="1045" t="s">
        <v>1285</v>
      </c>
    </row>
    <row r="315" spans="1:5" x14ac:dyDescent="0.25">
      <c r="A315" s="974">
        <v>314</v>
      </c>
      <c r="B315" s="974" t="s">
        <v>1279</v>
      </c>
      <c r="C315" s="1046" t="s">
        <v>104</v>
      </c>
      <c r="D315" s="1046" t="s">
        <v>1445</v>
      </c>
      <c r="E315" s="1045" t="s">
        <v>1286</v>
      </c>
    </row>
    <row r="316" spans="1:5" x14ac:dyDescent="0.25">
      <c r="A316" s="974">
        <v>315</v>
      </c>
      <c r="B316" s="974" t="s">
        <v>1279</v>
      </c>
      <c r="C316" s="1046" t="s">
        <v>104</v>
      </c>
      <c r="D316" s="1046" t="s">
        <v>1411</v>
      </c>
      <c r="E316" s="1045" t="s">
        <v>1287</v>
      </c>
    </row>
    <row r="317" spans="1:5" x14ac:dyDescent="0.25">
      <c r="A317" s="974">
        <v>316</v>
      </c>
      <c r="B317" s="974" t="s">
        <v>1279</v>
      </c>
      <c r="C317" s="1046" t="s">
        <v>104</v>
      </c>
      <c r="D317" s="1046" t="s">
        <v>1445</v>
      </c>
      <c r="E317" s="1045" t="s">
        <v>1288</v>
      </c>
    </row>
    <row r="318" spans="1:5" x14ac:dyDescent="0.25">
      <c r="A318" s="974">
        <v>317</v>
      </c>
      <c r="B318" s="974" t="s">
        <v>1279</v>
      </c>
      <c r="C318" s="1046" t="s">
        <v>104</v>
      </c>
      <c r="D318" s="1046" t="s">
        <v>1445</v>
      </c>
      <c r="E318" s="1045" t="s">
        <v>1228</v>
      </c>
    </row>
    <row r="319" spans="1:5" x14ac:dyDescent="0.25">
      <c r="A319" s="974">
        <v>318</v>
      </c>
      <c r="B319" s="974" t="s">
        <v>1279</v>
      </c>
      <c r="C319" s="1046" t="s">
        <v>98</v>
      </c>
      <c r="D319" s="1046" t="s">
        <v>1444</v>
      </c>
      <c r="E319" s="1043" t="s">
        <v>1289</v>
      </c>
    </row>
    <row r="320" spans="1:5" x14ac:dyDescent="0.25">
      <c r="A320" s="974">
        <v>319</v>
      </c>
      <c r="B320" s="974" t="s">
        <v>1279</v>
      </c>
      <c r="C320" s="1046" t="s">
        <v>98</v>
      </c>
      <c r="D320" s="1046" t="s">
        <v>1411</v>
      </c>
      <c r="E320" s="1043" t="s">
        <v>252</v>
      </c>
    </row>
    <row r="321" spans="1:5" x14ac:dyDescent="0.25">
      <c r="A321" s="974">
        <v>320</v>
      </c>
      <c r="B321" s="974" t="s">
        <v>1279</v>
      </c>
      <c r="C321" s="1046" t="s">
        <v>98</v>
      </c>
      <c r="D321" s="1046" t="s">
        <v>1279</v>
      </c>
      <c r="E321" s="1046" t="s">
        <v>1246</v>
      </c>
    </row>
    <row r="322" spans="1:5" x14ac:dyDescent="0.25">
      <c r="A322" s="974">
        <v>321</v>
      </c>
      <c r="B322" s="974" t="s">
        <v>1279</v>
      </c>
      <c r="C322" s="1046" t="s">
        <v>98</v>
      </c>
      <c r="D322" s="1046" t="s">
        <v>1279</v>
      </c>
      <c r="E322" s="1046" t="s">
        <v>225</v>
      </c>
    </row>
    <row r="323" spans="1:5" x14ac:dyDescent="0.25">
      <c r="A323" s="974">
        <v>322</v>
      </c>
      <c r="B323" s="974" t="s">
        <v>208</v>
      </c>
      <c r="C323" s="1046" t="s">
        <v>98</v>
      </c>
      <c r="D323" s="1046" t="s">
        <v>1411</v>
      </c>
      <c r="E323" s="1045" t="s">
        <v>463</v>
      </c>
    </row>
    <row r="324" spans="1:5" x14ac:dyDescent="0.25">
      <c r="A324" s="974">
        <v>323</v>
      </c>
      <c r="B324" s="974" t="s">
        <v>1279</v>
      </c>
      <c r="C324" s="1046" t="s">
        <v>98</v>
      </c>
      <c r="D324" s="1046" t="s">
        <v>1279</v>
      </c>
      <c r="E324" s="1045" t="s">
        <v>1282</v>
      </c>
    </row>
    <row r="325" spans="1:5" x14ac:dyDescent="0.25">
      <c r="A325" s="974">
        <v>324</v>
      </c>
      <c r="B325" s="974" t="s">
        <v>1279</v>
      </c>
      <c r="C325" s="1046" t="s">
        <v>98</v>
      </c>
      <c r="D325" s="1046" t="s">
        <v>1411</v>
      </c>
      <c r="E325" s="1045" t="s">
        <v>1284</v>
      </c>
    </row>
    <row r="326" spans="1:5" x14ac:dyDescent="0.25">
      <c r="A326" s="974">
        <v>325</v>
      </c>
      <c r="B326" s="974" t="s">
        <v>1279</v>
      </c>
      <c r="C326" s="1046" t="s">
        <v>98</v>
      </c>
      <c r="D326" s="1046" t="s">
        <v>1411</v>
      </c>
      <c r="E326" s="1045" t="s">
        <v>1285</v>
      </c>
    </row>
    <row r="327" spans="1:5" x14ac:dyDescent="0.25">
      <c r="A327" s="974">
        <v>326</v>
      </c>
      <c r="B327" s="974" t="s">
        <v>1279</v>
      </c>
      <c r="C327" s="1046" t="s">
        <v>98</v>
      </c>
      <c r="D327" s="1046" t="s">
        <v>1445</v>
      </c>
      <c r="E327" s="1045" t="s">
        <v>1286</v>
      </c>
    </row>
    <row r="328" spans="1:5" x14ac:dyDescent="0.25">
      <c r="A328" s="974">
        <v>327</v>
      </c>
      <c r="B328" s="974" t="s">
        <v>1279</v>
      </c>
      <c r="C328" s="1046" t="s">
        <v>98</v>
      </c>
      <c r="D328" s="1046" t="s">
        <v>1411</v>
      </c>
      <c r="E328" s="1045" t="s">
        <v>1287</v>
      </c>
    </row>
    <row r="329" spans="1:5" x14ac:dyDescent="0.25">
      <c r="A329" s="974">
        <v>328</v>
      </c>
      <c r="B329" s="974" t="s">
        <v>1279</v>
      </c>
      <c r="C329" s="1046" t="s">
        <v>98</v>
      </c>
      <c r="D329" s="1046" t="s">
        <v>1445</v>
      </c>
      <c r="E329" s="1045" t="s">
        <v>1288</v>
      </c>
    </row>
    <row r="330" spans="1:5" x14ac:dyDescent="0.25">
      <c r="A330" s="974">
        <v>329</v>
      </c>
      <c r="B330" s="974" t="s">
        <v>1279</v>
      </c>
      <c r="C330" s="1046" t="s">
        <v>98</v>
      </c>
      <c r="D330" s="1046" t="s">
        <v>1445</v>
      </c>
      <c r="E330" s="1045" t="s">
        <v>1228</v>
      </c>
    </row>
    <row r="331" spans="1:5" x14ac:dyDescent="0.25">
      <c r="A331" s="974">
        <v>330</v>
      </c>
      <c r="B331" s="974" t="s">
        <v>1279</v>
      </c>
      <c r="C331" s="1046" t="s">
        <v>95</v>
      </c>
      <c r="D331" s="1046" t="s">
        <v>1444</v>
      </c>
      <c r="E331" s="1043" t="s">
        <v>1289</v>
      </c>
    </row>
    <row r="332" spans="1:5" x14ac:dyDescent="0.25">
      <c r="A332" s="974">
        <v>331</v>
      </c>
      <c r="B332" s="974" t="s">
        <v>1279</v>
      </c>
      <c r="C332" s="1046" t="s">
        <v>95</v>
      </c>
      <c r="D332" s="1046" t="s">
        <v>1411</v>
      </c>
      <c r="E332" s="1043" t="s">
        <v>252</v>
      </c>
    </row>
    <row r="333" spans="1:5" x14ac:dyDescent="0.25">
      <c r="A333" s="974">
        <v>332</v>
      </c>
      <c r="B333" s="974" t="s">
        <v>1279</v>
      </c>
      <c r="C333" s="1046" t="s">
        <v>95</v>
      </c>
      <c r="D333" s="1046" t="s">
        <v>1279</v>
      </c>
      <c r="E333" s="1046" t="s">
        <v>1246</v>
      </c>
    </row>
    <row r="334" spans="1:5" x14ac:dyDescent="0.25">
      <c r="A334" s="974">
        <v>333</v>
      </c>
      <c r="B334" s="974" t="s">
        <v>1279</v>
      </c>
      <c r="C334" s="1046" t="s">
        <v>95</v>
      </c>
      <c r="D334" s="1046" t="s">
        <v>1279</v>
      </c>
      <c r="E334" s="1046" t="s">
        <v>225</v>
      </c>
    </row>
    <row r="335" spans="1:5" x14ac:dyDescent="0.25">
      <c r="A335" s="974">
        <v>334</v>
      </c>
      <c r="B335" s="974" t="s">
        <v>208</v>
      </c>
      <c r="C335" s="1046" t="s">
        <v>95</v>
      </c>
      <c r="D335" s="1046" t="s">
        <v>1411</v>
      </c>
      <c r="E335" s="1045" t="s">
        <v>463</v>
      </c>
    </row>
    <row r="336" spans="1:5" x14ac:dyDescent="0.25">
      <c r="A336" s="974">
        <v>335</v>
      </c>
      <c r="B336" s="974" t="s">
        <v>1279</v>
      </c>
      <c r="C336" s="1046" t="s">
        <v>95</v>
      </c>
      <c r="D336" s="1046" t="s">
        <v>1279</v>
      </c>
      <c r="E336" s="1045" t="s">
        <v>1282</v>
      </c>
    </row>
    <row r="337" spans="1:5" x14ac:dyDescent="0.25">
      <c r="A337" s="974">
        <v>336</v>
      </c>
      <c r="B337" s="974" t="s">
        <v>1279</v>
      </c>
      <c r="C337" s="1046" t="s">
        <v>95</v>
      </c>
      <c r="D337" s="1046" t="s">
        <v>1411</v>
      </c>
      <c r="E337" s="1045" t="s">
        <v>1284</v>
      </c>
    </row>
    <row r="338" spans="1:5" x14ac:dyDescent="0.25">
      <c r="A338" s="974">
        <v>337</v>
      </c>
      <c r="B338" s="974" t="s">
        <v>1279</v>
      </c>
      <c r="C338" s="1046" t="s">
        <v>95</v>
      </c>
      <c r="D338" s="1046" t="s">
        <v>1411</v>
      </c>
      <c r="E338" s="1045" t="s">
        <v>1285</v>
      </c>
    </row>
    <row r="339" spans="1:5" x14ac:dyDescent="0.25">
      <c r="A339" s="974">
        <v>338</v>
      </c>
      <c r="B339" s="974" t="s">
        <v>1279</v>
      </c>
      <c r="C339" s="1046" t="s">
        <v>95</v>
      </c>
      <c r="D339" s="1046" t="s">
        <v>1445</v>
      </c>
      <c r="E339" s="1045" t="s">
        <v>1286</v>
      </c>
    </row>
    <row r="340" spans="1:5" x14ac:dyDescent="0.25">
      <c r="A340" s="974">
        <v>339</v>
      </c>
      <c r="B340" s="974" t="s">
        <v>1279</v>
      </c>
      <c r="C340" s="1046" t="s">
        <v>95</v>
      </c>
      <c r="D340" s="1046" t="s">
        <v>1411</v>
      </c>
      <c r="E340" s="1045" t="s">
        <v>1287</v>
      </c>
    </row>
    <row r="341" spans="1:5" x14ac:dyDescent="0.25">
      <c r="A341" s="974">
        <v>340</v>
      </c>
      <c r="B341" s="974" t="s">
        <v>1279</v>
      </c>
      <c r="C341" s="1046" t="s">
        <v>95</v>
      </c>
      <c r="D341" s="1046" t="s">
        <v>1445</v>
      </c>
      <c r="E341" s="1045" t="s">
        <v>1288</v>
      </c>
    </row>
    <row r="342" spans="1:5" x14ac:dyDescent="0.25">
      <c r="A342" s="974">
        <v>341</v>
      </c>
      <c r="B342" s="974" t="s">
        <v>1279</v>
      </c>
      <c r="C342" s="1046" t="s">
        <v>95</v>
      </c>
      <c r="D342" s="1046" t="s">
        <v>1445</v>
      </c>
      <c r="E342" s="1045" t="s">
        <v>1228</v>
      </c>
    </row>
    <row r="343" spans="1:5" x14ac:dyDescent="0.25">
      <c r="A343" s="974">
        <v>342</v>
      </c>
      <c r="B343" s="974" t="s">
        <v>1279</v>
      </c>
      <c r="C343" s="1046" t="s">
        <v>96</v>
      </c>
      <c r="D343" s="1046" t="s">
        <v>1444</v>
      </c>
      <c r="E343" s="1043" t="s">
        <v>1289</v>
      </c>
    </row>
    <row r="344" spans="1:5" x14ac:dyDescent="0.25">
      <c r="A344" s="974">
        <v>343</v>
      </c>
      <c r="B344" s="974" t="s">
        <v>1279</v>
      </c>
      <c r="C344" s="1046" t="s">
        <v>96</v>
      </c>
      <c r="D344" s="1046" t="s">
        <v>1411</v>
      </c>
      <c r="E344" s="1043" t="s">
        <v>252</v>
      </c>
    </row>
    <row r="345" spans="1:5" x14ac:dyDescent="0.25">
      <c r="A345" s="974">
        <v>344</v>
      </c>
      <c r="B345" s="974" t="s">
        <v>1279</v>
      </c>
      <c r="C345" s="1046" t="s">
        <v>96</v>
      </c>
      <c r="D345" s="1046" t="s">
        <v>1279</v>
      </c>
      <c r="E345" s="1046" t="s">
        <v>1246</v>
      </c>
    </row>
    <row r="346" spans="1:5" x14ac:dyDescent="0.25">
      <c r="A346" s="974">
        <v>345</v>
      </c>
      <c r="B346" s="974" t="s">
        <v>1279</v>
      </c>
      <c r="C346" s="1046" t="s">
        <v>96</v>
      </c>
      <c r="D346" s="1046" t="s">
        <v>1279</v>
      </c>
      <c r="E346" s="1046" t="s">
        <v>225</v>
      </c>
    </row>
    <row r="347" spans="1:5" x14ac:dyDescent="0.25">
      <c r="A347" s="974">
        <v>346</v>
      </c>
      <c r="B347" s="974" t="s">
        <v>208</v>
      </c>
      <c r="C347" s="1046" t="s">
        <v>96</v>
      </c>
      <c r="D347" s="1046" t="s">
        <v>1411</v>
      </c>
      <c r="E347" s="1045" t="s">
        <v>463</v>
      </c>
    </row>
    <row r="348" spans="1:5" x14ac:dyDescent="0.25">
      <c r="A348" s="974">
        <v>347</v>
      </c>
      <c r="B348" s="974" t="s">
        <v>1279</v>
      </c>
      <c r="C348" s="1046" t="s">
        <v>96</v>
      </c>
      <c r="D348" s="1046" t="s">
        <v>1279</v>
      </c>
      <c r="E348" s="1045" t="s">
        <v>1282</v>
      </c>
    </row>
    <row r="349" spans="1:5" x14ac:dyDescent="0.25">
      <c r="A349" s="974">
        <v>348</v>
      </c>
      <c r="B349" s="974" t="s">
        <v>1279</v>
      </c>
      <c r="C349" s="1046" t="s">
        <v>96</v>
      </c>
      <c r="D349" s="1046" t="s">
        <v>1411</v>
      </c>
      <c r="E349" s="1045" t="s">
        <v>1284</v>
      </c>
    </row>
    <row r="350" spans="1:5" x14ac:dyDescent="0.25">
      <c r="A350" s="974">
        <v>349</v>
      </c>
      <c r="B350" s="974" t="s">
        <v>1279</v>
      </c>
      <c r="C350" s="1046" t="s">
        <v>96</v>
      </c>
      <c r="D350" s="1046" t="s">
        <v>1411</v>
      </c>
      <c r="E350" s="1045" t="s">
        <v>1285</v>
      </c>
    </row>
    <row r="351" spans="1:5" x14ac:dyDescent="0.25">
      <c r="A351" s="974">
        <v>350</v>
      </c>
      <c r="B351" s="974" t="s">
        <v>1279</v>
      </c>
      <c r="C351" s="1046" t="s">
        <v>96</v>
      </c>
      <c r="D351" s="1046" t="s">
        <v>1445</v>
      </c>
      <c r="E351" s="1045" t="s">
        <v>1286</v>
      </c>
    </row>
    <row r="352" spans="1:5" x14ac:dyDescent="0.25">
      <c r="A352" s="974">
        <v>351</v>
      </c>
      <c r="B352" s="974" t="s">
        <v>1279</v>
      </c>
      <c r="C352" s="1046" t="s">
        <v>96</v>
      </c>
      <c r="D352" s="1046" t="s">
        <v>1411</v>
      </c>
      <c r="E352" s="1045" t="s">
        <v>1287</v>
      </c>
    </row>
    <row r="353" spans="1:5" x14ac:dyDescent="0.25">
      <c r="A353" s="974">
        <v>352</v>
      </c>
      <c r="B353" s="974" t="s">
        <v>1279</v>
      </c>
      <c r="C353" s="1046" t="s">
        <v>96</v>
      </c>
      <c r="D353" s="1046" t="s">
        <v>1445</v>
      </c>
      <c r="E353" s="1045" t="s">
        <v>1288</v>
      </c>
    </row>
    <row r="354" spans="1:5" x14ac:dyDescent="0.25">
      <c r="A354" s="974">
        <v>353</v>
      </c>
      <c r="B354" s="974" t="s">
        <v>1279</v>
      </c>
      <c r="C354" s="1046" t="s">
        <v>96</v>
      </c>
      <c r="D354" s="1046" t="s">
        <v>1445</v>
      </c>
      <c r="E354" s="1045" t="s">
        <v>1228</v>
      </c>
    </row>
    <row r="355" spans="1:5" x14ac:dyDescent="0.25">
      <c r="A355" s="974">
        <v>354</v>
      </c>
      <c r="B355" s="974" t="s">
        <v>1279</v>
      </c>
      <c r="C355" s="1046" t="s">
        <v>101</v>
      </c>
      <c r="D355" s="1046" t="s">
        <v>1444</v>
      </c>
      <c r="E355" s="1043" t="s">
        <v>1289</v>
      </c>
    </row>
    <row r="356" spans="1:5" x14ac:dyDescent="0.25">
      <c r="A356" s="974">
        <v>355</v>
      </c>
      <c r="B356" s="974" t="s">
        <v>1279</v>
      </c>
      <c r="C356" s="1046" t="s">
        <v>101</v>
      </c>
      <c r="D356" s="1046" t="s">
        <v>1411</v>
      </c>
      <c r="E356" s="1043" t="s">
        <v>252</v>
      </c>
    </row>
    <row r="357" spans="1:5" x14ac:dyDescent="0.25">
      <c r="A357" s="974">
        <v>356</v>
      </c>
      <c r="B357" s="974" t="s">
        <v>1279</v>
      </c>
      <c r="C357" s="1046" t="s">
        <v>101</v>
      </c>
      <c r="D357" s="1046" t="s">
        <v>1279</v>
      </c>
      <c r="E357" s="1046" t="s">
        <v>1246</v>
      </c>
    </row>
    <row r="358" spans="1:5" x14ac:dyDescent="0.25">
      <c r="A358" s="974">
        <v>357</v>
      </c>
      <c r="B358" s="974" t="s">
        <v>1279</v>
      </c>
      <c r="C358" s="1046" t="s">
        <v>101</v>
      </c>
      <c r="D358" s="1046" t="s">
        <v>1279</v>
      </c>
      <c r="E358" s="1046" t="s">
        <v>225</v>
      </c>
    </row>
    <row r="359" spans="1:5" x14ac:dyDescent="0.25">
      <c r="A359" s="974">
        <v>358</v>
      </c>
      <c r="B359" s="974" t="s">
        <v>208</v>
      </c>
      <c r="C359" s="1046" t="s">
        <v>101</v>
      </c>
      <c r="D359" s="1046" t="s">
        <v>1411</v>
      </c>
      <c r="E359" s="1045" t="s">
        <v>463</v>
      </c>
    </row>
    <row r="360" spans="1:5" x14ac:dyDescent="0.25">
      <c r="A360" s="974">
        <v>359</v>
      </c>
      <c r="B360" s="974" t="s">
        <v>1279</v>
      </c>
      <c r="C360" s="1046" t="s">
        <v>101</v>
      </c>
      <c r="D360" s="1046" t="s">
        <v>1279</v>
      </c>
      <c r="E360" s="1045" t="s">
        <v>1282</v>
      </c>
    </row>
    <row r="361" spans="1:5" x14ac:dyDescent="0.25">
      <c r="A361" s="974">
        <v>360</v>
      </c>
      <c r="B361" s="974" t="s">
        <v>1279</v>
      </c>
      <c r="C361" s="1046" t="s">
        <v>101</v>
      </c>
      <c r="D361" s="1046" t="s">
        <v>1411</v>
      </c>
      <c r="E361" s="1045" t="s">
        <v>1284</v>
      </c>
    </row>
    <row r="362" spans="1:5" x14ac:dyDescent="0.25">
      <c r="A362" s="974">
        <v>361</v>
      </c>
      <c r="B362" s="974" t="s">
        <v>1279</v>
      </c>
      <c r="C362" s="1046" t="s">
        <v>101</v>
      </c>
      <c r="D362" s="1046" t="s">
        <v>1411</v>
      </c>
      <c r="E362" s="1045" t="s">
        <v>1285</v>
      </c>
    </row>
    <row r="363" spans="1:5" x14ac:dyDescent="0.25">
      <c r="A363" s="974">
        <v>362</v>
      </c>
      <c r="B363" s="974" t="s">
        <v>1279</v>
      </c>
      <c r="C363" s="1046" t="s">
        <v>101</v>
      </c>
      <c r="D363" s="1046" t="s">
        <v>1445</v>
      </c>
      <c r="E363" s="1045" t="s">
        <v>1286</v>
      </c>
    </row>
    <row r="364" spans="1:5" x14ac:dyDescent="0.25">
      <c r="A364" s="974">
        <v>363</v>
      </c>
      <c r="B364" s="974" t="s">
        <v>1279</v>
      </c>
      <c r="C364" s="1046" t="s">
        <v>101</v>
      </c>
      <c r="D364" s="1046" t="s">
        <v>1411</v>
      </c>
      <c r="E364" s="1045" t="s">
        <v>1287</v>
      </c>
    </row>
    <row r="365" spans="1:5" x14ac:dyDescent="0.25">
      <c r="A365" s="974">
        <v>364</v>
      </c>
      <c r="B365" s="974" t="s">
        <v>1279</v>
      </c>
      <c r="C365" s="1046" t="s">
        <v>101</v>
      </c>
      <c r="D365" s="1046" t="s">
        <v>1445</v>
      </c>
      <c r="E365" s="1045" t="s">
        <v>1288</v>
      </c>
    </row>
    <row r="366" spans="1:5" x14ac:dyDescent="0.25">
      <c r="A366" s="974">
        <v>365</v>
      </c>
      <c r="B366" s="974" t="s">
        <v>1279</v>
      </c>
      <c r="C366" s="1046" t="s">
        <v>101</v>
      </c>
      <c r="D366" s="1046" t="s">
        <v>1445</v>
      </c>
      <c r="E366" s="1045" t="s">
        <v>1228</v>
      </c>
    </row>
    <row r="367" spans="1:5" x14ac:dyDescent="0.25">
      <c r="A367" s="974">
        <v>366</v>
      </c>
      <c r="B367" s="974" t="s">
        <v>1279</v>
      </c>
      <c r="C367" s="1046" t="s">
        <v>97</v>
      </c>
      <c r="D367" s="1046" t="s">
        <v>1444</v>
      </c>
      <c r="E367" s="1043" t="s">
        <v>1289</v>
      </c>
    </row>
    <row r="368" spans="1:5" x14ac:dyDescent="0.25">
      <c r="A368" s="974">
        <v>367</v>
      </c>
      <c r="B368" s="974" t="s">
        <v>1279</v>
      </c>
      <c r="C368" s="1046" t="s">
        <v>97</v>
      </c>
      <c r="D368" s="1046" t="s">
        <v>1411</v>
      </c>
      <c r="E368" s="1043" t="s">
        <v>252</v>
      </c>
    </row>
    <row r="369" spans="1:5" x14ac:dyDescent="0.25">
      <c r="A369" s="974">
        <v>368</v>
      </c>
      <c r="B369" s="974" t="s">
        <v>1279</v>
      </c>
      <c r="C369" s="1046" t="s">
        <v>97</v>
      </c>
      <c r="D369" s="1046" t="s">
        <v>1279</v>
      </c>
      <c r="E369" s="1046" t="s">
        <v>1246</v>
      </c>
    </row>
    <row r="370" spans="1:5" x14ac:dyDescent="0.25">
      <c r="A370" s="974">
        <v>369</v>
      </c>
      <c r="B370" s="974" t="s">
        <v>1279</v>
      </c>
      <c r="C370" s="1046" t="s">
        <v>97</v>
      </c>
      <c r="D370" s="1046" t="s">
        <v>1279</v>
      </c>
      <c r="E370" s="1046" t="s">
        <v>225</v>
      </c>
    </row>
    <row r="371" spans="1:5" x14ac:dyDescent="0.25">
      <c r="A371" s="974">
        <v>370</v>
      </c>
      <c r="B371" s="974" t="s">
        <v>208</v>
      </c>
      <c r="C371" s="1046" t="s">
        <v>97</v>
      </c>
      <c r="D371" s="1046" t="s">
        <v>1411</v>
      </c>
      <c r="E371" s="1045" t="s">
        <v>463</v>
      </c>
    </row>
    <row r="372" spans="1:5" x14ac:dyDescent="0.25">
      <c r="A372" s="974">
        <v>371</v>
      </c>
      <c r="B372" s="974" t="s">
        <v>1279</v>
      </c>
      <c r="C372" s="1046" t="s">
        <v>97</v>
      </c>
      <c r="D372" s="1046" t="s">
        <v>1279</v>
      </c>
      <c r="E372" s="1045" t="s">
        <v>1282</v>
      </c>
    </row>
    <row r="373" spans="1:5" x14ac:dyDescent="0.25">
      <c r="A373" s="974">
        <v>372</v>
      </c>
      <c r="B373" s="974" t="s">
        <v>1279</v>
      </c>
      <c r="C373" s="1046" t="s">
        <v>97</v>
      </c>
      <c r="D373" s="1046" t="s">
        <v>1411</v>
      </c>
      <c r="E373" s="1045" t="s">
        <v>1284</v>
      </c>
    </row>
    <row r="374" spans="1:5" x14ac:dyDescent="0.25">
      <c r="A374" s="974">
        <v>373</v>
      </c>
      <c r="B374" s="974" t="s">
        <v>1279</v>
      </c>
      <c r="C374" s="1046" t="s">
        <v>97</v>
      </c>
      <c r="D374" s="1046" t="s">
        <v>1411</v>
      </c>
      <c r="E374" s="1045" t="s">
        <v>1285</v>
      </c>
    </row>
    <row r="375" spans="1:5" x14ac:dyDescent="0.25">
      <c r="A375" s="974">
        <v>374</v>
      </c>
      <c r="B375" s="974" t="s">
        <v>1279</v>
      </c>
      <c r="C375" s="1046" t="s">
        <v>97</v>
      </c>
      <c r="D375" s="1046" t="s">
        <v>1445</v>
      </c>
      <c r="E375" s="1045" t="s">
        <v>1286</v>
      </c>
    </row>
    <row r="376" spans="1:5" x14ac:dyDescent="0.25">
      <c r="A376" s="974">
        <v>375</v>
      </c>
      <c r="B376" s="974" t="s">
        <v>1279</v>
      </c>
      <c r="C376" s="1046" t="s">
        <v>97</v>
      </c>
      <c r="D376" s="1046" t="s">
        <v>1411</v>
      </c>
      <c r="E376" s="1045" t="s">
        <v>1287</v>
      </c>
    </row>
    <row r="377" spans="1:5" x14ac:dyDescent="0.25">
      <c r="A377" s="974">
        <v>376</v>
      </c>
      <c r="B377" s="974" t="s">
        <v>1279</v>
      </c>
      <c r="C377" s="1046" t="s">
        <v>97</v>
      </c>
      <c r="D377" s="1046" t="s">
        <v>1445</v>
      </c>
      <c r="E377" s="1045" t="s">
        <v>1288</v>
      </c>
    </row>
    <row r="378" spans="1:5" x14ac:dyDescent="0.25">
      <c r="A378" s="974">
        <v>377</v>
      </c>
      <c r="B378" s="974" t="s">
        <v>1279</v>
      </c>
      <c r="C378" s="1046" t="s">
        <v>97</v>
      </c>
      <c r="D378" s="1046" t="s">
        <v>1445</v>
      </c>
      <c r="E378" s="1045" t="s">
        <v>1228</v>
      </c>
    </row>
    <row r="379" spans="1:5" x14ac:dyDescent="0.25">
      <c r="A379" s="974">
        <v>378</v>
      </c>
      <c r="B379" s="974" t="s">
        <v>1279</v>
      </c>
      <c r="C379" s="1046" t="s">
        <v>93</v>
      </c>
      <c r="D379" s="1046" t="s">
        <v>1444</v>
      </c>
      <c r="E379" s="1043" t="s">
        <v>1289</v>
      </c>
    </row>
    <row r="380" spans="1:5" x14ac:dyDescent="0.25">
      <c r="A380" s="974">
        <v>379</v>
      </c>
      <c r="B380" s="974" t="s">
        <v>1279</v>
      </c>
      <c r="C380" s="1046" t="s">
        <v>93</v>
      </c>
      <c r="D380" s="1046" t="s">
        <v>1411</v>
      </c>
      <c r="E380" s="1043" t="s">
        <v>252</v>
      </c>
    </row>
    <row r="381" spans="1:5" x14ac:dyDescent="0.25">
      <c r="A381" s="974">
        <v>380</v>
      </c>
      <c r="B381" s="974" t="s">
        <v>1279</v>
      </c>
      <c r="C381" s="1046" t="s">
        <v>93</v>
      </c>
      <c r="D381" s="1046" t="s">
        <v>1279</v>
      </c>
      <c r="E381" s="1046" t="s">
        <v>1246</v>
      </c>
    </row>
    <row r="382" spans="1:5" x14ac:dyDescent="0.25">
      <c r="A382" s="974">
        <v>381</v>
      </c>
      <c r="B382" s="974" t="s">
        <v>1279</v>
      </c>
      <c r="C382" s="1046" t="s">
        <v>93</v>
      </c>
      <c r="D382" s="1046" t="s">
        <v>1279</v>
      </c>
      <c r="E382" s="1046" t="s">
        <v>225</v>
      </c>
    </row>
    <row r="383" spans="1:5" x14ac:dyDescent="0.25">
      <c r="A383" s="974">
        <v>382</v>
      </c>
      <c r="B383" s="974" t="s">
        <v>208</v>
      </c>
      <c r="C383" s="1046" t="s">
        <v>93</v>
      </c>
      <c r="D383" s="1046" t="s">
        <v>1411</v>
      </c>
      <c r="E383" s="1045" t="s">
        <v>463</v>
      </c>
    </row>
    <row r="384" spans="1:5" x14ac:dyDescent="0.25">
      <c r="A384" s="974">
        <v>383</v>
      </c>
      <c r="B384" s="974" t="s">
        <v>1279</v>
      </c>
      <c r="C384" s="1046" t="s">
        <v>93</v>
      </c>
      <c r="D384" s="1046" t="s">
        <v>1279</v>
      </c>
      <c r="E384" s="1045" t="s">
        <v>1282</v>
      </c>
    </row>
    <row r="385" spans="1:5" x14ac:dyDescent="0.25">
      <c r="A385" s="974">
        <v>384</v>
      </c>
      <c r="B385" s="974" t="s">
        <v>1279</v>
      </c>
      <c r="C385" s="1046" t="s">
        <v>93</v>
      </c>
      <c r="D385" s="1046" t="s">
        <v>1411</v>
      </c>
      <c r="E385" s="1045" t="s">
        <v>1284</v>
      </c>
    </row>
    <row r="386" spans="1:5" x14ac:dyDescent="0.25">
      <c r="A386" s="974">
        <v>385</v>
      </c>
      <c r="B386" s="974" t="s">
        <v>1279</v>
      </c>
      <c r="C386" s="1046" t="s">
        <v>93</v>
      </c>
      <c r="D386" s="1046" t="s">
        <v>1411</v>
      </c>
      <c r="E386" s="1045" t="s">
        <v>1285</v>
      </c>
    </row>
    <row r="387" spans="1:5" x14ac:dyDescent="0.25">
      <c r="A387" s="974">
        <v>386</v>
      </c>
      <c r="B387" s="974" t="s">
        <v>1279</v>
      </c>
      <c r="C387" s="1046" t="s">
        <v>93</v>
      </c>
      <c r="D387" s="1046" t="s">
        <v>1445</v>
      </c>
      <c r="E387" s="1045" t="s">
        <v>1286</v>
      </c>
    </row>
    <row r="388" spans="1:5" x14ac:dyDescent="0.25">
      <c r="A388" s="974">
        <v>387</v>
      </c>
      <c r="B388" s="974" t="s">
        <v>1279</v>
      </c>
      <c r="C388" s="1046" t="s">
        <v>93</v>
      </c>
      <c r="D388" s="1046" t="s">
        <v>1411</v>
      </c>
      <c r="E388" s="1045" t="s">
        <v>1287</v>
      </c>
    </row>
    <row r="389" spans="1:5" x14ac:dyDescent="0.25">
      <c r="A389" s="974">
        <v>388</v>
      </c>
      <c r="B389" s="974" t="s">
        <v>1279</v>
      </c>
      <c r="C389" s="1046" t="s">
        <v>93</v>
      </c>
      <c r="D389" s="1046" t="s">
        <v>1445</v>
      </c>
      <c r="E389" s="1045" t="s">
        <v>1288</v>
      </c>
    </row>
    <row r="390" spans="1:5" x14ac:dyDescent="0.25">
      <c r="A390" s="974">
        <v>389</v>
      </c>
      <c r="B390" s="974" t="s">
        <v>1279</v>
      </c>
      <c r="C390" s="1046" t="s">
        <v>93</v>
      </c>
      <c r="D390" s="1046" t="s">
        <v>1445</v>
      </c>
      <c r="E390" s="1045" t="s">
        <v>1228</v>
      </c>
    </row>
    <row r="391" spans="1:5" x14ac:dyDescent="0.25">
      <c r="A391" s="974">
        <v>390</v>
      </c>
      <c r="B391" s="974" t="s">
        <v>1279</v>
      </c>
      <c r="C391" s="1046" t="s">
        <v>105</v>
      </c>
      <c r="D391" s="1046" t="s">
        <v>1444</v>
      </c>
      <c r="E391" s="1043" t="s">
        <v>1289</v>
      </c>
    </row>
    <row r="392" spans="1:5" x14ac:dyDescent="0.25">
      <c r="A392" s="974">
        <v>391</v>
      </c>
      <c r="B392" s="974" t="s">
        <v>1279</v>
      </c>
      <c r="C392" s="1046" t="s">
        <v>105</v>
      </c>
      <c r="D392" s="1046" t="s">
        <v>1411</v>
      </c>
      <c r="E392" s="1043" t="s">
        <v>252</v>
      </c>
    </row>
    <row r="393" spans="1:5" x14ac:dyDescent="0.25">
      <c r="A393" s="974">
        <v>392</v>
      </c>
      <c r="B393" s="974" t="s">
        <v>1279</v>
      </c>
      <c r="C393" s="1046" t="s">
        <v>105</v>
      </c>
      <c r="D393" s="1046" t="s">
        <v>1279</v>
      </c>
      <c r="E393" s="1046" t="s">
        <v>1246</v>
      </c>
    </row>
    <row r="394" spans="1:5" x14ac:dyDescent="0.25">
      <c r="A394" s="974">
        <v>393</v>
      </c>
      <c r="B394" s="974" t="s">
        <v>1279</v>
      </c>
      <c r="C394" s="1046" t="s">
        <v>105</v>
      </c>
      <c r="D394" s="1046" t="s">
        <v>1279</v>
      </c>
      <c r="E394" s="1046" t="s">
        <v>225</v>
      </c>
    </row>
    <row r="395" spans="1:5" x14ac:dyDescent="0.25">
      <c r="A395" s="974">
        <v>394</v>
      </c>
      <c r="B395" s="974" t="s">
        <v>208</v>
      </c>
      <c r="C395" s="1046" t="s">
        <v>105</v>
      </c>
      <c r="D395" s="1046" t="s">
        <v>1411</v>
      </c>
      <c r="E395" s="1045" t="s">
        <v>463</v>
      </c>
    </row>
    <row r="396" spans="1:5" x14ac:dyDescent="0.25">
      <c r="A396" s="974">
        <v>395</v>
      </c>
      <c r="B396" s="974" t="s">
        <v>1279</v>
      </c>
      <c r="C396" s="1046" t="s">
        <v>105</v>
      </c>
      <c r="D396" s="1046" t="s">
        <v>1279</v>
      </c>
      <c r="E396" s="1045" t="s">
        <v>1282</v>
      </c>
    </row>
    <row r="397" spans="1:5" x14ac:dyDescent="0.25">
      <c r="A397" s="974">
        <v>396</v>
      </c>
      <c r="B397" s="974" t="s">
        <v>1279</v>
      </c>
      <c r="C397" s="1046" t="s">
        <v>105</v>
      </c>
      <c r="D397" s="1046" t="s">
        <v>1411</v>
      </c>
      <c r="E397" s="1045" t="s">
        <v>1284</v>
      </c>
    </row>
    <row r="398" spans="1:5" x14ac:dyDescent="0.25">
      <c r="A398" s="974">
        <v>397</v>
      </c>
      <c r="B398" s="974" t="s">
        <v>1279</v>
      </c>
      <c r="C398" s="1046" t="s">
        <v>105</v>
      </c>
      <c r="D398" s="1046" t="s">
        <v>1411</v>
      </c>
      <c r="E398" s="1045" t="s">
        <v>1285</v>
      </c>
    </row>
    <row r="399" spans="1:5" x14ac:dyDescent="0.25">
      <c r="A399" s="974">
        <v>398</v>
      </c>
      <c r="B399" s="974" t="s">
        <v>1279</v>
      </c>
      <c r="C399" s="1046" t="s">
        <v>105</v>
      </c>
      <c r="D399" s="1046" t="s">
        <v>1445</v>
      </c>
      <c r="E399" s="1045" t="s">
        <v>1286</v>
      </c>
    </row>
    <row r="400" spans="1:5" x14ac:dyDescent="0.25">
      <c r="A400" s="974">
        <v>399</v>
      </c>
      <c r="B400" s="974" t="s">
        <v>1279</v>
      </c>
      <c r="C400" s="1046" t="s">
        <v>105</v>
      </c>
      <c r="D400" s="1046" t="s">
        <v>1411</v>
      </c>
      <c r="E400" s="1045" t="s">
        <v>1287</v>
      </c>
    </row>
    <row r="401" spans="1:5" x14ac:dyDescent="0.25">
      <c r="A401" s="974">
        <v>400</v>
      </c>
      <c r="B401" s="974" t="s">
        <v>1279</v>
      </c>
      <c r="C401" s="1046" t="s">
        <v>105</v>
      </c>
      <c r="D401" s="1046" t="s">
        <v>1445</v>
      </c>
      <c r="E401" s="1045" t="s">
        <v>1288</v>
      </c>
    </row>
    <row r="402" spans="1:5" x14ac:dyDescent="0.25">
      <c r="A402" s="974">
        <v>401</v>
      </c>
      <c r="B402" s="974" t="s">
        <v>1279</v>
      </c>
      <c r="C402" s="1046" t="s">
        <v>105</v>
      </c>
      <c r="D402" s="1046" t="s">
        <v>1445</v>
      </c>
      <c r="E402" s="1045" t="s">
        <v>1228</v>
      </c>
    </row>
    <row r="403" spans="1:5" x14ac:dyDescent="0.25">
      <c r="A403" s="974">
        <v>402</v>
      </c>
      <c r="B403" s="974" t="s">
        <v>1279</v>
      </c>
      <c r="C403" s="1046" t="s">
        <v>92</v>
      </c>
      <c r="D403" s="1046" t="s">
        <v>1444</v>
      </c>
      <c r="E403" s="1043" t="s">
        <v>1289</v>
      </c>
    </row>
    <row r="404" spans="1:5" x14ac:dyDescent="0.25">
      <c r="A404" s="974">
        <v>403</v>
      </c>
      <c r="B404" s="974" t="s">
        <v>1279</v>
      </c>
      <c r="C404" s="1046" t="s">
        <v>92</v>
      </c>
      <c r="D404" s="1046" t="s">
        <v>1411</v>
      </c>
      <c r="E404" s="1043" t="s">
        <v>252</v>
      </c>
    </row>
    <row r="405" spans="1:5" x14ac:dyDescent="0.25">
      <c r="A405" s="974">
        <v>404</v>
      </c>
      <c r="B405" s="974" t="s">
        <v>1279</v>
      </c>
      <c r="C405" s="1046" t="s">
        <v>92</v>
      </c>
      <c r="D405" s="1046" t="s">
        <v>1279</v>
      </c>
      <c r="E405" s="1046" t="s">
        <v>1246</v>
      </c>
    </row>
    <row r="406" spans="1:5" x14ac:dyDescent="0.25">
      <c r="A406" s="974">
        <v>405</v>
      </c>
      <c r="B406" s="974" t="s">
        <v>1279</v>
      </c>
      <c r="C406" s="1046" t="s">
        <v>92</v>
      </c>
      <c r="D406" s="1046" t="s">
        <v>1279</v>
      </c>
      <c r="E406" s="1046" t="s">
        <v>225</v>
      </c>
    </row>
    <row r="407" spans="1:5" x14ac:dyDescent="0.25">
      <c r="A407" s="974">
        <v>406</v>
      </c>
      <c r="B407" s="974" t="s">
        <v>208</v>
      </c>
      <c r="C407" s="1046" t="s">
        <v>92</v>
      </c>
      <c r="D407" s="1046" t="s">
        <v>1411</v>
      </c>
      <c r="E407" s="1045" t="s">
        <v>463</v>
      </c>
    </row>
    <row r="408" spans="1:5" x14ac:dyDescent="0.25">
      <c r="A408" s="974">
        <v>407</v>
      </c>
      <c r="B408" s="974" t="s">
        <v>1279</v>
      </c>
      <c r="C408" s="1046" t="s">
        <v>92</v>
      </c>
      <c r="D408" s="1046" t="s">
        <v>1279</v>
      </c>
      <c r="E408" s="1045" t="s">
        <v>1282</v>
      </c>
    </row>
    <row r="409" spans="1:5" x14ac:dyDescent="0.25">
      <c r="A409" s="974">
        <v>408</v>
      </c>
      <c r="B409" s="974" t="s">
        <v>1279</v>
      </c>
      <c r="C409" s="1046" t="s">
        <v>92</v>
      </c>
      <c r="D409" s="1046" t="s">
        <v>1411</v>
      </c>
      <c r="E409" s="1045" t="s">
        <v>1284</v>
      </c>
    </row>
    <row r="410" spans="1:5" x14ac:dyDescent="0.25">
      <c r="A410" s="974">
        <v>409</v>
      </c>
      <c r="B410" s="974" t="s">
        <v>1279</v>
      </c>
      <c r="C410" s="1046" t="s">
        <v>92</v>
      </c>
      <c r="D410" s="1046" t="s">
        <v>1411</v>
      </c>
      <c r="E410" s="1045" t="s">
        <v>1285</v>
      </c>
    </row>
    <row r="411" spans="1:5" x14ac:dyDescent="0.25">
      <c r="A411" s="974">
        <v>410</v>
      </c>
      <c r="B411" s="974" t="s">
        <v>1279</v>
      </c>
      <c r="C411" s="1046" t="s">
        <v>92</v>
      </c>
      <c r="D411" s="1046" t="s">
        <v>1445</v>
      </c>
      <c r="E411" s="1045" t="s">
        <v>1286</v>
      </c>
    </row>
    <row r="412" spans="1:5" x14ac:dyDescent="0.25">
      <c r="A412" s="974">
        <v>411</v>
      </c>
      <c r="B412" s="974" t="s">
        <v>1279</v>
      </c>
      <c r="C412" s="1046" t="s">
        <v>92</v>
      </c>
      <c r="D412" s="1046" t="s">
        <v>1411</v>
      </c>
      <c r="E412" s="1045" t="s">
        <v>1287</v>
      </c>
    </row>
    <row r="413" spans="1:5" x14ac:dyDescent="0.25">
      <c r="A413" s="974">
        <v>412</v>
      </c>
      <c r="B413" s="974" t="s">
        <v>1279</v>
      </c>
      <c r="C413" s="1046" t="s">
        <v>92</v>
      </c>
      <c r="D413" s="1046" t="s">
        <v>1445</v>
      </c>
      <c r="E413" s="1045" t="s">
        <v>1288</v>
      </c>
    </row>
    <row r="414" spans="1:5" x14ac:dyDescent="0.25">
      <c r="A414" s="974">
        <v>413</v>
      </c>
      <c r="B414" s="974" t="s">
        <v>1279</v>
      </c>
      <c r="C414" s="1046" t="s">
        <v>92</v>
      </c>
      <c r="D414" s="1046" t="s">
        <v>1445</v>
      </c>
      <c r="E414" s="1045" t="s">
        <v>1228</v>
      </c>
    </row>
    <row r="415" spans="1:5" x14ac:dyDescent="0.25">
      <c r="A415" s="974">
        <v>414</v>
      </c>
      <c r="B415" s="974" t="s">
        <v>1279</v>
      </c>
      <c r="C415" s="1046" t="s">
        <v>91</v>
      </c>
      <c r="D415" s="1046" t="s">
        <v>1444</v>
      </c>
      <c r="E415" s="1043" t="s">
        <v>1289</v>
      </c>
    </row>
    <row r="416" spans="1:5" x14ac:dyDescent="0.25">
      <c r="A416" s="974">
        <v>415</v>
      </c>
      <c r="B416" s="974" t="s">
        <v>1279</v>
      </c>
      <c r="C416" s="1046" t="s">
        <v>91</v>
      </c>
      <c r="D416" s="1046" t="s">
        <v>1411</v>
      </c>
      <c r="E416" s="1043" t="s">
        <v>252</v>
      </c>
    </row>
    <row r="417" spans="1:5" x14ac:dyDescent="0.25">
      <c r="A417" s="974">
        <v>416</v>
      </c>
      <c r="B417" s="974" t="s">
        <v>1279</v>
      </c>
      <c r="C417" s="1046" t="s">
        <v>91</v>
      </c>
      <c r="D417" s="1046" t="s">
        <v>1279</v>
      </c>
      <c r="E417" s="1046" t="s">
        <v>1246</v>
      </c>
    </row>
    <row r="418" spans="1:5" x14ac:dyDescent="0.25">
      <c r="A418" s="974">
        <v>417</v>
      </c>
      <c r="B418" s="974" t="s">
        <v>1279</v>
      </c>
      <c r="C418" s="1046" t="s">
        <v>91</v>
      </c>
      <c r="D418" s="1046" t="s">
        <v>1279</v>
      </c>
      <c r="E418" s="1046" t="s">
        <v>225</v>
      </c>
    </row>
    <row r="419" spans="1:5" x14ac:dyDescent="0.25">
      <c r="A419" s="974">
        <v>418</v>
      </c>
      <c r="B419" s="974" t="s">
        <v>208</v>
      </c>
      <c r="C419" s="1046" t="s">
        <v>91</v>
      </c>
      <c r="D419" s="1046" t="s">
        <v>1411</v>
      </c>
      <c r="E419" s="1045" t="s">
        <v>463</v>
      </c>
    </row>
    <row r="420" spans="1:5" x14ac:dyDescent="0.25">
      <c r="A420" s="974">
        <v>419</v>
      </c>
      <c r="B420" s="974" t="s">
        <v>1279</v>
      </c>
      <c r="C420" s="1046" t="s">
        <v>91</v>
      </c>
      <c r="D420" s="1046" t="s">
        <v>1279</v>
      </c>
      <c r="E420" s="1045" t="s">
        <v>1282</v>
      </c>
    </row>
    <row r="421" spans="1:5" x14ac:dyDescent="0.25">
      <c r="A421" s="974">
        <v>420</v>
      </c>
      <c r="B421" s="974" t="s">
        <v>1279</v>
      </c>
      <c r="C421" s="1046" t="s">
        <v>91</v>
      </c>
      <c r="D421" s="1046" t="s">
        <v>1411</v>
      </c>
      <c r="E421" s="1045" t="s">
        <v>1284</v>
      </c>
    </row>
    <row r="422" spans="1:5" x14ac:dyDescent="0.25">
      <c r="A422" s="974">
        <v>421</v>
      </c>
      <c r="B422" s="974" t="s">
        <v>1279</v>
      </c>
      <c r="C422" s="1046" t="s">
        <v>91</v>
      </c>
      <c r="D422" s="1046" t="s">
        <v>1411</v>
      </c>
      <c r="E422" s="1045" t="s">
        <v>1285</v>
      </c>
    </row>
    <row r="423" spans="1:5" x14ac:dyDescent="0.25">
      <c r="A423" s="974">
        <v>422</v>
      </c>
      <c r="B423" s="974" t="s">
        <v>1279</v>
      </c>
      <c r="C423" s="1046" t="s">
        <v>91</v>
      </c>
      <c r="D423" s="1046" t="s">
        <v>1445</v>
      </c>
      <c r="E423" s="1045" t="s">
        <v>1286</v>
      </c>
    </row>
    <row r="424" spans="1:5" x14ac:dyDescent="0.25">
      <c r="A424" s="974">
        <v>423</v>
      </c>
      <c r="B424" s="974" t="s">
        <v>1279</v>
      </c>
      <c r="C424" s="1046" t="s">
        <v>91</v>
      </c>
      <c r="D424" s="1046" t="s">
        <v>1411</v>
      </c>
      <c r="E424" s="1045" t="s">
        <v>1287</v>
      </c>
    </row>
    <row r="425" spans="1:5" x14ac:dyDescent="0.25">
      <c r="A425" s="974">
        <v>424</v>
      </c>
      <c r="B425" s="974" t="s">
        <v>1279</v>
      </c>
      <c r="C425" s="1046" t="s">
        <v>91</v>
      </c>
      <c r="D425" s="1046" t="s">
        <v>1445</v>
      </c>
      <c r="E425" s="1045" t="s">
        <v>1288</v>
      </c>
    </row>
    <row r="426" spans="1:5" x14ac:dyDescent="0.25">
      <c r="A426" s="974">
        <v>425</v>
      </c>
      <c r="B426" s="974" t="s">
        <v>1279</v>
      </c>
      <c r="C426" s="1046" t="s">
        <v>91</v>
      </c>
      <c r="D426" s="1046" t="s">
        <v>1445</v>
      </c>
      <c r="E426" s="1045" t="s">
        <v>1228</v>
      </c>
    </row>
    <row r="427" spans="1:5" x14ac:dyDescent="0.25">
      <c r="A427" s="974">
        <v>426</v>
      </c>
      <c r="B427" s="974" t="s">
        <v>1279</v>
      </c>
      <c r="C427" s="1046" t="s">
        <v>90</v>
      </c>
      <c r="D427" s="1046" t="s">
        <v>1444</v>
      </c>
      <c r="E427" s="1043" t="s">
        <v>1289</v>
      </c>
    </row>
    <row r="428" spans="1:5" x14ac:dyDescent="0.25">
      <c r="A428" s="974">
        <v>427</v>
      </c>
      <c r="B428" s="974" t="s">
        <v>1279</v>
      </c>
      <c r="C428" s="1046" t="s">
        <v>90</v>
      </c>
      <c r="D428" s="1046" t="s">
        <v>1411</v>
      </c>
      <c r="E428" s="1043" t="s">
        <v>252</v>
      </c>
    </row>
    <row r="429" spans="1:5" x14ac:dyDescent="0.25">
      <c r="A429" s="974">
        <v>428</v>
      </c>
      <c r="B429" s="974" t="s">
        <v>1279</v>
      </c>
      <c r="C429" s="1046" t="s">
        <v>90</v>
      </c>
      <c r="D429" s="1046" t="s">
        <v>1279</v>
      </c>
      <c r="E429" s="1046" t="s">
        <v>1246</v>
      </c>
    </row>
    <row r="430" spans="1:5" x14ac:dyDescent="0.25">
      <c r="A430" s="974">
        <v>429</v>
      </c>
      <c r="B430" s="974" t="s">
        <v>1279</v>
      </c>
      <c r="C430" s="1046" t="s">
        <v>90</v>
      </c>
      <c r="D430" s="1046" t="s">
        <v>1279</v>
      </c>
      <c r="E430" s="1046" t="s">
        <v>225</v>
      </c>
    </row>
    <row r="431" spans="1:5" x14ac:dyDescent="0.25">
      <c r="A431" s="974">
        <v>430</v>
      </c>
      <c r="B431" s="974" t="s">
        <v>208</v>
      </c>
      <c r="C431" s="1046" t="s">
        <v>90</v>
      </c>
      <c r="D431" s="1046" t="s">
        <v>1411</v>
      </c>
      <c r="E431" s="1045" t="s">
        <v>463</v>
      </c>
    </row>
    <row r="432" spans="1:5" x14ac:dyDescent="0.25">
      <c r="A432" s="974">
        <v>431</v>
      </c>
      <c r="B432" s="974" t="s">
        <v>1279</v>
      </c>
      <c r="C432" s="1046" t="s">
        <v>90</v>
      </c>
      <c r="D432" s="1046" t="s">
        <v>1279</v>
      </c>
      <c r="E432" s="1045" t="s">
        <v>1282</v>
      </c>
    </row>
    <row r="433" spans="1:5" x14ac:dyDescent="0.25">
      <c r="A433" s="974">
        <v>432</v>
      </c>
      <c r="B433" s="974" t="s">
        <v>1279</v>
      </c>
      <c r="C433" s="1046" t="s">
        <v>90</v>
      </c>
      <c r="D433" s="1046" t="s">
        <v>1411</v>
      </c>
      <c r="E433" s="1045" t="s">
        <v>1284</v>
      </c>
    </row>
    <row r="434" spans="1:5" x14ac:dyDescent="0.25">
      <c r="A434" s="974">
        <v>433</v>
      </c>
      <c r="B434" s="974" t="s">
        <v>1279</v>
      </c>
      <c r="C434" s="1046" t="s">
        <v>90</v>
      </c>
      <c r="D434" s="1046" t="s">
        <v>1411</v>
      </c>
      <c r="E434" s="1045" t="s">
        <v>1285</v>
      </c>
    </row>
    <row r="435" spans="1:5" x14ac:dyDescent="0.25">
      <c r="A435" s="974">
        <v>434</v>
      </c>
      <c r="B435" s="974" t="s">
        <v>1279</v>
      </c>
      <c r="C435" s="1046" t="s">
        <v>90</v>
      </c>
      <c r="D435" s="1046" t="s">
        <v>1445</v>
      </c>
      <c r="E435" s="1045" t="s">
        <v>1286</v>
      </c>
    </row>
    <row r="436" spans="1:5" x14ac:dyDescent="0.25">
      <c r="A436" s="974">
        <v>435</v>
      </c>
      <c r="B436" s="974" t="s">
        <v>1279</v>
      </c>
      <c r="C436" s="1046" t="s">
        <v>90</v>
      </c>
      <c r="D436" s="1046" t="s">
        <v>1411</v>
      </c>
      <c r="E436" s="1045" t="s">
        <v>1287</v>
      </c>
    </row>
    <row r="437" spans="1:5" x14ac:dyDescent="0.25">
      <c r="A437" s="974">
        <v>436</v>
      </c>
      <c r="B437" s="974" t="s">
        <v>1279</v>
      </c>
      <c r="C437" s="1046" t="s">
        <v>90</v>
      </c>
      <c r="D437" s="1046" t="s">
        <v>1445</v>
      </c>
      <c r="E437" s="1045" t="s">
        <v>1288</v>
      </c>
    </row>
    <row r="438" spans="1:5" x14ac:dyDescent="0.25">
      <c r="A438" s="974">
        <v>437</v>
      </c>
      <c r="B438" s="974" t="s">
        <v>1279</v>
      </c>
      <c r="C438" s="1046" t="s">
        <v>90</v>
      </c>
      <c r="D438" s="1046" t="s">
        <v>1445</v>
      </c>
      <c r="E438" s="1045" t="s">
        <v>1228</v>
      </c>
    </row>
    <row r="439" spans="1:5" x14ac:dyDescent="0.25">
      <c r="A439" s="974">
        <v>438</v>
      </c>
      <c r="B439" s="974" t="s">
        <v>1279</v>
      </c>
      <c r="C439" s="1046" t="s">
        <v>89</v>
      </c>
      <c r="D439" s="1046" t="s">
        <v>1444</v>
      </c>
      <c r="E439" s="1043" t="s">
        <v>1289</v>
      </c>
    </row>
    <row r="440" spans="1:5" x14ac:dyDescent="0.25">
      <c r="A440" s="974">
        <v>439</v>
      </c>
      <c r="B440" s="974" t="s">
        <v>1279</v>
      </c>
      <c r="C440" s="1046" t="s">
        <v>89</v>
      </c>
      <c r="D440" s="1046" t="s">
        <v>1411</v>
      </c>
      <c r="E440" s="1043" t="s">
        <v>252</v>
      </c>
    </row>
    <row r="441" spans="1:5" x14ac:dyDescent="0.25">
      <c r="A441" s="974">
        <v>440</v>
      </c>
      <c r="B441" s="974" t="s">
        <v>1279</v>
      </c>
      <c r="C441" s="1046" t="s">
        <v>89</v>
      </c>
      <c r="D441" s="1046" t="s">
        <v>1279</v>
      </c>
      <c r="E441" s="1046" t="s">
        <v>1246</v>
      </c>
    </row>
    <row r="442" spans="1:5" x14ac:dyDescent="0.25">
      <c r="A442" s="974">
        <v>441</v>
      </c>
      <c r="B442" s="974" t="s">
        <v>1279</v>
      </c>
      <c r="C442" s="1046" t="s">
        <v>89</v>
      </c>
      <c r="D442" s="1046" t="s">
        <v>1279</v>
      </c>
      <c r="E442" s="1046" t="s">
        <v>225</v>
      </c>
    </row>
    <row r="443" spans="1:5" x14ac:dyDescent="0.25">
      <c r="A443" s="974">
        <v>442</v>
      </c>
      <c r="B443" s="974" t="s">
        <v>208</v>
      </c>
      <c r="C443" s="1046" t="s">
        <v>89</v>
      </c>
      <c r="D443" s="1046" t="s">
        <v>1411</v>
      </c>
      <c r="E443" s="1045" t="s">
        <v>463</v>
      </c>
    </row>
    <row r="444" spans="1:5" x14ac:dyDescent="0.25">
      <c r="A444" s="974">
        <v>443</v>
      </c>
      <c r="B444" s="974" t="s">
        <v>1279</v>
      </c>
      <c r="C444" s="1046" t="s">
        <v>89</v>
      </c>
      <c r="D444" s="1046" t="s">
        <v>1279</v>
      </c>
      <c r="E444" s="1045" t="s">
        <v>1282</v>
      </c>
    </row>
    <row r="445" spans="1:5" x14ac:dyDescent="0.25">
      <c r="A445" s="974">
        <v>444</v>
      </c>
      <c r="B445" s="974" t="s">
        <v>1279</v>
      </c>
      <c r="C445" s="1046" t="s">
        <v>89</v>
      </c>
      <c r="D445" s="1046" t="s">
        <v>1411</v>
      </c>
      <c r="E445" s="1045" t="s">
        <v>1284</v>
      </c>
    </row>
    <row r="446" spans="1:5" x14ac:dyDescent="0.25">
      <c r="A446" s="974">
        <v>445</v>
      </c>
      <c r="B446" s="974" t="s">
        <v>1279</v>
      </c>
      <c r="C446" s="1046" t="s">
        <v>89</v>
      </c>
      <c r="D446" s="1046" t="s">
        <v>1411</v>
      </c>
      <c r="E446" s="1045" t="s">
        <v>1285</v>
      </c>
    </row>
    <row r="447" spans="1:5" x14ac:dyDescent="0.25">
      <c r="A447" s="974">
        <v>446</v>
      </c>
      <c r="B447" s="974" t="s">
        <v>1279</v>
      </c>
      <c r="C447" s="1046" t="s">
        <v>89</v>
      </c>
      <c r="D447" s="1046" t="s">
        <v>1445</v>
      </c>
      <c r="E447" s="1045" t="s">
        <v>1286</v>
      </c>
    </row>
    <row r="448" spans="1:5" x14ac:dyDescent="0.25">
      <c r="A448" s="974">
        <v>447</v>
      </c>
      <c r="B448" s="974" t="s">
        <v>1279</v>
      </c>
      <c r="C448" s="1046" t="s">
        <v>89</v>
      </c>
      <c r="D448" s="1046" t="s">
        <v>1411</v>
      </c>
      <c r="E448" s="1045" t="s">
        <v>1287</v>
      </c>
    </row>
    <row r="449" spans="1:5" x14ac:dyDescent="0.25">
      <c r="A449" s="974">
        <v>448</v>
      </c>
      <c r="B449" s="974" t="s">
        <v>1279</v>
      </c>
      <c r="C449" s="1046" t="s">
        <v>89</v>
      </c>
      <c r="D449" s="1046" t="s">
        <v>1445</v>
      </c>
      <c r="E449" s="1045" t="s">
        <v>1288</v>
      </c>
    </row>
    <row r="450" spans="1:5" x14ac:dyDescent="0.25">
      <c r="A450" s="974">
        <v>449</v>
      </c>
      <c r="B450" s="974" t="s">
        <v>1279</v>
      </c>
      <c r="C450" s="1046" t="s">
        <v>89</v>
      </c>
      <c r="D450" s="1046" t="s">
        <v>1445</v>
      </c>
      <c r="E450" s="1045" t="s">
        <v>1228</v>
      </c>
    </row>
    <row r="451" spans="1:5" x14ac:dyDescent="0.25">
      <c r="A451" s="974">
        <v>450</v>
      </c>
      <c r="B451" s="974" t="s">
        <v>1279</v>
      </c>
      <c r="C451" s="1046" t="s">
        <v>94</v>
      </c>
      <c r="D451" s="1046" t="s">
        <v>1444</v>
      </c>
      <c r="E451" s="1043" t="s">
        <v>1289</v>
      </c>
    </row>
    <row r="452" spans="1:5" x14ac:dyDescent="0.25">
      <c r="A452" s="974">
        <v>451</v>
      </c>
      <c r="B452" s="974" t="s">
        <v>1279</v>
      </c>
      <c r="C452" s="1046" t="s">
        <v>94</v>
      </c>
      <c r="D452" s="1046" t="s">
        <v>1411</v>
      </c>
      <c r="E452" s="1043" t="s">
        <v>252</v>
      </c>
    </row>
    <row r="453" spans="1:5" x14ac:dyDescent="0.25">
      <c r="A453" s="974">
        <v>452</v>
      </c>
      <c r="B453" s="974" t="s">
        <v>1279</v>
      </c>
      <c r="C453" s="1046" t="s">
        <v>94</v>
      </c>
      <c r="D453" s="1046" t="s">
        <v>1279</v>
      </c>
      <c r="E453" s="1046" t="s">
        <v>1246</v>
      </c>
    </row>
    <row r="454" spans="1:5" x14ac:dyDescent="0.25">
      <c r="A454" s="974">
        <v>453</v>
      </c>
      <c r="B454" s="974" t="s">
        <v>1279</v>
      </c>
      <c r="C454" s="1046" t="s">
        <v>94</v>
      </c>
      <c r="D454" s="1046" t="s">
        <v>1279</v>
      </c>
      <c r="E454" s="1046" t="s">
        <v>225</v>
      </c>
    </row>
    <row r="455" spans="1:5" x14ac:dyDescent="0.25">
      <c r="A455" s="974">
        <v>454</v>
      </c>
      <c r="B455" s="974" t="s">
        <v>208</v>
      </c>
      <c r="C455" s="1046" t="s">
        <v>94</v>
      </c>
      <c r="D455" s="1046" t="s">
        <v>1411</v>
      </c>
      <c r="E455" s="1045" t="s">
        <v>463</v>
      </c>
    </row>
    <row r="456" spans="1:5" x14ac:dyDescent="0.25">
      <c r="A456" s="974">
        <v>455</v>
      </c>
      <c r="B456" s="974" t="s">
        <v>1279</v>
      </c>
      <c r="C456" s="1046" t="s">
        <v>94</v>
      </c>
      <c r="D456" s="1046" t="s">
        <v>1279</v>
      </c>
      <c r="E456" s="1045" t="s">
        <v>1282</v>
      </c>
    </row>
    <row r="457" spans="1:5" x14ac:dyDescent="0.25">
      <c r="A457" s="974">
        <v>456</v>
      </c>
      <c r="B457" s="974" t="s">
        <v>1279</v>
      </c>
      <c r="C457" s="1046" t="s">
        <v>94</v>
      </c>
      <c r="D457" s="1046" t="s">
        <v>1411</v>
      </c>
      <c r="E457" s="1045" t="s">
        <v>1284</v>
      </c>
    </row>
    <row r="458" spans="1:5" x14ac:dyDescent="0.25">
      <c r="A458" s="974">
        <v>457</v>
      </c>
      <c r="B458" s="974" t="s">
        <v>1279</v>
      </c>
      <c r="C458" s="1046" t="s">
        <v>94</v>
      </c>
      <c r="D458" s="1046" t="s">
        <v>1411</v>
      </c>
      <c r="E458" s="1045" t="s">
        <v>1285</v>
      </c>
    </row>
    <row r="459" spans="1:5" x14ac:dyDescent="0.25">
      <c r="A459" s="974">
        <v>458</v>
      </c>
      <c r="B459" s="974" t="s">
        <v>1279</v>
      </c>
      <c r="C459" s="1046" t="s">
        <v>94</v>
      </c>
      <c r="D459" s="1046" t="s">
        <v>1445</v>
      </c>
      <c r="E459" s="1045" t="s">
        <v>1286</v>
      </c>
    </row>
    <row r="460" spans="1:5" x14ac:dyDescent="0.25">
      <c r="A460" s="974">
        <v>459</v>
      </c>
      <c r="B460" s="974" t="s">
        <v>1279</v>
      </c>
      <c r="C460" s="1046" t="s">
        <v>94</v>
      </c>
      <c r="D460" s="1046" t="s">
        <v>1411</v>
      </c>
      <c r="E460" s="1045" t="s">
        <v>1287</v>
      </c>
    </row>
    <row r="461" spans="1:5" x14ac:dyDescent="0.25">
      <c r="A461" s="974">
        <v>460</v>
      </c>
      <c r="B461" s="974" t="s">
        <v>1279</v>
      </c>
      <c r="C461" s="1046" t="s">
        <v>94</v>
      </c>
      <c r="D461" s="1046" t="s">
        <v>1445</v>
      </c>
      <c r="E461" s="1045" t="s">
        <v>1288</v>
      </c>
    </row>
    <row r="462" spans="1:5" x14ac:dyDescent="0.25">
      <c r="A462" s="974">
        <v>461</v>
      </c>
      <c r="B462" s="974" t="s">
        <v>1279</v>
      </c>
      <c r="C462" s="1046" t="s">
        <v>94</v>
      </c>
      <c r="D462" s="1046" t="s">
        <v>1445</v>
      </c>
      <c r="E462" s="1045" t="s">
        <v>1228</v>
      </c>
    </row>
    <row r="463" spans="1:5" x14ac:dyDescent="0.25">
      <c r="A463" s="974">
        <v>462</v>
      </c>
      <c r="B463" s="974" t="s">
        <v>1279</v>
      </c>
      <c r="C463" s="1046" t="s">
        <v>86</v>
      </c>
      <c r="D463" s="1046" t="s">
        <v>1444</v>
      </c>
      <c r="E463" s="1043" t="s">
        <v>1289</v>
      </c>
    </row>
    <row r="464" spans="1:5" x14ac:dyDescent="0.25">
      <c r="A464" s="974">
        <v>463</v>
      </c>
      <c r="B464" s="974" t="s">
        <v>1279</v>
      </c>
      <c r="C464" s="1046" t="s">
        <v>86</v>
      </c>
      <c r="D464" s="1046" t="s">
        <v>1411</v>
      </c>
      <c r="E464" s="1043" t="s">
        <v>252</v>
      </c>
    </row>
    <row r="465" spans="1:5" x14ac:dyDescent="0.25">
      <c r="A465" s="974">
        <v>464</v>
      </c>
      <c r="B465" s="974" t="s">
        <v>1279</v>
      </c>
      <c r="C465" s="1046" t="s">
        <v>86</v>
      </c>
      <c r="D465" s="1046" t="s">
        <v>1279</v>
      </c>
      <c r="E465" s="1046" t="s">
        <v>1246</v>
      </c>
    </row>
    <row r="466" spans="1:5" x14ac:dyDescent="0.25">
      <c r="A466" s="974">
        <v>465</v>
      </c>
      <c r="B466" s="974" t="s">
        <v>1279</v>
      </c>
      <c r="C466" s="1046" t="s">
        <v>86</v>
      </c>
      <c r="D466" s="1046" t="s">
        <v>1279</v>
      </c>
      <c r="E466" s="1046" t="s">
        <v>225</v>
      </c>
    </row>
    <row r="467" spans="1:5" x14ac:dyDescent="0.25">
      <c r="A467" s="974">
        <v>466</v>
      </c>
      <c r="B467" s="974" t="s">
        <v>208</v>
      </c>
      <c r="C467" s="1046" t="s">
        <v>86</v>
      </c>
      <c r="D467" s="1046" t="s">
        <v>1411</v>
      </c>
      <c r="E467" s="1045" t="s">
        <v>463</v>
      </c>
    </row>
    <row r="468" spans="1:5" x14ac:dyDescent="0.25">
      <c r="A468" s="974">
        <v>467</v>
      </c>
      <c r="B468" s="974" t="s">
        <v>1279</v>
      </c>
      <c r="C468" s="1046" t="s">
        <v>86</v>
      </c>
      <c r="D468" s="1046" t="s">
        <v>1279</v>
      </c>
      <c r="E468" s="1045" t="s">
        <v>1282</v>
      </c>
    </row>
    <row r="469" spans="1:5" x14ac:dyDescent="0.25">
      <c r="A469" s="974">
        <v>468</v>
      </c>
      <c r="B469" s="974" t="s">
        <v>1279</v>
      </c>
      <c r="C469" s="1046" t="s">
        <v>86</v>
      </c>
      <c r="D469" s="1046" t="s">
        <v>1411</v>
      </c>
      <c r="E469" s="1045" t="s">
        <v>1284</v>
      </c>
    </row>
    <row r="470" spans="1:5" x14ac:dyDescent="0.25">
      <c r="A470" s="974">
        <v>469</v>
      </c>
      <c r="B470" s="974" t="s">
        <v>1279</v>
      </c>
      <c r="C470" s="1046" t="s">
        <v>86</v>
      </c>
      <c r="D470" s="1046" t="s">
        <v>1411</v>
      </c>
      <c r="E470" s="1045" t="s">
        <v>1285</v>
      </c>
    </row>
    <row r="471" spans="1:5" x14ac:dyDescent="0.25">
      <c r="A471" s="974">
        <v>470</v>
      </c>
      <c r="B471" s="974" t="s">
        <v>1279</v>
      </c>
      <c r="C471" s="1046" t="s">
        <v>86</v>
      </c>
      <c r="D471" s="1046" t="s">
        <v>1445</v>
      </c>
      <c r="E471" s="1045" t="s">
        <v>1286</v>
      </c>
    </row>
    <row r="472" spans="1:5" x14ac:dyDescent="0.25">
      <c r="A472" s="974">
        <v>471</v>
      </c>
      <c r="B472" s="974" t="s">
        <v>1279</v>
      </c>
      <c r="C472" s="1046" t="s">
        <v>86</v>
      </c>
      <c r="D472" s="1046" t="s">
        <v>1411</v>
      </c>
      <c r="E472" s="1045" t="s">
        <v>1287</v>
      </c>
    </row>
    <row r="473" spans="1:5" x14ac:dyDescent="0.25">
      <c r="A473" s="974">
        <v>472</v>
      </c>
      <c r="B473" s="974" t="s">
        <v>1279</v>
      </c>
      <c r="C473" s="1046" t="s">
        <v>86</v>
      </c>
      <c r="D473" s="1046" t="s">
        <v>1445</v>
      </c>
      <c r="E473" s="1045" t="s">
        <v>1288</v>
      </c>
    </row>
    <row r="474" spans="1:5" x14ac:dyDescent="0.25">
      <c r="A474" s="974">
        <v>473</v>
      </c>
      <c r="B474" s="974" t="s">
        <v>1279</v>
      </c>
      <c r="C474" s="1046" t="s">
        <v>86</v>
      </c>
      <c r="D474" s="1046" t="s">
        <v>1445</v>
      </c>
      <c r="E474" s="1045" t="s">
        <v>1228</v>
      </c>
    </row>
    <row r="475" spans="1:5" x14ac:dyDescent="0.25">
      <c r="A475" s="974">
        <v>474</v>
      </c>
      <c r="B475" s="974" t="s">
        <v>1279</v>
      </c>
      <c r="C475" s="1046" t="s">
        <v>88</v>
      </c>
      <c r="D475" s="1046" t="s">
        <v>1444</v>
      </c>
      <c r="E475" s="1043" t="s">
        <v>1289</v>
      </c>
    </row>
    <row r="476" spans="1:5" x14ac:dyDescent="0.25">
      <c r="A476" s="974">
        <v>475</v>
      </c>
      <c r="B476" s="974" t="s">
        <v>1279</v>
      </c>
      <c r="C476" s="1046" t="s">
        <v>88</v>
      </c>
      <c r="D476" s="1046" t="s">
        <v>1411</v>
      </c>
      <c r="E476" s="1043" t="s">
        <v>252</v>
      </c>
    </row>
    <row r="477" spans="1:5" x14ac:dyDescent="0.25">
      <c r="A477" s="974">
        <v>476</v>
      </c>
      <c r="B477" s="974" t="s">
        <v>1279</v>
      </c>
      <c r="C477" s="1046" t="s">
        <v>88</v>
      </c>
      <c r="D477" s="1046" t="s">
        <v>1279</v>
      </c>
      <c r="E477" s="1046" t="s">
        <v>1246</v>
      </c>
    </row>
    <row r="478" spans="1:5" x14ac:dyDescent="0.25">
      <c r="A478" s="974">
        <v>477</v>
      </c>
      <c r="B478" s="974" t="s">
        <v>1279</v>
      </c>
      <c r="C478" s="1046" t="s">
        <v>88</v>
      </c>
      <c r="D478" s="1046" t="s">
        <v>1279</v>
      </c>
      <c r="E478" s="1046" t="s">
        <v>225</v>
      </c>
    </row>
    <row r="479" spans="1:5" x14ac:dyDescent="0.25">
      <c r="A479" s="974">
        <v>478</v>
      </c>
      <c r="B479" s="974" t="s">
        <v>208</v>
      </c>
      <c r="C479" s="1046" t="s">
        <v>88</v>
      </c>
      <c r="D479" s="1046" t="s">
        <v>1411</v>
      </c>
      <c r="E479" s="1045" t="s">
        <v>463</v>
      </c>
    </row>
    <row r="480" spans="1:5" x14ac:dyDescent="0.25">
      <c r="A480" s="974">
        <v>479</v>
      </c>
      <c r="B480" s="974" t="s">
        <v>1279</v>
      </c>
      <c r="C480" s="1046" t="s">
        <v>88</v>
      </c>
      <c r="D480" s="1046" t="s">
        <v>1279</v>
      </c>
      <c r="E480" s="1045" t="s">
        <v>1282</v>
      </c>
    </row>
    <row r="481" spans="1:5" x14ac:dyDescent="0.25">
      <c r="A481" s="974">
        <v>480</v>
      </c>
      <c r="B481" s="974" t="s">
        <v>1279</v>
      </c>
      <c r="C481" s="1046" t="s">
        <v>88</v>
      </c>
      <c r="D481" s="1046" t="s">
        <v>1411</v>
      </c>
      <c r="E481" s="1045" t="s">
        <v>1284</v>
      </c>
    </row>
    <row r="482" spans="1:5" x14ac:dyDescent="0.25">
      <c r="A482" s="974">
        <v>481</v>
      </c>
      <c r="B482" s="974" t="s">
        <v>1279</v>
      </c>
      <c r="C482" s="1046" t="s">
        <v>88</v>
      </c>
      <c r="D482" s="1046" t="s">
        <v>1411</v>
      </c>
      <c r="E482" s="1045" t="s">
        <v>1285</v>
      </c>
    </row>
    <row r="483" spans="1:5" x14ac:dyDescent="0.25">
      <c r="A483" s="974">
        <v>482</v>
      </c>
      <c r="B483" s="974" t="s">
        <v>1279</v>
      </c>
      <c r="C483" s="1046" t="s">
        <v>88</v>
      </c>
      <c r="D483" s="1046" t="s">
        <v>1445</v>
      </c>
      <c r="E483" s="1045" t="s">
        <v>1286</v>
      </c>
    </row>
    <row r="484" spans="1:5" x14ac:dyDescent="0.25">
      <c r="A484" s="974">
        <v>483</v>
      </c>
      <c r="B484" s="974" t="s">
        <v>1279</v>
      </c>
      <c r="C484" s="1046" t="s">
        <v>88</v>
      </c>
      <c r="D484" s="1046" t="s">
        <v>1411</v>
      </c>
      <c r="E484" s="1045" t="s">
        <v>1287</v>
      </c>
    </row>
    <row r="485" spans="1:5" x14ac:dyDescent="0.25">
      <c r="A485" s="974">
        <v>484</v>
      </c>
      <c r="B485" s="974" t="s">
        <v>1279</v>
      </c>
      <c r="C485" s="1046" t="s">
        <v>88</v>
      </c>
      <c r="D485" s="1046" t="s">
        <v>1445</v>
      </c>
      <c r="E485" s="1045" t="s">
        <v>1288</v>
      </c>
    </row>
    <row r="486" spans="1:5" x14ac:dyDescent="0.25">
      <c r="A486" s="974">
        <v>485</v>
      </c>
      <c r="B486" s="974" t="s">
        <v>1279</v>
      </c>
      <c r="C486" s="1046" t="s">
        <v>88</v>
      </c>
      <c r="D486" s="1046" t="s">
        <v>1445</v>
      </c>
      <c r="E486" s="1045" t="s">
        <v>1228</v>
      </c>
    </row>
    <row r="487" spans="1:5" x14ac:dyDescent="0.25">
      <c r="A487" s="974">
        <v>486</v>
      </c>
      <c r="B487" s="974" t="s">
        <v>1279</v>
      </c>
      <c r="C487" s="1046" t="s">
        <v>87</v>
      </c>
      <c r="D487" s="1046" t="s">
        <v>1444</v>
      </c>
      <c r="E487" s="1043" t="s">
        <v>1289</v>
      </c>
    </row>
    <row r="488" spans="1:5" x14ac:dyDescent="0.25">
      <c r="A488" s="974">
        <v>487</v>
      </c>
      <c r="B488" s="974" t="s">
        <v>1279</v>
      </c>
      <c r="C488" s="1046" t="s">
        <v>87</v>
      </c>
      <c r="D488" s="1046" t="s">
        <v>1411</v>
      </c>
      <c r="E488" s="1043" t="s">
        <v>252</v>
      </c>
    </row>
    <row r="489" spans="1:5" x14ac:dyDescent="0.25">
      <c r="A489" s="974">
        <v>488</v>
      </c>
      <c r="B489" s="974" t="s">
        <v>1279</v>
      </c>
      <c r="C489" s="1046" t="s">
        <v>87</v>
      </c>
      <c r="D489" s="1046" t="s">
        <v>1279</v>
      </c>
      <c r="E489" s="1046" t="s">
        <v>1246</v>
      </c>
    </row>
    <row r="490" spans="1:5" x14ac:dyDescent="0.25">
      <c r="A490" s="974">
        <v>489</v>
      </c>
      <c r="B490" s="974" t="s">
        <v>1279</v>
      </c>
      <c r="C490" s="1046" t="s">
        <v>87</v>
      </c>
      <c r="D490" s="1046" t="s">
        <v>1279</v>
      </c>
      <c r="E490" s="1046" t="s">
        <v>225</v>
      </c>
    </row>
    <row r="491" spans="1:5" x14ac:dyDescent="0.25">
      <c r="A491" s="974">
        <v>490</v>
      </c>
      <c r="B491" s="974" t="s">
        <v>208</v>
      </c>
      <c r="C491" s="1046" t="s">
        <v>87</v>
      </c>
      <c r="D491" s="1046" t="s">
        <v>1411</v>
      </c>
      <c r="E491" s="1045" t="s">
        <v>463</v>
      </c>
    </row>
    <row r="492" spans="1:5" x14ac:dyDescent="0.25">
      <c r="A492" s="974">
        <v>491</v>
      </c>
      <c r="B492" s="974" t="s">
        <v>1279</v>
      </c>
      <c r="C492" s="1046" t="s">
        <v>87</v>
      </c>
      <c r="D492" s="1046" t="s">
        <v>1279</v>
      </c>
      <c r="E492" s="1045" t="s">
        <v>1282</v>
      </c>
    </row>
    <row r="493" spans="1:5" x14ac:dyDescent="0.25">
      <c r="A493" s="974">
        <v>492</v>
      </c>
      <c r="B493" s="974" t="s">
        <v>1279</v>
      </c>
      <c r="C493" s="1046" t="s">
        <v>87</v>
      </c>
      <c r="D493" s="1046" t="s">
        <v>1411</v>
      </c>
      <c r="E493" s="1045" t="s">
        <v>1284</v>
      </c>
    </row>
    <row r="494" spans="1:5" x14ac:dyDescent="0.25">
      <c r="A494" s="974">
        <v>493</v>
      </c>
      <c r="B494" s="974" t="s">
        <v>1279</v>
      </c>
      <c r="C494" s="1046" t="s">
        <v>87</v>
      </c>
      <c r="D494" s="1046" t="s">
        <v>1411</v>
      </c>
      <c r="E494" s="1045" t="s">
        <v>1285</v>
      </c>
    </row>
    <row r="495" spans="1:5" x14ac:dyDescent="0.25">
      <c r="A495" s="974">
        <v>494</v>
      </c>
      <c r="B495" s="974" t="s">
        <v>1279</v>
      </c>
      <c r="C495" s="1046" t="s">
        <v>87</v>
      </c>
      <c r="D495" s="1046" t="s">
        <v>1445</v>
      </c>
      <c r="E495" s="1045" t="s">
        <v>1286</v>
      </c>
    </row>
    <row r="496" spans="1:5" x14ac:dyDescent="0.25">
      <c r="A496" s="974">
        <v>495</v>
      </c>
      <c r="B496" s="974" t="s">
        <v>1279</v>
      </c>
      <c r="C496" s="1046" t="s">
        <v>87</v>
      </c>
      <c r="D496" s="1046" t="s">
        <v>1411</v>
      </c>
      <c r="E496" s="1045" t="s">
        <v>1287</v>
      </c>
    </row>
    <row r="497" spans="1:5" x14ac:dyDescent="0.25">
      <c r="A497" s="974">
        <v>496</v>
      </c>
      <c r="B497" s="974" t="s">
        <v>1279</v>
      </c>
      <c r="C497" s="1046" t="s">
        <v>87</v>
      </c>
      <c r="D497" s="1046" t="s">
        <v>1445</v>
      </c>
      <c r="E497" s="1045" t="s">
        <v>1288</v>
      </c>
    </row>
    <row r="498" spans="1:5" x14ac:dyDescent="0.25">
      <c r="A498" s="974">
        <v>497</v>
      </c>
      <c r="B498" s="974" t="s">
        <v>1279</v>
      </c>
      <c r="C498" s="1046" t="s">
        <v>87</v>
      </c>
      <c r="D498" s="1046" t="s">
        <v>1445</v>
      </c>
      <c r="E498" s="1045" t="s">
        <v>1228</v>
      </c>
    </row>
    <row r="499" spans="1:5" x14ac:dyDescent="0.25">
      <c r="A499" s="974">
        <v>498</v>
      </c>
      <c r="B499" s="974" t="s">
        <v>1279</v>
      </c>
      <c r="C499" s="1046" t="s">
        <v>1264</v>
      </c>
      <c r="D499" s="1046" t="s">
        <v>1411</v>
      </c>
      <c r="E499" s="1043" t="s">
        <v>1275</v>
      </c>
    </row>
    <row r="500" spans="1:5" x14ac:dyDescent="0.25">
      <c r="A500" s="974">
        <v>499</v>
      </c>
      <c r="B500" s="974" t="s">
        <v>1279</v>
      </c>
      <c r="C500" s="1046" t="s">
        <v>1264</v>
      </c>
      <c r="D500" s="1046" t="s">
        <v>1411</v>
      </c>
      <c r="E500" s="1043" t="s">
        <v>1276</v>
      </c>
    </row>
    <row r="501" spans="1:5" x14ac:dyDescent="0.25">
      <c r="A501" s="974">
        <v>500</v>
      </c>
      <c r="B501" s="974" t="s">
        <v>1279</v>
      </c>
      <c r="C501" s="1046" t="s">
        <v>1264</v>
      </c>
      <c r="D501" s="1046" t="s">
        <v>1411</v>
      </c>
      <c r="E501" s="1043" t="s">
        <v>1270</v>
      </c>
    </row>
    <row r="502" spans="1:5" x14ac:dyDescent="0.25">
      <c r="A502" s="974">
        <v>501</v>
      </c>
      <c r="B502" s="974" t="s">
        <v>1401</v>
      </c>
      <c r="C502" s="1046" t="s">
        <v>1446</v>
      </c>
      <c r="D502" s="1046" t="s">
        <v>1411</v>
      </c>
      <c r="E502" s="1043" t="s">
        <v>1447</v>
      </c>
    </row>
    <row r="503" spans="1:5" x14ac:dyDescent="0.25">
      <c r="A503" s="974">
        <v>502</v>
      </c>
      <c r="B503" s="974" t="s">
        <v>1401</v>
      </c>
      <c r="C503" s="1046" t="s">
        <v>1448</v>
      </c>
      <c r="D503" s="1046" t="s">
        <v>1449</v>
      </c>
      <c r="E503" s="1043" t="s">
        <v>1448</v>
      </c>
    </row>
    <row r="504" spans="1:5" x14ac:dyDescent="0.25">
      <c r="A504" s="974">
        <v>503</v>
      </c>
      <c r="B504" s="974" t="s">
        <v>1401</v>
      </c>
      <c r="C504" s="1046" t="s">
        <v>1448</v>
      </c>
      <c r="D504" s="1046" t="s">
        <v>1449</v>
      </c>
      <c r="E504" s="1043" t="s">
        <v>1450</v>
      </c>
    </row>
    <row r="505" spans="1:5" x14ac:dyDescent="0.25">
      <c r="A505" s="974">
        <v>504</v>
      </c>
      <c r="B505" s="974" t="s">
        <v>1401</v>
      </c>
      <c r="C505" s="1046" t="s">
        <v>1448</v>
      </c>
      <c r="D505" s="1046" t="s">
        <v>1449</v>
      </c>
      <c r="E505" s="1043" t="s">
        <v>1451</v>
      </c>
    </row>
    <row r="506" spans="1:5" x14ac:dyDescent="0.25">
      <c r="A506" s="974">
        <v>505</v>
      </c>
      <c r="B506" s="974" t="s">
        <v>1401</v>
      </c>
      <c r="C506" s="1046" t="s">
        <v>1448</v>
      </c>
      <c r="D506" s="1046" t="s">
        <v>1449</v>
      </c>
      <c r="E506" s="1043" t="s">
        <v>1452</v>
      </c>
    </row>
    <row r="507" spans="1:5" x14ac:dyDescent="0.25">
      <c r="A507" s="974">
        <v>506</v>
      </c>
      <c r="B507" s="974" t="s">
        <v>1401</v>
      </c>
      <c r="C507" s="1046" t="s">
        <v>1448</v>
      </c>
      <c r="D507" s="1046" t="s">
        <v>1449</v>
      </c>
      <c r="E507" s="1043" t="s">
        <v>1453</v>
      </c>
    </row>
    <row r="508" spans="1:5" x14ac:dyDescent="0.25">
      <c r="A508" s="974">
        <v>507</v>
      </c>
      <c r="B508" s="974" t="s">
        <v>1401</v>
      </c>
      <c r="C508" s="1046" t="s">
        <v>1448</v>
      </c>
      <c r="D508" s="1046" t="s">
        <v>1449</v>
      </c>
      <c r="E508" s="1043" t="s">
        <v>1454</v>
      </c>
    </row>
    <row r="509" spans="1:5" ht="30" x14ac:dyDescent="0.25">
      <c r="A509" s="974">
        <v>508</v>
      </c>
      <c r="B509" s="974" t="s">
        <v>1351</v>
      </c>
      <c r="C509" s="1046" t="s">
        <v>2137</v>
      </c>
      <c r="D509" s="1046" t="s">
        <v>1455</v>
      </c>
      <c r="E509" s="1043" t="s">
        <v>1456</v>
      </c>
    </row>
    <row r="510" spans="1:5" ht="30" x14ac:dyDescent="0.25">
      <c r="A510" s="974">
        <v>509</v>
      </c>
      <c r="B510" s="974" t="s">
        <v>1351</v>
      </c>
      <c r="C510" s="1046" t="s">
        <v>2137</v>
      </c>
      <c r="D510" s="1046" t="s">
        <v>1455</v>
      </c>
      <c r="E510" s="1043" t="s">
        <v>1240</v>
      </c>
    </row>
    <row r="511" spans="1:5" ht="30" x14ac:dyDescent="0.25">
      <c r="A511" s="974">
        <v>510</v>
      </c>
      <c r="B511" s="974" t="s">
        <v>1351</v>
      </c>
      <c r="C511" s="1046" t="s">
        <v>2137</v>
      </c>
      <c r="D511" s="1046" t="s">
        <v>1455</v>
      </c>
      <c r="E511" s="1043" t="s">
        <v>1241</v>
      </c>
    </row>
    <row r="512" spans="1:5" ht="30" x14ac:dyDescent="0.25">
      <c r="A512" s="974">
        <v>511</v>
      </c>
      <c r="B512" s="974" t="s">
        <v>1351</v>
      </c>
      <c r="C512" s="1046" t="s">
        <v>2137</v>
      </c>
      <c r="D512" s="1046" t="s">
        <v>1457</v>
      </c>
      <c r="E512" s="1043" t="s">
        <v>1244</v>
      </c>
    </row>
    <row r="513" spans="1:5" ht="30" x14ac:dyDescent="0.25">
      <c r="A513" s="974">
        <v>512</v>
      </c>
      <c r="B513" s="974" t="s">
        <v>1351</v>
      </c>
      <c r="C513" s="1046" t="s">
        <v>2137</v>
      </c>
      <c r="D513" s="1046" t="s">
        <v>1458</v>
      </c>
      <c r="E513" s="1043" t="s">
        <v>1242</v>
      </c>
    </row>
    <row r="514" spans="1:5" ht="30" x14ac:dyDescent="0.25">
      <c r="A514" s="974">
        <v>513</v>
      </c>
      <c r="B514" s="974" t="s">
        <v>1279</v>
      </c>
      <c r="C514" s="1046" t="s">
        <v>2137</v>
      </c>
      <c r="D514" s="1046" t="s">
        <v>1459</v>
      </c>
      <c r="E514" s="1043" t="s">
        <v>1268</v>
      </c>
    </row>
    <row r="515" spans="1:5" ht="30" x14ac:dyDescent="0.25">
      <c r="A515" s="974">
        <v>514</v>
      </c>
      <c r="B515" s="974" t="s">
        <v>1279</v>
      </c>
      <c r="C515" s="1046" t="s">
        <v>2137</v>
      </c>
      <c r="D515" s="1046" t="s">
        <v>1459</v>
      </c>
      <c r="E515" s="1043" t="s">
        <v>1460</v>
      </c>
    </row>
    <row r="516" spans="1:5" x14ac:dyDescent="0.25">
      <c r="A516" s="974">
        <v>515</v>
      </c>
      <c r="B516" s="974" t="s">
        <v>1351</v>
      </c>
      <c r="C516" s="1046" t="s">
        <v>1461</v>
      </c>
      <c r="D516" s="1046" t="s">
        <v>1417</v>
      </c>
      <c r="E516" s="1043" t="s">
        <v>1203</v>
      </c>
    </row>
    <row r="517" spans="1:5" x14ac:dyDescent="0.25">
      <c r="A517" s="974">
        <v>516</v>
      </c>
      <c r="B517" s="974" t="s">
        <v>1279</v>
      </c>
      <c r="C517" s="1046" t="s">
        <v>1461</v>
      </c>
      <c r="D517" s="1046" t="s">
        <v>1417</v>
      </c>
      <c r="E517" s="1043" t="s">
        <v>1271</v>
      </c>
    </row>
    <row r="518" spans="1:5" x14ac:dyDescent="0.25">
      <c r="A518" s="974">
        <v>517</v>
      </c>
      <c r="B518" s="974" t="s">
        <v>1279</v>
      </c>
      <c r="C518" s="1046" t="s">
        <v>1461</v>
      </c>
      <c r="D518" s="1046" t="s">
        <v>1417</v>
      </c>
      <c r="E518" s="1043" t="s">
        <v>1272</v>
      </c>
    </row>
    <row r="519" spans="1:5" x14ac:dyDescent="0.25">
      <c r="A519" s="974">
        <v>518</v>
      </c>
      <c r="B519" s="974" t="s">
        <v>1279</v>
      </c>
      <c r="C519" s="1046" t="s">
        <v>1461</v>
      </c>
      <c r="D519" s="1046" t="s">
        <v>1417</v>
      </c>
      <c r="E519" s="1043" t="s">
        <v>1462</v>
      </c>
    </row>
    <row r="520" spans="1:5" x14ac:dyDescent="0.25">
      <c r="A520" s="974">
        <v>519</v>
      </c>
      <c r="B520" s="974" t="s">
        <v>1279</v>
      </c>
      <c r="C520" s="1046" t="s">
        <v>1461</v>
      </c>
      <c r="D520" s="1046" t="s">
        <v>1417</v>
      </c>
      <c r="E520" s="1043" t="s">
        <v>1274</v>
      </c>
    </row>
    <row r="521" spans="1:5" x14ac:dyDescent="0.25">
      <c r="A521" s="974">
        <v>520</v>
      </c>
      <c r="B521" s="974" t="s">
        <v>129</v>
      </c>
      <c r="C521" s="1046" t="s">
        <v>1463</v>
      </c>
      <c r="D521" s="1046" t="s">
        <v>1411</v>
      </c>
      <c r="E521" s="1043" t="s">
        <v>1464</v>
      </c>
    </row>
    <row r="522" spans="1:5" x14ac:dyDescent="0.25">
      <c r="A522" s="974">
        <v>521</v>
      </c>
      <c r="B522" s="974" t="s">
        <v>1517</v>
      </c>
      <c r="C522" s="1046" t="s">
        <v>1711</v>
      </c>
      <c r="D522" s="1046" t="s">
        <v>1544</v>
      </c>
      <c r="E522" s="1042" t="s">
        <v>1492</v>
      </c>
    </row>
    <row r="523" spans="1:5" x14ac:dyDescent="0.25">
      <c r="A523" s="974">
        <v>522</v>
      </c>
      <c r="B523" s="974" t="s">
        <v>1517</v>
      </c>
      <c r="C523" s="1046" t="s">
        <v>1711</v>
      </c>
      <c r="D523" s="1046" t="s">
        <v>1411</v>
      </c>
      <c r="E523" s="1042" t="s">
        <v>1706</v>
      </c>
    </row>
    <row r="524" spans="1:5" x14ac:dyDescent="0.25">
      <c r="A524" s="974">
        <v>523</v>
      </c>
      <c r="B524" s="974" t="s">
        <v>1517</v>
      </c>
      <c r="C524" s="1046" t="s">
        <v>1711</v>
      </c>
      <c r="D524" s="1046" t="s">
        <v>1544</v>
      </c>
      <c r="E524" s="1042" t="s">
        <v>1383</v>
      </c>
    </row>
    <row r="525" spans="1:5" x14ac:dyDescent="0.25">
      <c r="A525" s="974">
        <v>524</v>
      </c>
      <c r="B525" s="974" t="s">
        <v>1517</v>
      </c>
      <c r="C525" s="1046" t="s">
        <v>1711</v>
      </c>
      <c r="D525" s="1046" t="s">
        <v>1544</v>
      </c>
      <c r="E525" s="1042" t="s">
        <v>1380</v>
      </c>
    </row>
    <row r="526" spans="1:5" x14ac:dyDescent="0.25">
      <c r="A526" s="974">
        <v>525</v>
      </c>
      <c r="B526" s="974" t="s">
        <v>1517</v>
      </c>
      <c r="C526" s="1046" t="s">
        <v>1711</v>
      </c>
      <c r="D526" s="1046" t="s">
        <v>1544</v>
      </c>
      <c r="E526" s="1042" t="s">
        <v>1381</v>
      </c>
    </row>
    <row r="527" spans="1:5" x14ac:dyDescent="0.25">
      <c r="A527" s="974">
        <v>526</v>
      </c>
      <c r="B527" s="974" t="s">
        <v>1517</v>
      </c>
      <c r="C527" s="1046" t="s">
        <v>1711</v>
      </c>
      <c r="D527" s="1046" t="s">
        <v>1544</v>
      </c>
      <c r="E527" s="1042" t="s">
        <v>1397</v>
      </c>
    </row>
    <row r="528" spans="1:5" x14ac:dyDescent="0.25">
      <c r="A528" s="974">
        <v>527</v>
      </c>
      <c r="B528" s="974" t="s">
        <v>1517</v>
      </c>
      <c r="C528" s="1046" t="s">
        <v>1711</v>
      </c>
      <c r="D528" s="1046" t="s">
        <v>1411</v>
      </c>
      <c r="E528" s="1042" t="s">
        <v>1382</v>
      </c>
    </row>
    <row r="529" spans="1:5" x14ac:dyDescent="0.25">
      <c r="A529" s="974">
        <v>528</v>
      </c>
      <c r="B529" s="974" t="s">
        <v>1517</v>
      </c>
      <c r="C529" s="1046" t="s">
        <v>1711</v>
      </c>
      <c r="D529" s="1046" t="s">
        <v>1544</v>
      </c>
      <c r="E529" s="1042" t="s">
        <v>1487</v>
      </c>
    </row>
    <row r="530" spans="1:5" x14ac:dyDescent="0.25">
      <c r="A530" s="974">
        <v>529</v>
      </c>
      <c r="B530" s="974" t="s">
        <v>1517</v>
      </c>
      <c r="C530" s="1046" t="s">
        <v>1711</v>
      </c>
      <c r="D530" s="1046" t="s">
        <v>1544</v>
      </c>
      <c r="E530" s="1042" t="s">
        <v>1488</v>
      </c>
    </row>
    <row r="531" spans="1:5" x14ac:dyDescent="0.25">
      <c r="A531" s="974">
        <v>530</v>
      </c>
      <c r="B531" s="974" t="s">
        <v>1517</v>
      </c>
      <c r="C531" s="1046" t="s">
        <v>1711</v>
      </c>
      <c r="D531" s="1046" t="s">
        <v>1411</v>
      </c>
      <c r="E531" s="1042" t="s">
        <v>1489</v>
      </c>
    </row>
    <row r="532" spans="1:5" ht="30" x14ac:dyDescent="0.25">
      <c r="A532" s="974">
        <v>531</v>
      </c>
      <c r="B532" s="974" t="s">
        <v>1517</v>
      </c>
      <c r="C532" s="1046" t="s">
        <v>1711</v>
      </c>
      <c r="D532" s="1046" t="s">
        <v>1545</v>
      </c>
      <c r="E532" s="1042" t="s">
        <v>1385</v>
      </c>
    </row>
    <row r="533" spans="1:5" ht="30" x14ac:dyDescent="0.25">
      <c r="A533" s="974">
        <v>532</v>
      </c>
      <c r="B533" s="974" t="s">
        <v>1517</v>
      </c>
      <c r="C533" s="1046" t="s">
        <v>1711</v>
      </c>
      <c r="D533" s="1046" t="s">
        <v>1545</v>
      </c>
      <c r="E533" s="1042" t="s">
        <v>1386</v>
      </c>
    </row>
    <row r="534" spans="1:5" ht="30" x14ac:dyDescent="0.25">
      <c r="A534" s="974">
        <v>533</v>
      </c>
      <c r="B534" s="974" t="s">
        <v>1517</v>
      </c>
      <c r="C534" s="1046" t="s">
        <v>1711</v>
      </c>
      <c r="D534" s="1046" t="s">
        <v>1545</v>
      </c>
      <c r="E534" s="1042" t="s">
        <v>1496</v>
      </c>
    </row>
    <row r="535" spans="1:5" x14ac:dyDescent="0.25">
      <c r="A535" s="974">
        <v>534</v>
      </c>
      <c r="B535" s="974" t="s">
        <v>1517</v>
      </c>
      <c r="C535" s="1046" t="s">
        <v>1711</v>
      </c>
      <c r="D535" s="1046" t="s">
        <v>1411</v>
      </c>
      <c r="E535" s="1042" t="s">
        <v>1493</v>
      </c>
    </row>
    <row r="536" spans="1:5" x14ac:dyDescent="0.25">
      <c r="A536" s="974">
        <v>535</v>
      </c>
      <c r="B536" s="974" t="s">
        <v>1517</v>
      </c>
      <c r="C536" s="1046" t="s">
        <v>1711</v>
      </c>
      <c r="D536" s="1046" t="s">
        <v>1544</v>
      </c>
      <c r="E536" s="1042" t="s">
        <v>1389</v>
      </c>
    </row>
    <row r="537" spans="1:5" x14ac:dyDescent="0.25">
      <c r="A537" s="974">
        <v>536</v>
      </c>
      <c r="B537" s="974" t="s">
        <v>1517</v>
      </c>
      <c r="C537" s="1046" t="s">
        <v>1712</v>
      </c>
      <c r="D537" s="1046" t="s">
        <v>1544</v>
      </c>
      <c r="E537" s="1042" t="s">
        <v>1492</v>
      </c>
    </row>
    <row r="538" spans="1:5" x14ac:dyDescent="0.25">
      <c r="A538" s="974">
        <v>537</v>
      </c>
      <c r="B538" s="974" t="s">
        <v>1517</v>
      </c>
      <c r="C538" s="1046" t="s">
        <v>1712</v>
      </c>
      <c r="D538" s="1046" t="s">
        <v>1411</v>
      </c>
      <c r="E538" s="1042" t="s">
        <v>1706</v>
      </c>
    </row>
    <row r="539" spans="1:5" x14ac:dyDescent="0.25">
      <c r="A539" s="974">
        <v>538</v>
      </c>
      <c r="B539" s="974" t="s">
        <v>1517</v>
      </c>
      <c r="C539" s="1046" t="s">
        <v>1712</v>
      </c>
      <c r="D539" s="1046" t="s">
        <v>1544</v>
      </c>
      <c r="E539" s="1042" t="s">
        <v>1383</v>
      </c>
    </row>
    <row r="540" spans="1:5" x14ac:dyDescent="0.25">
      <c r="A540" s="974">
        <v>539</v>
      </c>
      <c r="B540" s="974" t="s">
        <v>1517</v>
      </c>
      <c r="C540" s="1046" t="s">
        <v>1712</v>
      </c>
      <c r="D540" s="1046" t="s">
        <v>1544</v>
      </c>
      <c r="E540" s="1042" t="s">
        <v>1380</v>
      </c>
    </row>
    <row r="541" spans="1:5" x14ac:dyDescent="0.25">
      <c r="A541" s="974">
        <v>540</v>
      </c>
      <c r="B541" s="974" t="s">
        <v>1517</v>
      </c>
      <c r="C541" s="1046" t="s">
        <v>1712</v>
      </c>
      <c r="D541" s="1046" t="s">
        <v>1544</v>
      </c>
      <c r="E541" s="1042" t="s">
        <v>1381</v>
      </c>
    </row>
    <row r="542" spans="1:5" x14ac:dyDescent="0.25">
      <c r="A542" s="974">
        <v>541</v>
      </c>
      <c r="B542" s="974" t="s">
        <v>1517</v>
      </c>
      <c r="C542" s="1046" t="s">
        <v>1712</v>
      </c>
      <c r="D542" s="1046" t="s">
        <v>1544</v>
      </c>
      <c r="E542" s="1042" t="s">
        <v>1397</v>
      </c>
    </row>
    <row r="543" spans="1:5" x14ac:dyDescent="0.25">
      <c r="A543" s="974">
        <v>542</v>
      </c>
      <c r="B543" s="974" t="s">
        <v>1517</v>
      </c>
      <c r="C543" s="1046" t="s">
        <v>1712</v>
      </c>
      <c r="D543" s="1046" t="s">
        <v>1411</v>
      </c>
      <c r="E543" s="1042" t="s">
        <v>1382</v>
      </c>
    </row>
    <row r="544" spans="1:5" x14ac:dyDescent="0.25">
      <c r="A544" s="974">
        <v>543</v>
      </c>
      <c r="B544" s="974" t="s">
        <v>1517</v>
      </c>
      <c r="C544" s="1046" t="s">
        <v>1712</v>
      </c>
      <c r="D544" s="1046" t="s">
        <v>1544</v>
      </c>
      <c r="E544" s="1042" t="s">
        <v>1487</v>
      </c>
    </row>
    <row r="545" spans="1:5" x14ac:dyDescent="0.25">
      <c r="A545" s="974">
        <v>544</v>
      </c>
      <c r="B545" s="974" t="s">
        <v>1517</v>
      </c>
      <c r="C545" s="1046" t="s">
        <v>1712</v>
      </c>
      <c r="D545" s="1046" t="s">
        <v>1544</v>
      </c>
      <c r="E545" s="1042" t="s">
        <v>1488</v>
      </c>
    </row>
    <row r="546" spans="1:5" x14ac:dyDescent="0.25">
      <c r="A546" s="974">
        <v>545</v>
      </c>
      <c r="B546" s="974" t="s">
        <v>1517</v>
      </c>
      <c r="C546" s="1046" t="s">
        <v>1712</v>
      </c>
      <c r="D546" s="1046" t="s">
        <v>1411</v>
      </c>
      <c r="E546" s="1042" t="s">
        <v>1489</v>
      </c>
    </row>
    <row r="547" spans="1:5" ht="30" x14ac:dyDescent="0.25">
      <c r="A547" s="974">
        <v>546</v>
      </c>
      <c r="B547" s="974" t="s">
        <v>1517</v>
      </c>
      <c r="C547" s="1046" t="s">
        <v>1712</v>
      </c>
      <c r="D547" s="1046" t="s">
        <v>1545</v>
      </c>
      <c r="E547" s="1042" t="s">
        <v>1385</v>
      </c>
    </row>
    <row r="548" spans="1:5" ht="30" x14ac:dyDescent="0.25">
      <c r="A548" s="974">
        <v>547</v>
      </c>
      <c r="B548" s="974" t="s">
        <v>1517</v>
      </c>
      <c r="C548" s="1046" t="s">
        <v>1712</v>
      </c>
      <c r="D548" s="1046" t="s">
        <v>1545</v>
      </c>
      <c r="E548" s="1042" t="s">
        <v>1386</v>
      </c>
    </row>
    <row r="549" spans="1:5" ht="30" x14ac:dyDescent="0.25">
      <c r="A549" s="974">
        <v>548</v>
      </c>
      <c r="B549" s="974" t="s">
        <v>1517</v>
      </c>
      <c r="C549" s="1046" t="s">
        <v>1712</v>
      </c>
      <c r="D549" s="1046" t="s">
        <v>1545</v>
      </c>
      <c r="E549" s="1042" t="s">
        <v>1496</v>
      </c>
    </row>
    <row r="550" spans="1:5" x14ac:dyDescent="0.25">
      <c r="A550" s="974">
        <v>549</v>
      </c>
      <c r="B550" s="974" t="s">
        <v>1517</v>
      </c>
      <c r="C550" s="1046" t="s">
        <v>1712</v>
      </c>
      <c r="D550" s="1046" t="s">
        <v>1411</v>
      </c>
      <c r="E550" s="1042" t="s">
        <v>1493</v>
      </c>
    </row>
    <row r="551" spans="1:5" x14ac:dyDescent="0.25">
      <c r="A551" s="974">
        <v>550</v>
      </c>
      <c r="B551" s="974" t="s">
        <v>1517</v>
      </c>
      <c r="C551" s="1046" t="s">
        <v>1712</v>
      </c>
      <c r="D551" s="1046" t="s">
        <v>1544</v>
      </c>
      <c r="E551" s="1042" t="s">
        <v>1389</v>
      </c>
    </row>
    <row r="552" spans="1:5" x14ac:dyDescent="0.25">
      <c r="A552" s="974">
        <v>551</v>
      </c>
      <c r="B552" s="974" t="s">
        <v>1517</v>
      </c>
      <c r="C552" s="1046" t="s">
        <v>1547</v>
      </c>
      <c r="D552" s="1046" t="s">
        <v>1546</v>
      </c>
      <c r="E552" s="1042" t="s">
        <v>1492</v>
      </c>
    </row>
    <row r="553" spans="1:5" x14ac:dyDescent="0.25">
      <c r="A553" s="974">
        <v>552</v>
      </c>
      <c r="B553" s="974" t="s">
        <v>1517</v>
      </c>
      <c r="C553" s="1046" t="s">
        <v>1547</v>
      </c>
      <c r="D553" s="1046" t="s">
        <v>1411</v>
      </c>
      <c r="E553" s="1042" t="s">
        <v>1706</v>
      </c>
    </row>
    <row r="554" spans="1:5" x14ac:dyDescent="0.25">
      <c r="A554" s="974">
        <v>553</v>
      </c>
      <c r="B554" s="974" t="s">
        <v>1517</v>
      </c>
      <c r="C554" s="1046" t="s">
        <v>1547</v>
      </c>
      <c r="D554" s="1046" t="s">
        <v>1546</v>
      </c>
      <c r="E554" s="1042" t="s">
        <v>1383</v>
      </c>
    </row>
    <row r="555" spans="1:5" x14ac:dyDescent="0.25">
      <c r="A555" s="974">
        <v>554</v>
      </c>
      <c r="B555" s="974" t="s">
        <v>1517</v>
      </c>
      <c r="C555" s="1046" t="s">
        <v>1547</v>
      </c>
      <c r="D555" s="1046" t="s">
        <v>1546</v>
      </c>
      <c r="E555" s="1042" t="s">
        <v>1380</v>
      </c>
    </row>
    <row r="556" spans="1:5" x14ac:dyDescent="0.25">
      <c r="A556" s="974">
        <v>555</v>
      </c>
      <c r="B556" s="974" t="s">
        <v>1517</v>
      </c>
      <c r="C556" s="1046" t="s">
        <v>1547</v>
      </c>
      <c r="D556" s="1046" t="s">
        <v>1546</v>
      </c>
      <c r="E556" s="1042" t="s">
        <v>1381</v>
      </c>
    </row>
    <row r="557" spans="1:5" x14ac:dyDescent="0.25">
      <c r="A557" s="974">
        <v>556</v>
      </c>
      <c r="B557" s="974" t="s">
        <v>1517</v>
      </c>
      <c r="C557" s="1046" t="s">
        <v>1547</v>
      </c>
      <c r="D557" s="1046" t="s">
        <v>1546</v>
      </c>
      <c r="E557" s="1042" t="s">
        <v>1397</v>
      </c>
    </row>
    <row r="558" spans="1:5" x14ac:dyDescent="0.25">
      <c r="A558" s="974">
        <v>557</v>
      </c>
      <c r="B558" s="974" t="s">
        <v>1517</v>
      </c>
      <c r="C558" s="1046" t="s">
        <v>1547</v>
      </c>
      <c r="D558" s="1046" t="s">
        <v>1411</v>
      </c>
      <c r="E558" s="1042" t="s">
        <v>1382</v>
      </c>
    </row>
    <row r="559" spans="1:5" x14ac:dyDescent="0.25">
      <c r="A559" s="974">
        <v>558</v>
      </c>
      <c r="B559" s="974" t="s">
        <v>1517</v>
      </c>
      <c r="C559" s="1046" t="s">
        <v>1547</v>
      </c>
      <c r="D559" s="1046" t="s">
        <v>1546</v>
      </c>
      <c r="E559" s="1042" t="s">
        <v>1487</v>
      </c>
    </row>
    <row r="560" spans="1:5" x14ac:dyDescent="0.25">
      <c r="A560" s="974">
        <v>559</v>
      </c>
      <c r="B560" s="974" t="s">
        <v>1517</v>
      </c>
      <c r="C560" s="1046" t="s">
        <v>1547</v>
      </c>
      <c r="D560" s="1046" t="s">
        <v>1546</v>
      </c>
      <c r="E560" s="1042" t="s">
        <v>1488</v>
      </c>
    </row>
    <row r="561" spans="1:5" x14ac:dyDescent="0.25">
      <c r="A561" s="974">
        <v>560</v>
      </c>
      <c r="B561" s="974" t="s">
        <v>1517</v>
      </c>
      <c r="C561" s="1046" t="s">
        <v>1547</v>
      </c>
      <c r="D561" s="1046" t="s">
        <v>1411</v>
      </c>
      <c r="E561" s="1042" t="s">
        <v>1489</v>
      </c>
    </row>
    <row r="562" spans="1:5" ht="30" x14ac:dyDescent="0.25">
      <c r="A562" s="974">
        <v>561</v>
      </c>
      <c r="B562" s="974" t="s">
        <v>1517</v>
      </c>
      <c r="C562" s="1046" t="s">
        <v>1547</v>
      </c>
      <c r="D562" s="1046" t="s">
        <v>1545</v>
      </c>
      <c r="E562" s="1042" t="s">
        <v>1385</v>
      </c>
    </row>
    <row r="563" spans="1:5" ht="30" x14ac:dyDescent="0.25">
      <c r="A563" s="974">
        <v>562</v>
      </c>
      <c r="B563" s="974" t="s">
        <v>1517</v>
      </c>
      <c r="C563" s="1046" t="s">
        <v>1547</v>
      </c>
      <c r="D563" s="1046" t="s">
        <v>1545</v>
      </c>
      <c r="E563" s="1042" t="s">
        <v>1386</v>
      </c>
    </row>
    <row r="564" spans="1:5" ht="30" x14ac:dyDescent="0.25">
      <c r="A564" s="974">
        <v>563</v>
      </c>
      <c r="B564" s="974" t="s">
        <v>1517</v>
      </c>
      <c r="C564" s="1046" t="s">
        <v>1547</v>
      </c>
      <c r="D564" s="1046" t="s">
        <v>1545</v>
      </c>
      <c r="E564" s="1042" t="s">
        <v>1496</v>
      </c>
    </row>
    <row r="565" spans="1:5" x14ac:dyDescent="0.25">
      <c r="A565" s="974">
        <v>564</v>
      </c>
      <c r="B565" s="974" t="s">
        <v>1517</v>
      </c>
      <c r="C565" s="1046" t="s">
        <v>1547</v>
      </c>
      <c r="D565" s="1046" t="s">
        <v>1411</v>
      </c>
      <c r="E565" s="1042" t="s">
        <v>1493</v>
      </c>
    </row>
    <row r="566" spans="1:5" x14ac:dyDescent="0.25">
      <c r="A566" s="974">
        <v>565</v>
      </c>
      <c r="B566" s="974" t="s">
        <v>1517</v>
      </c>
      <c r="C566" s="1046" t="s">
        <v>1547</v>
      </c>
      <c r="D566" s="1046" t="s">
        <v>1546</v>
      </c>
      <c r="E566" s="1042" t="s">
        <v>1507</v>
      </c>
    </row>
    <row r="567" spans="1:5" x14ac:dyDescent="0.25">
      <c r="A567" s="974">
        <v>566</v>
      </c>
      <c r="B567" s="974" t="s">
        <v>1517</v>
      </c>
      <c r="C567" s="1046" t="s">
        <v>1548</v>
      </c>
      <c r="D567" s="1046" t="s">
        <v>1546</v>
      </c>
      <c r="E567" s="1042" t="s">
        <v>1387</v>
      </c>
    </row>
    <row r="568" spans="1:5" x14ac:dyDescent="0.25">
      <c r="A568" s="974">
        <v>567</v>
      </c>
      <c r="B568" s="974" t="s">
        <v>1517</v>
      </c>
      <c r="C568" s="1046" t="s">
        <v>1548</v>
      </c>
      <c r="D568" s="1046" t="s">
        <v>1546</v>
      </c>
      <c r="E568" s="1042" t="s">
        <v>1388</v>
      </c>
    </row>
    <row r="569" spans="1:5" x14ac:dyDescent="0.25">
      <c r="A569" s="974">
        <v>568</v>
      </c>
      <c r="B569" s="974" t="s">
        <v>1517</v>
      </c>
      <c r="C569" s="1046" t="s">
        <v>1548</v>
      </c>
      <c r="D569" s="1046" t="s">
        <v>1546</v>
      </c>
      <c r="E569" s="1042" t="s">
        <v>1104</v>
      </c>
    </row>
    <row r="570" spans="1:5" x14ac:dyDescent="0.25">
      <c r="A570" s="974">
        <v>569</v>
      </c>
      <c r="B570" s="974" t="s">
        <v>1517</v>
      </c>
      <c r="C570" s="1046" t="s">
        <v>1547</v>
      </c>
      <c r="D570" s="1046" t="s">
        <v>1546</v>
      </c>
      <c r="E570" s="1042" t="s">
        <v>1509</v>
      </c>
    </row>
    <row r="571" spans="1:5" x14ac:dyDescent="0.25">
      <c r="A571" s="974">
        <v>570</v>
      </c>
      <c r="B571" s="974" t="s">
        <v>1517</v>
      </c>
      <c r="C571" s="1046" t="s">
        <v>1549</v>
      </c>
      <c r="D571" s="1046" t="s">
        <v>1546</v>
      </c>
      <c r="E571" s="1042" t="s">
        <v>1492</v>
      </c>
    </row>
    <row r="572" spans="1:5" x14ac:dyDescent="0.25">
      <c r="A572" s="974">
        <v>571</v>
      </c>
      <c r="B572" s="974" t="s">
        <v>1517</v>
      </c>
      <c r="C572" s="1046" t="s">
        <v>1549</v>
      </c>
      <c r="D572" s="1046" t="s">
        <v>1411</v>
      </c>
      <c r="E572" s="1042" t="s">
        <v>1706</v>
      </c>
    </row>
    <row r="573" spans="1:5" x14ac:dyDescent="0.25">
      <c r="A573" s="974">
        <v>572</v>
      </c>
      <c r="B573" s="974" t="s">
        <v>1517</v>
      </c>
      <c r="C573" s="1046" t="s">
        <v>1549</v>
      </c>
      <c r="D573" s="1046" t="s">
        <v>1546</v>
      </c>
      <c r="E573" s="1042" t="s">
        <v>1383</v>
      </c>
    </row>
    <row r="574" spans="1:5" x14ac:dyDescent="0.25">
      <c r="A574" s="974">
        <v>573</v>
      </c>
      <c r="B574" s="974" t="s">
        <v>1517</v>
      </c>
      <c r="C574" s="1046" t="s">
        <v>1549</v>
      </c>
      <c r="D574" s="1046" t="s">
        <v>1546</v>
      </c>
      <c r="E574" s="1042" t="s">
        <v>1380</v>
      </c>
    </row>
    <row r="575" spans="1:5" x14ac:dyDescent="0.25">
      <c r="A575" s="974">
        <v>574</v>
      </c>
      <c r="B575" s="974" t="s">
        <v>1517</v>
      </c>
      <c r="C575" s="1046" t="s">
        <v>1549</v>
      </c>
      <c r="D575" s="1046" t="s">
        <v>1546</v>
      </c>
      <c r="E575" s="1042" t="s">
        <v>1381</v>
      </c>
    </row>
    <row r="576" spans="1:5" x14ac:dyDescent="0.25">
      <c r="A576" s="974">
        <v>575</v>
      </c>
      <c r="B576" s="974" t="s">
        <v>1517</v>
      </c>
      <c r="C576" s="1046" t="s">
        <v>1549</v>
      </c>
      <c r="D576" s="1046" t="s">
        <v>1546</v>
      </c>
      <c r="E576" s="1042" t="s">
        <v>1397</v>
      </c>
    </row>
    <row r="577" spans="1:5" x14ac:dyDescent="0.25">
      <c r="A577" s="974">
        <v>576</v>
      </c>
      <c r="B577" s="974" t="s">
        <v>1517</v>
      </c>
      <c r="C577" s="1046" t="s">
        <v>1549</v>
      </c>
      <c r="D577" s="1046" t="s">
        <v>1411</v>
      </c>
      <c r="E577" s="1042" t="s">
        <v>1382</v>
      </c>
    </row>
    <row r="578" spans="1:5" x14ac:dyDescent="0.25">
      <c r="A578" s="974">
        <v>577</v>
      </c>
      <c r="B578" s="974" t="s">
        <v>1517</v>
      </c>
      <c r="C578" s="1046" t="s">
        <v>1549</v>
      </c>
      <c r="D578" s="1046" t="s">
        <v>1546</v>
      </c>
      <c r="E578" s="1042" t="s">
        <v>1487</v>
      </c>
    </row>
    <row r="579" spans="1:5" x14ac:dyDescent="0.25">
      <c r="A579" s="974">
        <v>578</v>
      </c>
      <c r="B579" s="974" t="s">
        <v>1517</v>
      </c>
      <c r="C579" s="1046" t="s">
        <v>1549</v>
      </c>
      <c r="D579" s="1046" t="s">
        <v>1546</v>
      </c>
      <c r="E579" s="1042" t="s">
        <v>1488</v>
      </c>
    </row>
    <row r="580" spans="1:5" x14ac:dyDescent="0.25">
      <c r="A580" s="974">
        <v>579</v>
      </c>
      <c r="B580" s="974" t="s">
        <v>1517</v>
      </c>
      <c r="C580" s="1046" t="s">
        <v>1549</v>
      </c>
      <c r="D580" s="1046" t="s">
        <v>1411</v>
      </c>
      <c r="E580" s="1042" t="s">
        <v>1489</v>
      </c>
    </row>
    <row r="581" spans="1:5" ht="30" x14ac:dyDescent="0.25">
      <c r="A581" s="974">
        <v>580</v>
      </c>
      <c r="B581" s="974" t="s">
        <v>1517</v>
      </c>
      <c r="C581" s="1046" t="s">
        <v>1549</v>
      </c>
      <c r="D581" s="1046" t="s">
        <v>1545</v>
      </c>
      <c r="E581" s="1042" t="s">
        <v>1385</v>
      </c>
    </row>
    <row r="582" spans="1:5" ht="30" x14ac:dyDescent="0.25">
      <c r="A582" s="974">
        <v>581</v>
      </c>
      <c r="B582" s="974" t="s">
        <v>1517</v>
      </c>
      <c r="C582" s="1046" t="s">
        <v>1549</v>
      </c>
      <c r="D582" s="1046" t="s">
        <v>1545</v>
      </c>
      <c r="E582" s="1042" t="s">
        <v>1386</v>
      </c>
    </row>
    <row r="583" spans="1:5" ht="30" x14ac:dyDescent="0.25">
      <c r="A583" s="974">
        <v>582</v>
      </c>
      <c r="B583" s="974" t="s">
        <v>1517</v>
      </c>
      <c r="C583" s="1046" t="s">
        <v>1549</v>
      </c>
      <c r="D583" s="1046" t="s">
        <v>1545</v>
      </c>
      <c r="E583" s="1042" t="s">
        <v>1496</v>
      </c>
    </row>
    <row r="584" spans="1:5" x14ac:dyDescent="0.25">
      <c r="A584" s="974">
        <v>583</v>
      </c>
      <c r="B584" s="974" t="s">
        <v>1517</v>
      </c>
      <c r="C584" s="1046" t="s">
        <v>1549</v>
      </c>
      <c r="D584" s="1046" t="s">
        <v>1411</v>
      </c>
      <c r="E584" s="1042" t="s">
        <v>1493</v>
      </c>
    </row>
    <row r="585" spans="1:5" x14ac:dyDescent="0.25">
      <c r="A585" s="974">
        <v>584</v>
      </c>
      <c r="B585" s="974" t="s">
        <v>1517</v>
      </c>
      <c r="C585" s="1046" t="s">
        <v>1549</v>
      </c>
      <c r="D585" s="1046" t="s">
        <v>1546</v>
      </c>
      <c r="E585" s="1042" t="s">
        <v>1507</v>
      </c>
    </row>
    <row r="586" spans="1:5" x14ac:dyDescent="0.25">
      <c r="A586" s="974">
        <v>585</v>
      </c>
      <c r="B586" s="974" t="s">
        <v>1517</v>
      </c>
      <c r="C586" s="1046" t="s">
        <v>1550</v>
      </c>
      <c r="D586" s="1046" t="s">
        <v>1546</v>
      </c>
      <c r="E586" s="1042" t="s">
        <v>1387</v>
      </c>
    </row>
    <row r="587" spans="1:5" x14ac:dyDescent="0.25">
      <c r="A587" s="974">
        <v>586</v>
      </c>
      <c r="B587" s="974" t="s">
        <v>1517</v>
      </c>
      <c r="C587" s="1046" t="s">
        <v>1550</v>
      </c>
      <c r="D587" s="1046" t="s">
        <v>1546</v>
      </c>
      <c r="E587" s="1042" t="s">
        <v>1388</v>
      </c>
    </row>
    <row r="588" spans="1:5" x14ac:dyDescent="0.25">
      <c r="A588" s="974">
        <v>587</v>
      </c>
      <c r="B588" s="974" t="s">
        <v>1517</v>
      </c>
      <c r="C588" s="1046" t="s">
        <v>1550</v>
      </c>
      <c r="D588" s="1046" t="s">
        <v>1546</v>
      </c>
      <c r="E588" s="1042" t="s">
        <v>1389</v>
      </c>
    </row>
    <row r="589" spans="1:5" x14ac:dyDescent="0.25">
      <c r="A589" s="974">
        <v>588</v>
      </c>
      <c r="B589" s="974" t="s">
        <v>1517</v>
      </c>
      <c r="C589" s="1046" t="s">
        <v>1549</v>
      </c>
      <c r="D589" s="1046" t="s">
        <v>1546</v>
      </c>
      <c r="E589" s="1042" t="s">
        <v>1509</v>
      </c>
    </row>
    <row r="590" spans="1:5" x14ac:dyDescent="0.25">
      <c r="A590" s="974">
        <v>589</v>
      </c>
      <c r="B590" s="974" t="s">
        <v>1517</v>
      </c>
      <c r="C590" s="1046" t="s">
        <v>1551</v>
      </c>
      <c r="D590" s="1046" t="s">
        <v>1514</v>
      </c>
      <c r="E590" s="1042" t="s">
        <v>1492</v>
      </c>
    </row>
    <row r="591" spans="1:5" x14ac:dyDescent="0.25">
      <c r="A591" s="974">
        <v>590</v>
      </c>
      <c r="B591" s="974" t="s">
        <v>1517</v>
      </c>
      <c r="C591" s="1046" t="s">
        <v>1551</v>
      </c>
      <c r="D591" s="1046" t="s">
        <v>1411</v>
      </c>
      <c r="E591" s="1042" t="s">
        <v>1706</v>
      </c>
    </row>
    <row r="592" spans="1:5" x14ac:dyDescent="0.25">
      <c r="A592" s="974">
        <v>591</v>
      </c>
      <c r="B592" s="974" t="s">
        <v>1517</v>
      </c>
      <c r="C592" s="1046" t="s">
        <v>1551</v>
      </c>
      <c r="D592" s="1046" t="s">
        <v>1514</v>
      </c>
      <c r="E592" s="1042" t="s">
        <v>1383</v>
      </c>
    </row>
    <row r="593" spans="1:5" x14ac:dyDescent="0.25">
      <c r="A593" s="974">
        <v>592</v>
      </c>
      <c r="B593" s="974" t="s">
        <v>1517</v>
      </c>
      <c r="C593" s="1046" t="s">
        <v>1551</v>
      </c>
      <c r="D593" s="1046" t="s">
        <v>1514</v>
      </c>
      <c r="E593" s="1042" t="s">
        <v>1380</v>
      </c>
    </row>
    <row r="594" spans="1:5" x14ac:dyDescent="0.25">
      <c r="A594" s="974">
        <v>593</v>
      </c>
      <c r="B594" s="974" t="s">
        <v>1517</v>
      </c>
      <c r="C594" s="1046" t="s">
        <v>1551</v>
      </c>
      <c r="D594" s="1046" t="s">
        <v>1514</v>
      </c>
      <c r="E594" s="1042" t="s">
        <v>1381</v>
      </c>
    </row>
    <row r="595" spans="1:5" x14ac:dyDescent="0.25">
      <c r="A595" s="974">
        <v>594</v>
      </c>
      <c r="B595" s="974" t="s">
        <v>1517</v>
      </c>
      <c r="C595" s="1046" t="s">
        <v>1551</v>
      </c>
      <c r="D595" s="1046" t="s">
        <v>1514</v>
      </c>
      <c r="E595" s="1042" t="s">
        <v>1397</v>
      </c>
    </row>
    <row r="596" spans="1:5" x14ac:dyDescent="0.25">
      <c r="A596" s="974">
        <v>595</v>
      </c>
      <c r="B596" s="974" t="s">
        <v>1517</v>
      </c>
      <c r="C596" s="1046" t="s">
        <v>1551</v>
      </c>
      <c r="D596" s="1046" t="s">
        <v>1514</v>
      </c>
      <c r="E596" s="1042" t="s">
        <v>1382</v>
      </c>
    </row>
    <row r="597" spans="1:5" x14ac:dyDescent="0.25">
      <c r="A597" s="974">
        <v>596</v>
      </c>
      <c r="B597" s="974" t="s">
        <v>1517</v>
      </c>
      <c r="C597" s="1046" t="s">
        <v>1551</v>
      </c>
      <c r="D597" s="1046" t="s">
        <v>1514</v>
      </c>
      <c r="E597" s="1042" t="s">
        <v>1487</v>
      </c>
    </row>
    <row r="598" spans="1:5" x14ac:dyDescent="0.25">
      <c r="A598" s="974">
        <v>597</v>
      </c>
      <c r="B598" s="974" t="s">
        <v>1517</v>
      </c>
      <c r="C598" s="1046" t="s">
        <v>1551</v>
      </c>
      <c r="D598" s="1046" t="s">
        <v>1514</v>
      </c>
      <c r="E598" s="1042" t="s">
        <v>1488</v>
      </c>
    </row>
    <row r="599" spans="1:5" x14ac:dyDescent="0.25">
      <c r="A599" s="974">
        <v>598</v>
      </c>
      <c r="B599" s="974" t="s">
        <v>1517</v>
      </c>
      <c r="C599" s="1046" t="s">
        <v>1551</v>
      </c>
      <c r="D599" s="1046" t="s">
        <v>1411</v>
      </c>
      <c r="E599" s="1042" t="s">
        <v>1489</v>
      </c>
    </row>
    <row r="600" spans="1:5" ht="30" x14ac:dyDescent="0.25">
      <c r="A600" s="974">
        <v>599</v>
      </c>
      <c r="B600" s="974" t="s">
        <v>1517</v>
      </c>
      <c r="C600" s="1046" t="s">
        <v>1551</v>
      </c>
      <c r="D600" s="1046" t="s">
        <v>1545</v>
      </c>
      <c r="E600" s="1042" t="s">
        <v>1385</v>
      </c>
    </row>
    <row r="601" spans="1:5" ht="30" x14ac:dyDescent="0.25">
      <c r="A601" s="974">
        <v>600</v>
      </c>
      <c r="B601" s="974" t="s">
        <v>1517</v>
      </c>
      <c r="C601" s="1046" t="s">
        <v>1551</v>
      </c>
      <c r="D601" s="1046" t="s">
        <v>1545</v>
      </c>
      <c r="E601" s="1042" t="s">
        <v>1386</v>
      </c>
    </row>
    <row r="602" spans="1:5" ht="30" x14ac:dyDescent="0.25">
      <c r="A602" s="974">
        <v>601</v>
      </c>
      <c r="B602" s="974" t="s">
        <v>1517</v>
      </c>
      <c r="C602" s="1046" t="s">
        <v>1551</v>
      </c>
      <c r="D602" s="1046" t="s">
        <v>1545</v>
      </c>
      <c r="E602" s="1042" t="s">
        <v>1496</v>
      </c>
    </row>
    <row r="603" spans="1:5" x14ac:dyDescent="0.25">
      <c r="A603" s="974">
        <v>602</v>
      </c>
      <c r="B603" s="974" t="s">
        <v>1517</v>
      </c>
      <c r="C603" s="1046" t="s">
        <v>1551</v>
      </c>
      <c r="D603" s="1046" t="s">
        <v>1411</v>
      </c>
      <c r="E603" s="1042" t="s">
        <v>1493</v>
      </c>
    </row>
    <row r="604" spans="1:5" x14ac:dyDescent="0.25">
      <c r="A604" s="974">
        <v>603</v>
      </c>
      <c r="B604" s="974" t="s">
        <v>1517</v>
      </c>
      <c r="C604" s="1046" t="s">
        <v>1551</v>
      </c>
      <c r="D604" s="1046" t="s">
        <v>1514</v>
      </c>
      <c r="E604" s="1042" t="s">
        <v>1507</v>
      </c>
    </row>
    <row r="605" spans="1:5" x14ac:dyDescent="0.25">
      <c r="A605" s="974">
        <v>604</v>
      </c>
      <c r="B605" s="974" t="s">
        <v>1517</v>
      </c>
      <c r="C605" s="1046" t="s">
        <v>1552</v>
      </c>
      <c r="D605" s="1046" t="s">
        <v>1514</v>
      </c>
      <c r="E605" s="1042" t="s">
        <v>1387</v>
      </c>
    </row>
    <row r="606" spans="1:5" x14ac:dyDescent="0.25">
      <c r="A606" s="974">
        <v>605</v>
      </c>
      <c r="B606" s="974" t="s">
        <v>1517</v>
      </c>
      <c r="C606" s="1046" t="s">
        <v>1552</v>
      </c>
      <c r="D606" s="1046" t="s">
        <v>1514</v>
      </c>
      <c r="E606" s="1042" t="s">
        <v>1388</v>
      </c>
    </row>
    <row r="607" spans="1:5" x14ac:dyDescent="0.25">
      <c r="A607" s="974">
        <v>606</v>
      </c>
      <c r="B607" s="974" t="s">
        <v>1517</v>
      </c>
      <c r="C607" s="1046" t="s">
        <v>1552</v>
      </c>
      <c r="D607" s="1046" t="s">
        <v>1514</v>
      </c>
      <c r="E607" s="1042" t="s">
        <v>1389</v>
      </c>
    </row>
    <row r="608" spans="1:5" x14ac:dyDescent="0.25">
      <c r="A608" s="974">
        <v>607</v>
      </c>
      <c r="B608" s="974" t="s">
        <v>1517</v>
      </c>
      <c r="C608" s="1046" t="s">
        <v>1553</v>
      </c>
      <c r="D608" s="1046" t="s">
        <v>1514</v>
      </c>
      <c r="E608" s="1042" t="s">
        <v>1387</v>
      </c>
    </row>
    <row r="609" spans="1:5" x14ac:dyDescent="0.25">
      <c r="A609" s="974">
        <v>608</v>
      </c>
      <c r="B609" s="974" t="s">
        <v>1517</v>
      </c>
      <c r="C609" s="1046" t="s">
        <v>1553</v>
      </c>
      <c r="D609" s="1046" t="s">
        <v>1514</v>
      </c>
      <c r="E609" s="1042" t="s">
        <v>1388</v>
      </c>
    </row>
    <row r="610" spans="1:5" x14ac:dyDescent="0.25">
      <c r="A610" s="974">
        <v>609</v>
      </c>
      <c r="B610" s="974" t="s">
        <v>1517</v>
      </c>
      <c r="C610" s="1046" t="s">
        <v>1553</v>
      </c>
      <c r="D610" s="1046" t="s">
        <v>1514</v>
      </c>
      <c r="E610" s="1042" t="s">
        <v>1389</v>
      </c>
    </row>
    <row r="611" spans="1:5" x14ac:dyDescent="0.25">
      <c r="A611" s="974">
        <v>610</v>
      </c>
      <c r="B611" s="974" t="s">
        <v>1517</v>
      </c>
      <c r="C611" s="1046" t="s">
        <v>1554</v>
      </c>
      <c r="D611" s="1046" t="s">
        <v>1514</v>
      </c>
      <c r="E611" s="1042" t="s">
        <v>1387</v>
      </c>
    </row>
    <row r="612" spans="1:5" x14ac:dyDescent="0.25">
      <c r="A612" s="974">
        <v>611</v>
      </c>
      <c r="B612" s="974" t="s">
        <v>1517</v>
      </c>
      <c r="C612" s="1046" t="s">
        <v>1554</v>
      </c>
      <c r="D612" s="1046" t="s">
        <v>1514</v>
      </c>
      <c r="E612" s="1042" t="s">
        <v>1388</v>
      </c>
    </row>
    <row r="613" spans="1:5" x14ac:dyDescent="0.25">
      <c r="A613" s="974">
        <v>612</v>
      </c>
      <c r="B613" s="974" t="s">
        <v>1517</v>
      </c>
      <c r="C613" s="1046" t="s">
        <v>1554</v>
      </c>
      <c r="D613" s="1046" t="s">
        <v>1514</v>
      </c>
      <c r="E613" s="1042" t="s">
        <v>1389</v>
      </c>
    </row>
    <row r="614" spans="1:5" x14ac:dyDescent="0.25">
      <c r="A614" s="974">
        <v>613</v>
      </c>
      <c r="B614" s="974" t="s">
        <v>1517</v>
      </c>
      <c r="C614" s="1046" t="s">
        <v>1555</v>
      </c>
      <c r="D614" s="1046" t="s">
        <v>1514</v>
      </c>
      <c r="E614" s="1042" t="s">
        <v>1387</v>
      </c>
    </row>
    <row r="615" spans="1:5" x14ac:dyDescent="0.25">
      <c r="A615" s="974">
        <v>614</v>
      </c>
      <c r="B615" s="974" t="s">
        <v>1517</v>
      </c>
      <c r="C615" s="1046" t="s">
        <v>1555</v>
      </c>
      <c r="D615" s="1046" t="s">
        <v>1514</v>
      </c>
      <c r="E615" s="1042" t="s">
        <v>1388</v>
      </c>
    </row>
    <row r="616" spans="1:5" x14ac:dyDescent="0.25">
      <c r="A616" s="974">
        <v>615</v>
      </c>
      <c r="B616" s="974" t="s">
        <v>1517</v>
      </c>
      <c r="C616" s="1046" t="s">
        <v>1555</v>
      </c>
      <c r="D616" s="1046" t="s">
        <v>1514</v>
      </c>
      <c r="E616" s="1042" t="s">
        <v>1389</v>
      </c>
    </row>
    <row r="617" spans="1:5" x14ac:dyDescent="0.25">
      <c r="A617" s="974">
        <v>616</v>
      </c>
      <c r="B617" s="974" t="s">
        <v>1517</v>
      </c>
      <c r="C617" s="1046" t="s">
        <v>1556</v>
      </c>
      <c r="D617" s="1046" t="s">
        <v>1514</v>
      </c>
      <c r="E617" s="1042" t="s">
        <v>1387</v>
      </c>
    </row>
    <row r="618" spans="1:5" x14ac:dyDescent="0.25">
      <c r="A618" s="974">
        <v>617</v>
      </c>
      <c r="B618" s="974" t="s">
        <v>1517</v>
      </c>
      <c r="C618" s="1046" t="s">
        <v>1556</v>
      </c>
      <c r="D618" s="1046" t="s">
        <v>1514</v>
      </c>
      <c r="E618" s="1042" t="s">
        <v>1388</v>
      </c>
    </row>
    <row r="619" spans="1:5" x14ac:dyDescent="0.25">
      <c r="A619" s="974">
        <v>618</v>
      </c>
      <c r="B619" s="974" t="s">
        <v>1517</v>
      </c>
      <c r="C619" s="1046" t="s">
        <v>1556</v>
      </c>
      <c r="D619" s="1046" t="s">
        <v>1514</v>
      </c>
      <c r="E619" s="1042" t="s">
        <v>1389</v>
      </c>
    </row>
    <row r="620" spans="1:5" x14ac:dyDescent="0.25">
      <c r="A620" s="974">
        <v>619</v>
      </c>
      <c r="B620" s="974" t="s">
        <v>1517</v>
      </c>
      <c r="C620" s="1046" t="s">
        <v>1551</v>
      </c>
      <c r="D620" s="1046" t="s">
        <v>1509</v>
      </c>
      <c r="E620" s="1042" t="s">
        <v>1509</v>
      </c>
    </row>
    <row r="621" spans="1:5" x14ac:dyDescent="0.25">
      <c r="A621" s="974">
        <v>620</v>
      </c>
      <c r="B621" s="974" t="s">
        <v>1517</v>
      </c>
      <c r="C621" s="1046" t="s">
        <v>1557</v>
      </c>
      <c r="D621" s="1046" t="s">
        <v>1514</v>
      </c>
      <c r="E621" s="1042" t="s">
        <v>1492</v>
      </c>
    </row>
    <row r="622" spans="1:5" x14ac:dyDescent="0.25">
      <c r="A622" s="974">
        <v>621</v>
      </c>
      <c r="B622" s="974" t="s">
        <v>1517</v>
      </c>
      <c r="C622" s="1046" t="s">
        <v>1557</v>
      </c>
      <c r="D622" s="1046" t="s">
        <v>1411</v>
      </c>
      <c r="E622" s="1042" t="s">
        <v>1706</v>
      </c>
    </row>
    <row r="623" spans="1:5" x14ac:dyDescent="0.25">
      <c r="A623" s="974">
        <v>622</v>
      </c>
      <c r="B623" s="974" t="s">
        <v>1517</v>
      </c>
      <c r="C623" s="1046" t="s">
        <v>1557</v>
      </c>
      <c r="D623" s="1046" t="s">
        <v>1514</v>
      </c>
      <c r="E623" s="1042" t="s">
        <v>1383</v>
      </c>
    </row>
    <row r="624" spans="1:5" x14ac:dyDescent="0.25">
      <c r="A624" s="974">
        <v>623</v>
      </c>
      <c r="B624" s="974" t="s">
        <v>1517</v>
      </c>
      <c r="C624" s="1046" t="s">
        <v>1557</v>
      </c>
      <c r="D624" s="1046" t="s">
        <v>1514</v>
      </c>
      <c r="E624" s="1042" t="s">
        <v>1380</v>
      </c>
    </row>
    <row r="625" spans="1:5" x14ac:dyDescent="0.25">
      <c r="A625" s="974">
        <v>624</v>
      </c>
      <c r="B625" s="974" t="s">
        <v>1517</v>
      </c>
      <c r="C625" s="1046" t="s">
        <v>1557</v>
      </c>
      <c r="D625" s="1046" t="s">
        <v>1514</v>
      </c>
      <c r="E625" s="1042" t="s">
        <v>1381</v>
      </c>
    </row>
    <row r="626" spans="1:5" x14ac:dyDescent="0.25">
      <c r="A626" s="974">
        <v>625</v>
      </c>
      <c r="B626" s="974" t="s">
        <v>1517</v>
      </c>
      <c r="C626" s="1046" t="s">
        <v>1557</v>
      </c>
      <c r="D626" s="1046" t="s">
        <v>1514</v>
      </c>
      <c r="E626" s="1042" t="s">
        <v>1397</v>
      </c>
    </row>
    <row r="627" spans="1:5" x14ac:dyDescent="0.25">
      <c r="A627" s="974">
        <v>626</v>
      </c>
      <c r="B627" s="974" t="s">
        <v>1517</v>
      </c>
      <c r="C627" s="1046" t="s">
        <v>1557</v>
      </c>
      <c r="D627" s="1046" t="s">
        <v>1514</v>
      </c>
      <c r="E627" s="1042" t="s">
        <v>1382</v>
      </c>
    </row>
    <row r="628" spans="1:5" x14ac:dyDescent="0.25">
      <c r="A628" s="974">
        <v>627</v>
      </c>
      <c r="B628" s="974" t="s">
        <v>1517</v>
      </c>
      <c r="C628" s="1046" t="s">
        <v>1557</v>
      </c>
      <c r="D628" s="1046" t="s">
        <v>1514</v>
      </c>
      <c r="E628" s="1042" t="s">
        <v>1487</v>
      </c>
    </row>
    <row r="629" spans="1:5" x14ac:dyDescent="0.25">
      <c r="A629" s="974">
        <v>628</v>
      </c>
      <c r="B629" s="974" t="s">
        <v>1517</v>
      </c>
      <c r="C629" s="1046" t="s">
        <v>1557</v>
      </c>
      <c r="D629" s="1046" t="s">
        <v>1514</v>
      </c>
      <c r="E629" s="1042" t="s">
        <v>1488</v>
      </c>
    </row>
    <row r="630" spans="1:5" x14ac:dyDescent="0.25">
      <c r="A630" s="974">
        <v>629</v>
      </c>
      <c r="B630" s="974" t="s">
        <v>1517</v>
      </c>
      <c r="C630" s="1046" t="s">
        <v>1557</v>
      </c>
      <c r="D630" s="1046" t="s">
        <v>1411</v>
      </c>
      <c r="E630" s="1042" t="s">
        <v>1489</v>
      </c>
    </row>
    <row r="631" spans="1:5" ht="30" x14ac:dyDescent="0.25">
      <c r="A631" s="974">
        <v>630</v>
      </c>
      <c r="B631" s="974" t="s">
        <v>1517</v>
      </c>
      <c r="C631" s="1046" t="s">
        <v>1557</v>
      </c>
      <c r="D631" s="1046" t="s">
        <v>1545</v>
      </c>
      <c r="E631" s="1042" t="s">
        <v>1385</v>
      </c>
    </row>
    <row r="632" spans="1:5" ht="30" x14ac:dyDescent="0.25">
      <c r="A632" s="974">
        <v>631</v>
      </c>
      <c r="B632" s="974" t="s">
        <v>1517</v>
      </c>
      <c r="C632" s="1046" t="s">
        <v>1557</v>
      </c>
      <c r="D632" s="1046" t="s">
        <v>1545</v>
      </c>
      <c r="E632" s="1042" t="s">
        <v>1386</v>
      </c>
    </row>
    <row r="633" spans="1:5" ht="30" x14ac:dyDescent="0.25">
      <c r="A633" s="974">
        <v>632</v>
      </c>
      <c r="B633" s="974" t="s">
        <v>1517</v>
      </c>
      <c r="C633" s="1046" t="s">
        <v>1557</v>
      </c>
      <c r="D633" s="1046" t="s">
        <v>1545</v>
      </c>
      <c r="E633" s="1042" t="s">
        <v>1496</v>
      </c>
    </row>
    <row r="634" spans="1:5" x14ac:dyDescent="0.25">
      <c r="A634" s="974">
        <v>633</v>
      </c>
      <c r="B634" s="974" t="s">
        <v>1517</v>
      </c>
      <c r="C634" s="1046" t="s">
        <v>1557</v>
      </c>
      <c r="D634" s="1046" t="s">
        <v>1411</v>
      </c>
      <c r="E634" s="1042" t="s">
        <v>1493</v>
      </c>
    </row>
    <row r="635" spans="1:5" x14ac:dyDescent="0.25">
      <c r="A635" s="974">
        <v>634</v>
      </c>
      <c r="B635" s="974" t="s">
        <v>1517</v>
      </c>
      <c r="C635" s="1046" t="s">
        <v>1557</v>
      </c>
      <c r="D635" s="1046" t="s">
        <v>1514</v>
      </c>
      <c r="E635" s="1042" t="s">
        <v>1507</v>
      </c>
    </row>
    <row r="636" spans="1:5" x14ac:dyDescent="0.25">
      <c r="A636" s="974">
        <v>635</v>
      </c>
      <c r="B636" s="974" t="s">
        <v>1517</v>
      </c>
      <c r="C636" s="1046" t="s">
        <v>1558</v>
      </c>
      <c r="D636" s="1046" t="s">
        <v>1514</v>
      </c>
      <c r="E636" s="1042" t="s">
        <v>1387</v>
      </c>
    </row>
    <row r="637" spans="1:5" x14ac:dyDescent="0.25">
      <c r="A637" s="974">
        <v>636</v>
      </c>
      <c r="B637" s="974" t="s">
        <v>1517</v>
      </c>
      <c r="C637" s="1046" t="s">
        <v>1558</v>
      </c>
      <c r="D637" s="1046" t="s">
        <v>1514</v>
      </c>
      <c r="E637" s="1042" t="s">
        <v>1388</v>
      </c>
    </row>
    <row r="638" spans="1:5" x14ac:dyDescent="0.25">
      <c r="A638" s="974">
        <v>637</v>
      </c>
      <c r="B638" s="974" t="s">
        <v>1517</v>
      </c>
      <c r="C638" s="1046" t="s">
        <v>1558</v>
      </c>
      <c r="D638" s="1046" t="s">
        <v>1514</v>
      </c>
      <c r="E638" s="1042" t="s">
        <v>1389</v>
      </c>
    </row>
    <row r="639" spans="1:5" x14ac:dyDescent="0.25">
      <c r="A639" s="974">
        <v>638</v>
      </c>
      <c r="B639" s="974" t="s">
        <v>1517</v>
      </c>
      <c r="C639" s="1046" t="s">
        <v>1559</v>
      </c>
      <c r="D639" s="1046" t="s">
        <v>1514</v>
      </c>
      <c r="E639" s="1042" t="s">
        <v>1387</v>
      </c>
    </row>
    <row r="640" spans="1:5" x14ac:dyDescent="0.25">
      <c r="A640" s="974">
        <v>639</v>
      </c>
      <c r="B640" s="974" t="s">
        <v>1517</v>
      </c>
      <c r="C640" s="1046" t="s">
        <v>1559</v>
      </c>
      <c r="D640" s="1046" t="s">
        <v>1514</v>
      </c>
      <c r="E640" s="1042" t="s">
        <v>1388</v>
      </c>
    </row>
    <row r="641" spans="1:5" x14ac:dyDescent="0.25">
      <c r="A641" s="974">
        <v>640</v>
      </c>
      <c r="B641" s="974" t="s">
        <v>1517</v>
      </c>
      <c r="C641" s="1046" t="s">
        <v>1559</v>
      </c>
      <c r="D641" s="1046" t="s">
        <v>1514</v>
      </c>
      <c r="E641" s="1042" t="s">
        <v>1389</v>
      </c>
    </row>
    <row r="642" spans="1:5" x14ac:dyDescent="0.25">
      <c r="A642" s="974">
        <v>641</v>
      </c>
      <c r="B642" s="974" t="s">
        <v>1517</v>
      </c>
      <c r="C642" s="1046" t="s">
        <v>1560</v>
      </c>
      <c r="D642" s="1046" t="s">
        <v>1514</v>
      </c>
      <c r="E642" s="1042" t="s">
        <v>1387</v>
      </c>
    </row>
    <row r="643" spans="1:5" x14ac:dyDescent="0.25">
      <c r="A643" s="974">
        <v>642</v>
      </c>
      <c r="B643" s="974" t="s">
        <v>1517</v>
      </c>
      <c r="C643" s="1046" t="s">
        <v>1560</v>
      </c>
      <c r="D643" s="1046" t="s">
        <v>1514</v>
      </c>
      <c r="E643" s="1042" t="s">
        <v>1388</v>
      </c>
    </row>
    <row r="644" spans="1:5" x14ac:dyDescent="0.25">
      <c r="A644" s="974">
        <v>643</v>
      </c>
      <c r="B644" s="974" t="s">
        <v>1517</v>
      </c>
      <c r="C644" s="1046" t="s">
        <v>1560</v>
      </c>
      <c r="D644" s="1046" t="s">
        <v>1514</v>
      </c>
      <c r="E644" s="1042" t="s">
        <v>1389</v>
      </c>
    </row>
    <row r="645" spans="1:5" x14ac:dyDescent="0.25">
      <c r="A645" s="974">
        <v>644</v>
      </c>
      <c r="B645" s="974" t="s">
        <v>1517</v>
      </c>
      <c r="C645" s="1046" t="s">
        <v>1561</v>
      </c>
      <c r="D645" s="1046" t="s">
        <v>1514</v>
      </c>
      <c r="E645" s="1042" t="s">
        <v>1387</v>
      </c>
    </row>
    <row r="646" spans="1:5" x14ac:dyDescent="0.25">
      <c r="A646" s="974">
        <v>645</v>
      </c>
      <c r="B646" s="974" t="s">
        <v>1517</v>
      </c>
      <c r="C646" s="1046" t="s">
        <v>1561</v>
      </c>
      <c r="D646" s="1046" t="s">
        <v>1514</v>
      </c>
      <c r="E646" s="1042" t="s">
        <v>1388</v>
      </c>
    </row>
    <row r="647" spans="1:5" x14ac:dyDescent="0.25">
      <c r="A647" s="974">
        <v>646</v>
      </c>
      <c r="B647" s="974" t="s">
        <v>1517</v>
      </c>
      <c r="C647" s="1046" t="s">
        <v>1561</v>
      </c>
      <c r="D647" s="1046" t="s">
        <v>1514</v>
      </c>
      <c r="E647" s="1042" t="s">
        <v>1389</v>
      </c>
    </row>
    <row r="648" spans="1:5" x14ac:dyDescent="0.25">
      <c r="A648" s="974">
        <v>647</v>
      </c>
      <c r="B648" s="974" t="s">
        <v>1517</v>
      </c>
      <c r="C648" s="1046" t="s">
        <v>1562</v>
      </c>
      <c r="D648" s="1046" t="s">
        <v>1514</v>
      </c>
      <c r="E648" s="1042" t="s">
        <v>1387</v>
      </c>
    </row>
    <row r="649" spans="1:5" x14ac:dyDescent="0.25">
      <c r="A649" s="974">
        <v>648</v>
      </c>
      <c r="B649" s="974" t="s">
        <v>1517</v>
      </c>
      <c r="C649" s="1046" t="s">
        <v>1562</v>
      </c>
      <c r="D649" s="1046" t="s">
        <v>1514</v>
      </c>
      <c r="E649" s="1042" t="s">
        <v>1388</v>
      </c>
    </row>
    <row r="650" spans="1:5" x14ac:dyDescent="0.25">
      <c r="A650" s="974">
        <v>649</v>
      </c>
      <c r="B650" s="974" t="s">
        <v>1517</v>
      </c>
      <c r="C650" s="1046" t="s">
        <v>1562</v>
      </c>
      <c r="D650" s="1046" t="s">
        <v>1514</v>
      </c>
      <c r="E650" s="1042" t="s">
        <v>1389</v>
      </c>
    </row>
    <row r="651" spans="1:5" x14ac:dyDescent="0.25">
      <c r="A651" s="974">
        <v>650</v>
      </c>
      <c r="B651" s="974" t="s">
        <v>1517</v>
      </c>
      <c r="C651" s="1046" t="s">
        <v>1557</v>
      </c>
      <c r="D651" s="1046" t="s">
        <v>1509</v>
      </c>
      <c r="E651" s="1042" t="s">
        <v>1509</v>
      </c>
    </row>
    <row r="652" spans="1:5" x14ac:dyDescent="0.25">
      <c r="A652" s="974">
        <v>651</v>
      </c>
      <c r="B652" s="974" t="s">
        <v>1517</v>
      </c>
      <c r="C652" s="1046" t="s">
        <v>1563</v>
      </c>
      <c r="D652" s="1046" t="s">
        <v>1523</v>
      </c>
      <c r="E652" s="1042" t="s">
        <v>1492</v>
      </c>
    </row>
    <row r="653" spans="1:5" x14ac:dyDescent="0.25">
      <c r="A653" s="974">
        <v>652</v>
      </c>
      <c r="B653" s="974" t="s">
        <v>1517</v>
      </c>
      <c r="C653" s="1046" t="s">
        <v>1563</v>
      </c>
      <c r="D653" s="1046" t="s">
        <v>1411</v>
      </c>
      <c r="E653" s="1042" t="s">
        <v>1706</v>
      </c>
    </row>
    <row r="654" spans="1:5" x14ac:dyDescent="0.25">
      <c r="A654" s="974">
        <v>653</v>
      </c>
      <c r="B654" s="974" t="s">
        <v>1517</v>
      </c>
      <c r="C654" s="1046" t="s">
        <v>1563</v>
      </c>
      <c r="D654" s="1046" t="s">
        <v>1523</v>
      </c>
      <c r="E654" s="1042" t="s">
        <v>1383</v>
      </c>
    </row>
    <row r="655" spans="1:5" x14ac:dyDescent="0.25">
      <c r="A655" s="974">
        <v>654</v>
      </c>
      <c r="B655" s="974" t="s">
        <v>1517</v>
      </c>
      <c r="C655" s="1046" t="s">
        <v>1563</v>
      </c>
      <c r="D655" s="1046" t="s">
        <v>1523</v>
      </c>
      <c r="E655" s="1042" t="s">
        <v>1380</v>
      </c>
    </row>
    <row r="656" spans="1:5" x14ac:dyDescent="0.25">
      <c r="A656" s="974">
        <v>655</v>
      </c>
      <c r="B656" s="974" t="s">
        <v>1517</v>
      </c>
      <c r="C656" s="1046" t="s">
        <v>1563</v>
      </c>
      <c r="D656" s="1046" t="s">
        <v>1523</v>
      </c>
      <c r="E656" s="1042" t="s">
        <v>1381</v>
      </c>
    </row>
    <row r="657" spans="1:5" x14ac:dyDescent="0.25">
      <c r="A657" s="974">
        <v>656</v>
      </c>
      <c r="B657" s="974" t="s">
        <v>1517</v>
      </c>
      <c r="C657" s="1046" t="s">
        <v>1563</v>
      </c>
      <c r="D657" s="1046" t="s">
        <v>1523</v>
      </c>
      <c r="E657" s="1042" t="s">
        <v>1397</v>
      </c>
    </row>
    <row r="658" spans="1:5" x14ac:dyDescent="0.25">
      <c r="A658" s="974">
        <v>657</v>
      </c>
      <c r="B658" s="974" t="s">
        <v>1517</v>
      </c>
      <c r="C658" s="1046" t="s">
        <v>1563</v>
      </c>
      <c r="D658" s="1046" t="s">
        <v>1523</v>
      </c>
      <c r="E658" s="1042" t="s">
        <v>1382</v>
      </c>
    </row>
    <row r="659" spans="1:5" x14ac:dyDescent="0.25">
      <c r="A659" s="974">
        <v>658</v>
      </c>
      <c r="B659" s="974" t="s">
        <v>1517</v>
      </c>
      <c r="C659" s="1046" t="s">
        <v>1563</v>
      </c>
      <c r="D659" s="1046" t="s">
        <v>1523</v>
      </c>
      <c r="E659" s="1042" t="s">
        <v>1487</v>
      </c>
    </row>
    <row r="660" spans="1:5" x14ac:dyDescent="0.25">
      <c r="A660" s="974">
        <v>659</v>
      </c>
      <c r="B660" s="974" t="s">
        <v>1517</v>
      </c>
      <c r="C660" s="1046" t="s">
        <v>1563</v>
      </c>
      <c r="D660" s="1046" t="s">
        <v>1523</v>
      </c>
      <c r="E660" s="1042" t="s">
        <v>1488</v>
      </c>
    </row>
    <row r="661" spans="1:5" x14ac:dyDescent="0.25">
      <c r="A661" s="974">
        <v>660</v>
      </c>
      <c r="B661" s="974" t="s">
        <v>1517</v>
      </c>
      <c r="C661" s="1046" t="s">
        <v>1563</v>
      </c>
      <c r="D661" s="1046" t="s">
        <v>1411</v>
      </c>
      <c r="E661" s="1042" t="s">
        <v>1489</v>
      </c>
    </row>
    <row r="662" spans="1:5" ht="30" x14ac:dyDescent="0.25">
      <c r="A662" s="974">
        <v>661</v>
      </c>
      <c r="B662" s="974" t="s">
        <v>1517</v>
      </c>
      <c r="C662" s="1046" t="s">
        <v>1563</v>
      </c>
      <c r="D662" s="1046" t="s">
        <v>1545</v>
      </c>
      <c r="E662" s="1042" t="s">
        <v>1385</v>
      </c>
    </row>
    <row r="663" spans="1:5" ht="30" x14ac:dyDescent="0.25">
      <c r="A663" s="974">
        <v>662</v>
      </c>
      <c r="B663" s="974" t="s">
        <v>1517</v>
      </c>
      <c r="C663" s="1046" t="s">
        <v>1563</v>
      </c>
      <c r="D663" s="1046" t="s">
        <v>1545</v>
      </c>
      <c r="E663" s="1042" t="s">
        <v>1386</v>
      </c>
    </row>
    <row r="664" spans="1:5" ht="30" x14ac:dyDescent="0.25">
      <c r="A664" s="974">
        <v>663</v>
      </c>
      <c r="B664" s="974" t="s">
        <v>1517</v>
      </c>
      <c r="C664" s="1046" t="s">
        <v>1563</v>
      </c>
      <c r="D664" s="1046" t="s">
        <v>1545</v>
      </c>
      <c r="E664" s="1042" t="s">
        <v>1496</v>
      </c>
    </row>
    <row r="665" spans="1:5" x14ac:dyDescent="0.25">
      <c r="A665" s="974">
        <v>664</v>
      </c>
      <c r="B665" s="974" t="s">
        <v>1517</v>
      </c>
      <c r="C665" s="1046" t="s">
        <v>1563</v>
      </c>
      <c r="D665" s="1046" t="s">
        <v>1411</v>
      </c>
      <c r="E665" s="1042" t="s">
        <v>1493</v>
      </c>
    </row>
    <row r="666" spans="1:5" x14ac:dyDescent="0.25">
      <c r="A666" s="974">
        <v>665</v>
      </c>
      <c r="B666" s="974" t="s">
        <v>1517</v>
      </c>
      <c r="C666" s="1046" t="s">
        <v>1563</v>
      </c>
      <c r="D666" s="1046" t="s">
        <v>1523</v>
      </c>
      <c r="E666" s="1042" t="s">
        <v>1507</v>
      </c>
    </row>
    <row r="667" spans="1:5" x14ac:dyDescent="0.25">
      <c r="A667" s="974">
        <v>666</v>
      </c>
      <c r="B667" s="974" t="s">
        <v>1517</v>
      </c>
      <c r="C667" s="1046" t="s">
        <v>1564</v>
      </c>
      <c r="D667" s="1046" t="s">
        <v>1523</v>
      </c>
      <c r="E667" s="1042" t="s">
        <v>1387</v>
      </c>
    </row>
    <row r="668" spans="1:5" x14ac:dyDescent="0.25">
      <c r="A668" s="974">
        <v>667</v>
      </c>
      <c r="B668" s="974" t="s">
        <v>1517</v>
      </c>
      <c r="C668" s="1046" t="s">
        <v>1564</v>
      </c>
      <c r="D668" s="1046" t="s">
        <v>1523</v>
      </c>
      <c r="E668" s="1042" t="s">
        <v>1388</v>
      </c>
    </row>
    <row r="669" spans="1:5" x14ac:dyDescent="0.25">
      <c r="A669" s="974">
        <v>668</v>
      </c>
      <c r="B669" s="974" t="s">
        <v>1517</v>
      </c>
      <c r="C669" s="1046" t="s">
        <v>1564</v>
      </c>
      <c r="D669" s="1046" t="s">
        <v>1523</v>
      </c>
      <c r="E669" s="1042" t="s">
        <v>1389</v>
      </c>
    </row>
    <row r="670" spans="1:5" x14ac:dyDescent="0.25">
      <c r="A670" s="974">
        <v>669</v>
      </c>
      <c r="B670" s="974" t="s">
        <v>1517</v>
      </c>
      <c r="C670" s="1046" t="s">
        <v>1565</v>
      </c>
      <c r="D670" s="1046" t="s">
        <v>1523</v>
      </c>
      <c r="E670" s="1042" t="s">
        <v>1492</v>
      </c>
    </row>
    <row r="671" spans="1:5" x14ac:dyDescent="0.25">
      <c r="A671" s="974">
        <v>670</v>
      </c>
      <c r="B671" s="974" t="s">
        <v>1517</v>
      </c>
      <c r="C671" s="1046" t="s">
        <v>1565</v>
      </c>
      <c r="D671" s="1046" t="s">
        <v>1411</v>
      </c>
      <c r="E671" s="1042" t="s">
        <v>1706</v>
      </c>
    </row>
    <row r="672" spans="1:5" x14ac:dyDescent="0.25">
      <c r="A672" s="974">
        <v>671</v>
      </c>
      <c r="B672" s="974" t="s">
        <v>1517</v>
      </c>
      <c r="C672" s="1046" t="s">
        <v>1565</v>
      </c>
      <c r="D672" s="1046" t="s">
        <v>1523</v>
      </c>
      <c r="E672" s="1042" t="s">
        <v>1383</v>
      </c>
    </row>
    <row r="673" spans="1:5" x14ac:dyDescent="0.25">
      <c r="A673" s="974">
        <v>672</v>
      </c>
      <c r="B673" s="974" t="s">
        <v>1517</v>
      </c>
      <c r="C673" s="1046" t="s">
        <v>1565</v>
      </c>
      <c r="D673" s="1046" t="s">
        <v>1523</v>
      </c>
      <c r="E673" s="1042" t="s">
        <v>1380</v>
      </c>
    </row>
    <row r="674" spans="1:5" x14ac:dyDescent="0.25">
      <c r="A674" s="974">
        <v>673</v>
      </c>
      <c r="B674" s="974" t="s">
        <v>1517</v>
      </c>
      <c r="C674" s="1046" t="s">
        <v>1565</v>
      </c>
      <c r="D674" s="1046" t="s">
        <v>1523</v>
      </c>
      <c r="E674" s="1042" t="s">
        <v>1381</v>
      </c>
    </row>
    <row r="675" spans="1:5" x14ac:dyDescent="0.25">
      <c r="A675" s="974">
        <v>674</v>
      </c>
      <c r="B675" s="974" t="s">
        <v>1517</v>
      </c>
      <c r="C675" s="1046" t="s">
        <v>1565</v>
      </c>
      <c r="D675" s="1046" t="s">
        <v>1523</v>
      </c>
      <c r="E675" s="1042" t="s">
        <v>1397</v>
      </c>
    </row>
    <row r="676" spans="1:5" x14ac:dyDescent="0.25">
      <c r="A676" s="974">
        <v>675</v>
      </c>
      <c r="B676" s="974" t="s">
        <v>1517</v>
      </c>
      <c r="C676" s="1046" t="s">
        <v>1565</v>
      </c>
      <c r="D676" s="1046" t="s">
        <v>1523</v>
      </c>
      <c r="E676" s="1042" t="s">
        <v>1382</v>
      </c>
    </row>
    <row r="677" spans="1:5" x14ac:dyDescent="0.25">
      <c r="A677" s="974">
        <v>676</v>
      </c>
      <c r="B677" s="974" t="s">
        <v>1517</v>
      </c>
      <c r="C677" s="1046" t="s">
        <v>1565</v>
      </c>
      <c r="D677" s="1046" t="s">
        <v>1523</v>
      </c>
      <c r="E677" s="1042" t="s">
        <v>1487</v>
      </c>
    </row>
    <row r="678" spans="1:5" x14ac:dyDescent="0.25">
      <c r="A678" s="974">
        <v>677</v>
      </c>
      <c r="B678" s="974" t="s">
        <v>1517</v>
      </c>
      <c r="C678" s="1046" t="s">
        <v>1565</v>
      </c>
      <c r="D678" s="1046" t="s">
        <v>1523</v>
      </c>
      <c r="E678" s="1042" t="s">
        <v>1488</v>
      </c>
    </row>
    <row r="679" spans="1:5" x14ac:dyDescent="0.25">
      <c r="A679" s="974">
        <v>678</v>
      </c>
      <c r="B679" s="974" t="s">
        <v>1517</v>
      </c>
      <c r="C679" s="1046" t="s">
        <v>1565</v>
      </c>
      <c r="D679" s="1046" t="s">
        <v>1411</v>
      </c>
      <c r="E679" s="1042" t="s">
        <v>1489</v>
      </c>
    </row>
    <row r="680" spans="1:5" ht="30" x14ac:dyDescent="0.25">
      <c r="A680" s="974">
        <v>679</v>
      </c>
      <c r="B680" s="974" t="s">
        <v>1517</v>
      </c>
      <c r="C680" s="1046" t="s">
        <v>1565</v>
      </c>
      <c r="D680" s="1046" t="s">
        <v>1545</v>
      </c>
      <c r="E680" s="1042" t="s">
        <v>1385</v>
      </c>
    </row>
    <row r="681" spans="1:5" ht="30" x14ac:dyDescent="0.25">
      <c r="A681" s="974">
        <v>680</v>
      </c>
      <c r="B681" s="974" t="s">
        <v>1517</v>
      </c>
      <c r="C681" s="1046" t="s">
        <v>1565</v>
      </c>
      <c r="D681" s="1046" t="s">
        <v>1545</v>
      </c>
      <c r="E681" s="1042" t="s">
        <v>1386</v>
      </c>
    </row>
    <row r="682" spans="1:5" ht="30" x14ac:dyDescent="0.25">
      <c r="A682" s="974">
        <v>681</v>
      </c>
      <c r="B682" s="974" t="s">
        <v>1517</v>
      </c>
      <c r="C682" s="1046" t="s">
        <v>1565</v>
      </c>
      <c r="D682" s="1046" t="s">
        <v>1545</v>
      </c>
      <c r="E682" s="1042" t="s">
        <v>1496</v>
      </c>
    </row>
    <row r="683" spans="1:5" x14ac:dyDescent="0.25">
      <c r="A683" s="974">
        <v>682</v>
      </c>
      <c r="B683" s="974" t="s">
        <v>1517</v>
      </c>
      <c r="C683" s="1046" t="s">
        <v>1565</v>
      </c>
      <c r="D683" s="1046" t="s">
        <v>1411</v>
      </c>
      <c r="E683" s="1042" t="s">
        <v>1493</v>
      </c>
    </row>
    <row r="684" spans="1:5" x14ac:dyDescent="0.25">
      <c r="A684" s="974">
        <v>683</v>
      </c>
      <c r="B684" s="974" t="s">
        <v>1517</v>
      </c>
      <c r="C684" s="1046" t="s">
        <v>1565</v>
      </c>
      <c r="D684" s="1046" t="s">
        <v>1523</v>
      </c>
      <c r="E684" s="1042" t="s">
        <v>1507</v>
      </c>
    </row>
    <row r="685" spans="1:5" x14ac:dyDescent="0.25">
      <c r="A685" s="974">
        <v>684</v>
      </c>
      <c r="B685" s="974" t="s">
        <v>1517</v>
      </c>
      <c r="C685" s="1046" t="s">
        <v>1566</v>
      </c>
      <c r="D685" s="1046" t="s">
        <v>1523</v>
      </c>
      <c r="E685" s="1042" t="s">
        <v>1387</v>
      </c>
    </row>
    <row r="686" spans="1:5" x14ac:dyDescent="0.25">
      <c r="A686" s="974">
        <v>685</v>
      </c>
      <c r="B686" s="974" t="s">
        <v>1517</v>
      </c>
      <c r="C686" s="1046" t="s">
        <v>1566</v>
      </c>
      <c r="D686" s="1046" t="s">
        <v>1523</v>
      </c>
      <c r="E686" s="1042" t="s">
        <v>1388</v>
      </c>
    </row>
    <row r="687" spans="1:5" x14ac:dyDescent="0.25">
      <c r="A687" s="974">
        <v>686</v>
      </c>
      <c r="B687" s="974" t="s">
        <v>1517</v>
      </c>
      <c r="C687" s="1046" t="s">
        <v>1566</v>
      </c>
      <c r="D687" s="1046" t="s">
        <v>1523</v>
      </c>
      <c r="E687" s="1042" t="s">
        <v>1389</v>
      </c>
    </row>
    <row r="688" spans="1:5" x14ac:dyDescent="0.25">
      <c r="A688" s="974">
        <v>687</v>
      </c>
      <c r="B688" s="974" t="s">
        <v>1517</v>
      </c>
      <c r="C688" s="1046" t="s">
        <v>1567</v>
      </c>
      <c r="D688" s="1046" t="s">
        <v>1524</v>
      </c>
      <c r="E688" s="1042" t="s">
        <v>1492</v>
      </c>
    </row>
    <row r="689" spans="1:5" x14ac:dyDescent="0.25">
      <c r="A689" s="974">
        <v>688</v>
      </c>
      <c r="B689" s="974" t="s">
        <v>1517</v>
      </c>
      <c r="C689" s="1046" t="s">
        <v>1567</v>
      </c>
      <c r="D689" s="1046" t="s">
        <v>1411</v>
      </c>
      <c r="E689" s="1042" t="s">
        <v>1706</v>
      </c>
    </row>
    <row r="690" spans="1:5" x14ac:dyDescent="0.25">
      <c r="A690" s="974">
        <v>689</v>
      </c>
      <c r="B690" s="974" t="s">
        <v>1517</v>
      </c>
      <c r="C690" s="1046" t="s">
        <v>1567</v>
      </c>
      <c r="D690" s="1046" t="s">
        <v>1524</v>
      </c>
      <c r="E690" s="1042" t="s">
        <v>1383</v>
      </c>
    </row>
    <row r="691" spans="1:5" x14ac:dyDescent="0.25">
      <c r="A691" s="974">
        <v>690</v>
      </c>
      <c r="B691" s="974" t="s">
        <v>1517</v>
      </c>
      <c r="C691" s="1046" t="s">
        <v>1567</v>
      </c>
      <c r="D691" s="1046" t="s">
        <v>1524</v>
      </c>
      <c r="E691" s="1042" t="s">
        <v>1380</v>
      </c>
    </row>
    <row r="692" spans="1:5" x14ac:dyDescent="0.25">
      <c r="A692" s="974">
        <v>691</v>
      </c>
      <c r="B692" s="974" t="s">
        <v>1517</v>
      </c>
      <c r="C692" s="1046" t="s">
        <v>1567</v>
      </c>
      <c r="D692" s="1046" t="s">
        <v>1524</v>
      </c>
      <c r="E692" s="1042" t="s">
        <v>1381</v>
      </c>
    </row>
    <row r="693" spans="1:5" x14ac:dyDescent="0.25">
      <c r="A693" s="974">
        <v>692</v>
      </c>
      <c r="B693" s="974" t="s">
        <v>1517</v>
      </c>
      <c r="C693" s="1046" t="s">
        <v>1567</v>
      </c>
      <c r="D693" s="1046" t="s">
        <v>1524</v>
      </c>
      <c r="E693" s="1042" t="s">
        <v>1397</v>
      </c>
    </row>
    <row r="694" spans="1:5" x14ac:dyDescent="0.25">
      <c r="A694" s="974">
        <v>693</v>
      </c>
      <c r="B694" s="974" t="s">
        <v>1517</v>
      </c>
      <c r="C694" s="1046" t="s">
        <v>1567</v>
      </c>
      <c r="D694" s="1046" t="s">
        <v>1524</v>
      </c>
      <c r="E694" s="1042" t="s">
        <v>1382</v>
      </c>
    </row>
    <row r="695" spans="1:5" x14ac:dyDescent="0.25">
      <c r="A695" s="974">
        <v>694</v>
      </c>
      <c r="B695" s="974" t="s">
        <v>1517</v>
      </c>
      <c r="C695" s="1046" t="s">
        <v>1567</v>
      </c>
      <c r="D695" s="1046" t="s">
        <v>1524</v>
      </c>
      <c r="E695" s="1042" t="s">
        <v>1487</v>
      </c>
    </row>
    <row r="696" spans="1:5" x14ac:dyDescent="0.25">
      <c r="A696" s="974">
        <v>695</v>
      </c>
      <c r="B696" s="974" t="s">
        <v>1517</v>
      </c>
      <c r="C696" s="1046" t="s">
        <v>1567</v>
      </c>
      <c r="D696" s="1046" t="s">
        <v>1524</v>
      </c>
      <c r="E696" s="1042" t="s">
        <v>1488</v>
      </c>
    </row>
    <row r="697" spans="1:5" x14ac:dyDescent="0.25">
      <c r="A697" s="974">
        <v>696</v>
      </c>
      <c r="B697" s="974" t="s">
        <v>1517</v>
      </c>
      <c r="C697" s="1046" t="s">
        <v>1567</v>
      </c>
      <c r="D697" s="1046" t="s">
        <v>1411</v>
      </c>
      <c r="E697" s="1042" t="s">
        <v>1489</v>
      </c>
    </row>
    <row r="698" spans="1:5" ht="30" x14ac:dyDescent="0.25">
      <c r="A698" s="974">
        <v>697</v>
      </c>
      <c r="B698" s="974" t="s">
        <v>1517</v>
      </c>
      <c r="C698" s="1046" t="s">
        <v>1567</v>
      </c>
      <c r="D698" s="1046" t="s">
        <v>1545</v>
      </c>
      <c r="E698" s="1042" t="s">
        <v>1385</v>
      </c>
    </row>
    <row r="699" spans="1:5" ht="30" x14ac:dyDescent="0.25">
      <c r="A699" s="974">
        <v>698</v>
      </c>
      <c r="B699" s="974" t="s">
        <v>1517</v>
      </c>
      <c r="C699" s="1046" t="s">
        <v>1567</v>
      </c>
      <c r="D699" s="1046" t="s">
        <v>1545</v>
      </c>
      <c r="E699" s="1042" t="s">
        <v>1386</v>
      </c>
    </row>
    <row r="700" spans="1:5" ht="30" x14ac:dyDescent="0.25">
      <c r="A700" s="974">
        <v>699</v>
      </c>
      <c r="B700" s="974" t="s">
        <v>1517</v>
      </c>
      <c r="C700" s="1046" t="s">
        <v>1567</v>
      </c>
      <c r="D700" s="1046" t="s">
        <v>1545</v>
      </c>
      <c r="E700" s="1042" t="s">
        <v>1496</v>
      </c>
    </row>
    <row r="701" spans="1:5" x14ac:dyDescent="0.25">
      <c r="A701" s="974">
        <v>700</v>
      </c>
      <c r="B701" s="974" t="s">
        <v>1517</v>
      </c>
      <c r="C701" s="1046" t="s">
        <v>1567</v>
      </c>
      <c r="D701" s="1046" t="s">
        <v>1411</v>
      </c>
      <c r="E701" s="1042" t="s">
        <v>1493</v>
      </c>
    </row>
    <row r="702" spans="1:5" x14ac:dyDescent="0.25">
      <c r="A702" s="974">
        <v>701</v>
      </c>
      <c r="B702" s="974" t="s">
        <v>1517</v>
      </c>
      <c r="C702" s="1046" t="s">
        <v>1567</v>
      </c>
      <c r="D702" s="1046" t="s">
        <v>1524</v>
      </c>
      <c r="E702" s="1042" t="s">
        <v>1507</v>
      </c>
    </row>
    <row r="703" spans="1:5" x14ac:dyDescent="0.25">
      <c r="A703" s="974">
        <v>702</v>
      </c>
      <c r="B703" s="974" t="s">
        <v>1517</v>
      </c>
      <c r="C703" s="1046" t="s">
        <v>1568</v>
      </c>
      <c r="D703" s="1046" t="s">
        <v>1524</v>
      </c>
      <c r="E703" s="1042" t="s">
        <v>1387</v>
      </c>
    </row>
    <row r="704" spans="1:5" x14ac:dyDescent="0.25">
      <c r="A704" s="974">
        <v>703</v>
      </c>
      <c r="B704" s="974" t="s">
        <v>1517</v>
      </c>
      <c r="C704" s="1046" t="s">
        <v>1568</v>
      </c>
      <c r="D704" s="1046" t="s">
        <v>1524</v>
      </c>
      <c r="E704" s="1042" t="s">
        <v>1388</v>
      </c>
    </row>
    <row r="705" spans="1:5" x14ac:dyDescent="0.25">
      <c r="A705" s="974">
        <v>704</v>
      </c>
      <c r="B705" s="974" t="s">
        <v>1517</v>
      </c>
      <c r="C705" s="1046" t="s">
        <v>1568</v>
      </c>
      <c r="D705" s="1046" t="s">
        <v>1524</v>
      </c>
      <c r="E705" s="1042" t="s">
        <v>1389</v>
      </c>
    </row>
    <row r="706" spans="1:5" x14ac:dyDescent="0.25">
      <c r="A706" s="974">
        <v>705</v>
      </c>
      <c r="B706" s="974" t="s">
        <v>1517</v>
      </c>
      <c r="C706" s="1046" t="s">
        <v>1569</v>
      </c>
      <c r="D706" s="1046" t="s">
        <v>1524</v>
      </c>
      <c r="E706" s="1042" t="s">
        <v>1387</v>
      </c>
    </row>
    <row r="707" spans="1:5" x14ac:dyDescent="0.25">
      <c r="A707" s="974">
        <v>706</v>
      </c>
      <c r="B707" s="974" t="s">
        <v>1517</v>
      </c>
      <c r="C707" s="1046" t="s">
        <v>1569</v>
      </c>
      <c r="D707" s="1046" t="s">
        <v>1524</v>
      </c>
      <c r="E707" s="1042" t="s">
        <v>1388</v>
      </c>
    </row>
    <row r="708" spans="1:5" x14ac:dyDescent="0.25">
      <c r="A708" s="974">
        <v>707</v>
      </c>
      <c r="B708" s="974" t="s">
        <v>1517</v>
      </c>
      <c r="C708" s="1046" t="s">
        <v>1569</v>
      </c>
      <c r="D708" s="1046" t="s">
        <v>1524</v>
      </c>
      <c r="E708" s="1042" t="s">
        <v>1389</v>
      </c>
    </row>
    <row r="709" spans="1:5" x14ac:dyDescent="0.25">
      <c r="A709" s="974">
        <v>708</v>
      </c>
      <c r="B709" s="974" t="s">
        <v>1517</v>
      </c>
      <c r="C709" s="1046" t="s">
        <v>1570</v>
      </c>
      <c r="D709" s="1046" t="s">
        <v>1524</v>
      </c>
      <c r="E709" s="1042" t="s">
        <v>1387</v>
      </c>
    </row>
    <row r="710" spans="1:5" x14ac:dyDescent="0.25">
      <c r="A710" s="974">
        <v>709</v>
      </c>
      <c r="B710" s="974" t="s">
        <v>1517</v>
      </c>
      <c r="C710" s="1046" t="s">
        <v>1570</v>
      </c>
      <c r="D710" s="1046" t="s">
        <v>1524</v>
      </c>
      <c r="E710" s="1042" t="s">
        <v>1388</v>
      </c>
    </row>
    <row r="711" spans="1:5" x14ac:dyDescent="0.25">
      <c r="A711" s="974">
        <v>710</v>
      </c>
      <c r="B711" s="974" t="s">
        <v>1517</v>
      </c>
      <c r="C711" s="1046" t="s">
        <v>1570</v>
      </c>
      <c r="D711" s="1046" t="s">
        <v>1524</v>
      </c>
      <c r="E711" s="1042" t="s">
        <v>1389</v>
      </c>
    </row>
    <row r="712" spans="1:5" x14ac:dyDescent="0.25">
      <c r="A712" s="974">
        <v>711</v>
      </c>
      <c r="B712" s="974" t="s">
        <v>1517</v>
      </c>
      <c r="C712" s="1046" t="s">
        <v>1571</v>
      </c>
      <c r="D712" s="1046" t="s">
        <v>1524</v>
      </c>
      <c r="E712" s="1042" t="s">
        <v>1387</v>
      </c>
    </row>
    <row r="713" spans="1:5" x14ac:dyDescent="0.25">
      <c r="A713" s="974">
        <v>712</v>
      </c>
      <c r="B713" s="974" t="s">
        <v>1517</v>
      </c>
      <c r="C713" s="1046" t="s">
        <v>1571</v>
      </c>
      <c r="D713" s="1046" t="s">
        <v>1524</v>
      </c>
      <c r="E713" s="1042" t="s">
        <v>1388</v>
      </c>
    </row>
    <row r="714" spans="1:5" x14ac:dyDescent="0.25">
      <c r="A714" s="974">
        <v>713</v>
      </c>
      <c r="B714" s="974" t="s">
        <v>1517</v>
      </c>
      <c r="C714" s="1046" t="s">
        <v>1571</v>
      </c>
      <c r="D714" s="1046" t="s">
        <v>1524</v>
      </c>
      <c r="E714" s="1042" t="s">
        <v>1389</v>
      </c>
    </row>
    <row r="715" spans="1:5" x14ac:dyDescent="0.25">
      <c r="A715" s="974">
        <v>714</v>
      </c>
      <c r="B715" s="974" t="s">
        <v>1517</v>
      </c>
      <c r="C715" s="1046" t="s">
        <v>1572</v>
      </c>
      <c r="D715" s="1046" t="s">
        <v>1524</v>
      </c>
      <c r="E715" s="1042" t="s">
        <v>1387</v>
      </c>
    </row>
    <row r="716" spans="1:5" x14ac:dyDescent="0.25">
      <c r="A716" s="974">
        <v>715</v>
      </c>
      <c r="B716" s="974" t="s">
        <v>1517</v>
      </c>
      <c r="C716" s="1046" t="s">
        <v>1572</v>
      </c>
      <c r="D716" s="1046" t="s">
        <v>1524</v>
      </c>
      <c r="E716" s="1042" t="s">
        <v>1388</v>
      </c>
    </row>
    <row r="717" spans="1:5" x14ac:dyDescent="0.25">
      <c r="A717" s="974">
        <v>716</v>
      </c>
      <c r="B717" s="974" t="s">
        <v>1517</v>
      </c>
      <c r="C717" s="1046" t="s">
        <v>1572</v>
      </c>
      <c r="D717" s="1046" t="s">
        <v>1524</v>
      </c>
      <c r="E717" s="1042" t="s">
        <v>1389</v>
      </c>
    </row>
    <row r="718" spans="1:5" x14ac:dyDescent="0.25">
      <c r="A718" s="974">
        <v>717</v>
      </c>
      <c r="B718" s="974" t="s">
        <v>1517</v>
      </c>
      <c r="C718" s="1046" t="s">
        <v>1573</v>
      </c>
      <c r="D718" s="1046" t="s">
        <v>1524</v>
      </c>
      <c r="E718" s="1042" t="s">
        <v>1492</v>
      </c>
    </row>
    <row r="719" spans="1:5" x14ac:dyDescent="0.25">
      <c r="A719" s="974">
        <v>718</v>
      </c>
      <c r="B719" s="974" t="s">
        <v>1517</v>
      </c>
      <c r="C719" s="1046" t="s">
        <v>1573</v>
      </c>
      <c r="D719" s="1046" t="s">
        <v>1411</v>
      </c>
      <c r="E719" s="1042" t="s">
        <v>1706</v>
      </c>
    </row>
    <row r="720" spans="1:5" x14ac:dyDescent="0.25">
      <c r="A720" s="974">
        <v>719</v>
      </c>
      <c r="B720" s="974" t="s">
        <v>1517</v>
      </c>
      <c r="C720" s="1046" t="s">
        <v>1573</v>
      </c>
      <c r="D720" s="1046" t="s">
        <v>1524</v>
      </c>
      <c r="E720" s="1042" t="s">
        <v>1383</v>
      </c>
    </row>
    <row r="721" spans="1:5" x14ac:dyDescent="0.25">
      <c r="A721" s="974">
        <v>720</v>
      </c>
      <c r="B721" s="974" t="s">
        <v>1517</v>
      </c>
      <c r="C721" s="1046" t="s">
        <v>1573</v>
      </c>
      <c r="D721" s="1046" t="s">
        <v>1524</v>
      </c>
      <c r="E721" s="1042" t="s">
        <v>1380</v>
      </c>
    </row>
    <row r="722" spans="1:5" x14ac:dyDescent="0.25">
      <c r="A722" s="974">
        <v>721</v>
      </c>
      <c r="B722" s="974" t="s">
        <v>1517</v>
      </c>
      <c r="C722" s="1046" t="s">
        <v>1573</v>
      </c>
      <c r="D722" s="1046" t="s">
        <v>1524</v>
      </c>
      <c r="E722" s="1042" t="s">
        <v>1381</v>
      </c>
    </row>
    <row r="723" spans="1:5" x14ac:dyDescent="0.25">
      <c r="A723" s="974">
        <v>722</v>
      </c>
      <c r="B723" s="974" t="s">
        <v>1517</v>
      </c>
      <c r="C723" s="1046" t="s">
        <v>1573</v>
      </c>
      <c r="D723" s="1046" t="s">
        <v>1524</v>
      </c>
      <c r="E723" s="1042" t="s">
        <v>1397</v>
      </c>
    </row>
    <row r="724" spans="1:5" x14ac:dyDescent="0.25">
      <c r="A724" s="974">
        <v>723</v>
      </c>
      <c r="B724" s="974" t="s">
        <v>1517</v>
      </c>
      <c r="C724" s="1046" t="s">
        <v>1573</v>
      </c>
      <c r="D724" s="1046" t="s">
        <v>1524</v>
      </c>
      <c r="E724" s="1042" t="s">
        <v>1382</v>
      </c>
    </row>
    <row r="725" spans="1:5" x14ac:dyDescent="0.25">
      <c r="A725" s="974">
        <v>724</v>
      </c>
      <c r="B725" s="974" t="s">
        <v>1517</v>
      </c>
      <c r="C725" s="1046" t="s">
        <v>1573</v>
      </c>
      <c r="D725" s="1046" t="s">
        <v>1524</v>
      </c>
      <c r="E725" s="1042" t="s">
        <v>1487</v>
      </c>
    </row>
    <row r="726" spans="1:5" x14ac:dyDescent="0.25">
      <c r="A726" s="974">
        <v>725</v>
      </c>
      <c r="B726" s="974" t="s">
        <v>1517</v>
      </c>
      <c r="C726" s="1046" t="s">
        <v>1573</v>
      </c>
      <c r="D726" s="1046" t="s">
        <v>1524</v>
      </c>
      <c r="E726" s="1042" t="s">
        <v>1488</v>
      </c>
    </row>
    <row r="727" spans="1:5" x14ac:dyDescent="0.25">
      <c r="A727" s="974">
        <v>726</v>
      </c>
      <c r="B727" s="974" t="s">
        <v>1517</v>
      </c>
      <c r="C727" s="1046" t="s">
        <v>1573</v>
      </c>
      <c r="D727" s="1046" t="s">
        <v>1411</v>
      </c>
      <c r="E727" s="1042" t="s">
        <v>1489</v>
      </c>
    </row>
    <row r="728" spans="1:5" ht="30" x14ac:dyDescent="0.25">
      <c r="A728" s="974">
        <v>727</v>
      </c>
      <c r="B728" s="974" t="s">
        <v>1517</v>
      </c>
      <c r="C728" s="1046" t="s">
        <v>1573</v>
      </c>
      <c r="D728" s="1046" t="s">
        <v>1545</v>
      </c>
      <c r="E728" s="1042" t="s">
        <v>1385</v>
      </c>
    </row>
    <row r="729" spans="1:5" ht="30" x14ac:dyDescent="0.25">
      <c r="A729" s="974">
        <v>728</v>
      </c>
      <c r="B729" s="974" t="s">
        <v>1517</v>
      </c>
      <c r="C729" s="1046" t="s">
        <v>1573</v>
      </c>
      <c r="D729" s="1046" t="s">
        <v>1545</v>
      </c>
      <c r="E729" s="1042" t="s">
        <v>1386</v>
      </c>
    </row>
    <row r="730" spans="1:5" ht="30" x14ac:dyDescent="0.25">
      <c r="A730" s="974">
        <v>729</v>
      </c>
      <c r="B730" s="974" t="s">
        <v>1517</v>
      </c>
      <c r="C730" s="1046" t="s">
        <v>1573</v>
      </c>
      <c r="D730" s="1046" t="s">
        <v>1545</v>
      </c>
      <c r="E730" s="1042" t="s">
        <v>1496</v>
      </c>
    </row>
    <row r="731" spans="1:5" x14ac:dyDescent="0.25">
      <c r="A731" s="974">
        <v>730</v>
      </c>
      <c r="B731" s="974" t="s">
        <v>1517</v>
      </c>
      <c r="C731" s="1046" t="s">
        <v>1573</v>
      </c>
      <c r="D731" s="1046" t="s">
        <v>1411</v>
      </c>
      <c r="E731" s="1042" t="s">
        <v>1493</v>
      </c>
    </row>
    <row r="732" spans="1:5" x14ac:dyDescent="0.25">
      <c r="A732" s="974">
        <v>731</v>
      </c>
      <c r="B732" s="974" t="s">
        <v>1517</v>
      </c>
      <c r="C732" s="1046" t="s">
        <v>1573</v>
      </c>
      <c r="D732" s="1046" t="s">
        <v>1524</v>
      </c>
      <c r="E732" s="1042" t="s">
        <v>1507</v>
      </c>
    </row>
    <row r="733" spans="1:5" x14ac:dyDescent="0.25">
      <c r="A733" s="974">
        <v>732</v>
      </c>
      <c r="B733" s="974" t="s">
        <v>1517</v>
      </c>
      <c r="C733" s="1046" t="s">
        <v>1574</v>
      </c>
      <c r="D733" s="1046" t="s">
        <v>1524</v>
      </c>
      <c r="E733" s="1042" t="s">
        <v>1387</v>
      </c>
    </row>
    <row r="734" spans="1:5" x14ac:dyDescent="0.25">
      <c r="A734" s="974">
        <v>733</v>
      </c>
      <c r="B734" s="974" t="s">
        <v>1517</v>
      </c>
      <c r="C734" s="1046" t="s">
        <v>1574</v>
      </c>
      <c r="D734" s="1046" t="s">
        <v>1524</v>
      </c>
      <c r="E734" s="1042" t="s">
        <v>1388</v>
      </c>
    </row>
    <row r="735" spans="1:5" x14ac:dyDescent="0.25">
      <c r="A735" s="974">
        <v>734</v>
      </c>
      <c r="B735" s="974" t="s">
        <v>1517</v>
      </c>
      <c r="C735" s="1046" t="s">
        <v>1574</v>
      </c>
      <c r="D735" s="1046" t="s">
        <v>1524</v>
      </c>
      <c r="E735" s="1042" t="s">
        <v>1389</v>
      </c>
    </row>
    <row r="736" spans="1:5" x14ac:dyDescent="0.25">
      <c r="A736" s="974">
        <v>735</v>
      </c>
      <c r="B736" s="974" t="s">
        <v>1517</v>
      </c>
      <c r="C736" s="1046" t="s">
        <v>1575</v>
      </c>
      <c r="D736" s="1046" t="s">
        <v>1524</v>
      </c>
      <c r="E736" s="1042" t="s">
        <v>1387</v>
      </c>
    </row>
    <row r="737" spans="1:5" x14ac:dyDescent="0.25">
      <c r="A737" s="974">
        <v>736</v>
      </c>
      <c r="B737" s="974" t="s">
        <v>1517</v>
      </c>
      <c r="C737" s="1046" t="s">
        <v>1575</v>
      </c>
      <c r="D737" s="1046" t="s">
        <v>1524</v>
      </c>
      <c r="E737" s="1042" t="s">
        <v>1388</v>
      </c>
    </row>
    <row r="738" spans="1:5" x14ac:dyDescent="0.25">
      <c r="A738" s="974">
        <v>737</v>
      </c>
      <c r="B738" s="974" t="s">
        <v>1517</v>
      </c>
      <c r="C738" s="1046" t="s">
        <v>1575</v>
      </c>
      <c r="D738" s="1046" t="s">
        <v>1524</v>
      </c>
      <c r="E738" s="1042" t="s">
        <v>1389</v>
      </c>
    </row>
    <row r="739" spans="1:5" x14ac:dyDescent="0.25">
      <c r="A739" s="974">
        <v>738</v>
      </c>
      <c r="B739" s="974" t="s">
        <v>1517</v>
      </c>
      <c r="C739" s="1046" t="s">
        <v>1576</v>
      </c>
      <c r="D739" s="1046" t="s">
        <v>1524</v>
      </c>
      <c r="E739" s="1042" t="s">
        <v>1387</v>
      </c>
    </row>
    <row r="740" spans="1:5" x14ac:dyDescent="0.25">
      <c r="A740" s="974">
        <v>739</v>
      </c>
      <c r="B740" s="974" t="s">
        <v>1517</v>
      </c>
      <c r="C740" s="1046" t="s">
        <v>1576</v>
      </c>
      <c r="D740" s="1046" t="s">
        <v>1524</v>
      </c>
      <c r="E740" s="1042" t="s">
        <v>1388</v>
      </c>
    </row>
    <row r="741" spans="1:5" x14ac:dyDescent="0.25">
      <c r="A741" s="974">
        <v>740</v>
      </c>
      <c r="B741" s="974" t="s">
        <v>1517</v>
      </c>
      <c r="C741" s="1046" t="s">
        <v>1576</v>
      </c>
      <c r="D741" s="1046" t="s">
        <v>1524</v>
      </c>
      <c r="E741" s="1042" t="s">
        <v>1389</v>
      </c>
    </row>
    <row r="742" spans="1:5" x14ac:dyDescent="0.25">
      <c r="A742" s="974">
        <v>741</v>
      </c>
      <c r="B742" s="974" t="s">
        <v>1517</v>
      </c>
      <c r="C742" s="1046" t="s">
        <v>1577</v>
      </c>
      <c r="D742" s="1046" t="s">
        <v>1524</v>
      </c>
      <c r="E742" s="1042" t="s">
        <v>1387</v>
      </c>
    </row>
    <row r="743" spans="1:5" x14ac:dyDescent="0.25">
      <c r="A743" s="974">
        <v>742</v>
      </c>
      <c r="B743" s="974" t="s">
        <v>1517</v>
      </c>
      <c r="C743" s="1046" t="s">
        <v>1577</v>
      </c>
      <c r="D743" s="1046" t="s">
        <v>1524</v>
      </c>
      <c r="E743" s="1042" t="s">
        <v>1388</v>
      </c>
    </row>
    <row r="744" spans="1:5" x14ac:dyDescent="0.25">
      <c r="A744" s="974">
        <v>743</v>
      </c>
      <c r="B744" s="974" t="s">
        <v>1517</v>
      </c>
      <c r="C744" s="1046" t="s">
        <v>1577</v>
      </c>
      <c r="D744" s="1046" t="s">
        <v>1524</v>
      </c>
      <c r="E744" s="1042" t="s">
        <v>1389</v>
      </c>
    </row>
    <row r="745" spans="1:5" x14ac:dyDescent="0.25">
      <c r="A745" s="974">
        <v>744</v>
      </c>
      <c r="B745" s="974" t="s">
        <v>1517</v>
      </c>
      <c r="C745" s="1046" t="s">
        <v>1578</v>
      </c>
      <c r="D745" s="1046" t="s">
        <v>1524</v>
      </c>
      <c r="E745" s="1042" t="s">
        <v>1387</v>
      </c>
    </row>
    <row r="746" spans="1:5" x14ac:dyDescent="0.25">
      <c r="A746" s="974">
        <v>745</v>
      </c>
      <c r="B746" s="974" t="s">
        <v>1517</v>
      </c>
      <c r="C746" s="1046" t="s">
        <v>1578</v>
      </c>
      <c r="D746" s="1046" t="s">
        <v>1524</v>
      </c>
      <c r="E746" s="1042" t="s">
        <v>1388</v>
      </c>
    </row>
    <row r="747" spans="1:5" x14ac:dyDescent="0.25">
      <c r="A747" s="974">
        <v>746</v>
      </c>
      <c r="B747" s="974" t="s">
        <v>1517</v>
      </c>
      <c r="C747" s="1046" t="s">
        <v>1578</v>
      </c>
      <c r="D747" s="1046" t="s">
        <v>1524</v>
      </c>
      <c r="E747" s="1042" t="s">
        <v>1389</v>
      </c>
    </row>
    <row r="748" spans="1:5" x14ac:dyDescent="0.25">
      <c r="A748" s="974">
        <v>747</v>
      </c>
      <c r="B748" s="974" t="s">
        <v>1517</v>
      </c>
      <c r="C748" s="1046" t="s">
        <v>1713</v>
      </c>
      <c r="D748" s="1046" t="s">
        <v>1579</v>
      </c>
      <c r="E748" s="1042" t="s">
        <v>1492</v>
      </c>
    </row>
    <row r="749" spans="1:5" x14ac:dyDescent="0.25">
      <c r="A749" s="974">
        <v>748</v>
      </c>
      <c r="B749" s="974" t="s">
        <v>1517</v>
      </c>
      <c r="C749" s="1046" t="s">
        <v>1713</v>
      </c>
      <c r="D749" s="1046" t="s">
        <v>1411</v>
      </c>
      <c r="E749" s="1042" t="s">
        <v>1706</v>
      </c>
    </row>
    <row r="750" spans="1:5" x14ac:dyDescent="0.25">
      <c r="A750" s="974">
        <v>749</v>
      </c>
      <c r="B750" s="974" t="s">
        <v>1517</v>
      </c>
      <c r="C750" s="1046" t="s">
        <v>1713</v>
      </c>
      <c r="D750" s="1046" t="s">
        <v>1579</v>
      </c>
      <c r="E750" s="1042" t="s">
        <v>1383</v>
      </c>
    </row>
    <row r="751" spans="1:5" x14ac:dyDescent="0.25">
      <c r="A751" s="974">
        <v>750</v>
      </c>
      <c r="B751" s="974" t="s">
        <v>1517</v>
      </c>
      <c r="C751" s="1046" t="s">
        <v>1713</v>
      </c>
      <c r="D751" s="1046" t="s">
        <v>1579</v>
      </c>
      <c r="E751" s="1042" t="s">
        <v>1380</v>
      </c>
    </row>
    <row r="752" spans="1:5" x14ac:dyDescent="0.25">
      <c r="A752" s="974">
        <v>751</v>
      </c>
      <c r="B752" s="974" t="s">
        <v>1517</v>
      </c>
      <c r="C752" s="1046" t="s">
        <v>1713</v>
      </c>
      <c r="D752" s="1046" t="s">
        <v>1579</v>
      </c>
      <c r="E752" s="1042" t="s">
        <v>1381</v>
      </c>
    </row>
    <row r="753" spans="1:5" x14ac:dyDescent="0.25">
      <c r="A753" s="974">
        <v>752</v>
      </c>
      <c r="B753" s="974" t="s">
        <v>1517</v>
      </c>
      <c r="C753" s="1046" t="s">
        <v>1713</v>
      </c>
      <c r="D753" s="1046" t="s">
        <v>1579</v>
      </c>
      <c r="E753" s="1042" t="s">
        <v>1397</v>
      </c>
    </row>
    <row r="754" spans="1:5" x14ac:dyDescent="0.25">
      <c r="A754" s="974">
        <v>753</v>
      </c>
      <c r="B754" s="974" t="s">
        <v>1517</v>
      </c>
      <c r="C754" s="1046" t="s">
        <v>1713</v>
      </c>
      <c r="D754" s="1046" t="s">
        <v>1411</v>
      </c>
      <c r="E754" s="1042" t="s">
        <v>1382</v>
      </c>
    </row>
    <row r="755" spans="1:5" x14ac:dyDescent="0.25">
      <c r="A755" s="974">
        <v>754</v>
      </c>
      <c r="B755" s="974" t="s">
        <v>1517</v>
      </c>
      <c r="C755" s="1046" t="s">
        <v>1713</v>
      </c>
      <c r="D755" s="1046" t="s">
        <v>1579</v>
      </c>
      <c r="E755" s="1042" t="s">
        <v>1487</v>
      </c>
    </row>
    <row r="756" spans="1:5" x14ac:dyDescent="0.25">
      <c r="A756" s="974">
        <v>755</v>
      </c>
      <c r="B756" s="974" t="s">
        <v>1517</v>
      </c>
      <c r="C756" s="1046" t="s">
        <v>1713</v>
      </c>
      <c r="D756" s="1046" t="s">
        <v>1579</v>
      </c>
      <c r="E756" s="1042" t="s">
        <v>1488</v>
      </c>
    </row>
    <row r="757" spans="1:5" x14ac:dyDescent="0.25">
      <c r="A757" s="974">
        <v>756</v>
      </c>
      <c r="B757" s="974" t="s">
        <v>1517</v>
      </c>
      <c r="C757" s="1046" t="s">
        <v>1713</v>
      </c>
      <c r="D757" s="1046" t="s">
        <v>1411</v>
      </c>
      <c r="E757" s="1042" t="s">
        <v>1489</v>
      </c>
    </row>
    <row r="758" spans="1:5" ht="30" x14ac:dyDescent="0.25">
      <c r="A758" s="974">
        <v>757</v>
      </c>
      <c r="B758" s="974" t="s">
        <v>1517</v>
      </c>
      <c r="C758" s="1046" t="s">
        <v>1713</v>
      </c>
      <c r="D758" s="1046" t="s">
        <v>1545</v>
      </c>
      <c r="E758" s="1042" t="s">
        <v>1385</v>
      </c>
    </row>
    <row r="759" spans="1:5" ht="30" x14ac:dyDescent="0.25">
      <c r="A759" s="974">
        <v>758</v>
      </c>
      <c r="B759" s="974" t="s">
        <v>1517</v>
      </c>
      <c r="C759" s="1046" t="s">
        <v>1713</v>
      </c>
      <c r="D759" s="1046" t="s">
        <v>1545</v>
      </c>
      <c r="E759" s="1042" t="s">
        <v>1386</v>
      </c>
    </row>
    <row r="760" spans="1:5" ht="30" x14ac:dyDescent="0.25">
      <c r="A760" s="974">
        <v>759</v>
      </c>
      <c r="B760" s="974" t="s">
        <v>1517</v>
      </c>
      <c r="C760" s="1046" t="s">
        <v>1713</v>
      </c>
      <c r="D760" s="1046" t="s">
        <v>1545</v>
      </c>
      <c r="E760" s="1042" t="s">
        <v>1496</v>
      </c>
    </row>
    <row r="761" spans="1:5" x14ac:dyDescent="0.25">
      <c r="A761" s="974">
        <v>760</v>
      </c>
      <c r="B761" s="974" t="s">
        <v>1517</v>
      </c>
      <c r="C761" s="1046" t="s">
        <v>1713</v>
      </c>
      <c r="D761" s="1046" t="s">
        <v>1411</v>
      </c>
      <c r="E761" s="1042" t="s">
        <v>1493</v>
      </c>
    </row>
    <row r="762" spans="1:5" x14ac:dyDescent="0.25">
      <c r="A762" s="974">
        <v>761</v>
      </c>
      <c r="B762" s="974" t="s">
        <v>1517</v>
      </c>
      <c r="C762" s="1046" t="s">
        <v>1713</v>
      </c>
      <c r="D762" s="1046" t="s">
        <v>1579</v>
      </c>
      <c r="E762" s="1042" t="s">
        <v>1389</v>
      </c>
    </row>
    <row r="763" spans="1:5" x14ac:dyDescent="0.25">
      <c r="A763" s="974">
        <v>762</v>
      </c>
      <c r="B763" s="974" t="s">
        <v>1517</v>
      </c>
      <c r="C763" s="1046" t="s">
        <v>1714</v>
      </c>
      <c r="D763" s="1046" t="s">
        <v>1579</v>
      </c>
      <c r="E763" s="1042" t="s">
        <v>1492</v>
      </c>
    </row>
    <row r="764" spans="1:5" x14ac:dyDescent="0.25">
      <c r="A764" s="974">
        <v>763</v>
      </c>
      <c r="B764" s="974" t="s">
        <v>1517</v>
      </c>
      <c r="C764" s="1046" t="s">
        <v>1714</v>
      </c>
      <c r="D764" s="1046" t="s">
        <v>1411</v>
      </c>
      <c r="E764" s="1042" t="s">
        <v>1706</v>
      </c>
    </row>
    <row r="765" spans="1:5" x14ac:dyDescent="0.25">
      <c r="A765" s="974">
        <v>764</v>
      </c>
      <c r="B765" s="974" t="s">
        <v>1517</v>
      </c>
      <c r="C765" s="1046" t="s">
        <v>1714</v>
      </c>
      <c r="D765" s="1046" t="s">
        <v>1579</v>
      </c>
      <c r="E765" s="1042" t="s">
        <v>1383</v>
      </c>
    </row>
    <row r="766" spans="1:5" x14ac:dyDescent="0.25">
      <c r="A766" s="974">
        <v>765</v>
      </c>
      <c r="B766" s="974" t="s">
        <v>1517</v>
      </c>
      <c r="C766" s="1046" t="s">
        <v>1714</v>
      </c>
      <c r="D766" s="1046" t="s">
        <v>1579</v>
      </c>
      <c r="E766" s="1042" t="s">
        <v>1380</v>
      </c>
    </row>
    <row r="767" spans="1:5" x14ac:dyDescent="0.25">
      <c r="A767" s="974">
        <v>766</v>
      </c>
      <c r="B767" s="974" t="s">
        <v>1517</v>
      </c>
      <c r="C767" s="1046" t="s">
        <v>1714</v>
      </c>
      <c r="D767" s="1046" t="s">
        <v>1579</v>
      </c>
      <c r="E767" s="1042" t="s">
        <v>1381</v>
      </c>
    </row>
    <row r="768" spans="1:5" x14ac:dyDescent="0.25">
      <c r="A768" s="974">
        <v>767</v>
      </c>
      <c r="B768" s="974" t="s">
        <v>1517</v>
      </c>
      <c r="C768" s="1046" t="s">
        <v>1714</v>
      </c>
      <c r="D768" s="1046" t="s">
        <v>1579</v>
      </c>
      <c r="E768" s="1042" t="s">
        <v>1397</v>
      </c>
    </row>
    <row r="769" spans="1:5" x14ac:dyDescent="0.25">
      <c r="A769" s="974">
        <v>768</v>
      </c>
      <c r="B769" s="974" t="s">
        <v>1517</v>
      </c>
      <c r="C769" s="1046" t="s">
        <v>1714</v>
      </c>
      <c r="D769" s="1046" t="s">
        <v>1411</v>
      </c>
      <c r="E769" s="1042" t="s">
        <v>1382</v>
      </c>
    </row>
    <row r="770" spans="1:5" x14ac:dyDescent="0.25">
      <c r="A770" s="974">
        <v>769</v>
      </c>
      <c r="B770" s="974" t="s">
        <v>1517</v>
      </c>
      <c r="C770" s="1046" t="s">
        <v>1714</v>
      </c>
      <c r="D770" s="1046" t="s">
        <v>1579</v>
      </c>
      <c r="E770" s="1042" t="s">
        <v>1487</v>
      </c>
    </row>
    <row r="771" spans="1:5" x14ac:dyDescent="0.25">
      <c r="A771" s="974">
        <v>770</v>
      </c>
      <c r="B771" s="974" t="s">
        <v>1517</v>
      </c>
      <c r="C771" s="1046" t="s">
        <v>1714</v>
      </c>
      <c r="D771" s="1046" t="s">
        <v>1579</v>
      </c>
      <c r="E771" s="1042" t="s">
        <v>1488</v>
      </c>
    </row>
    <row r="772" spans="1:5" x14ac:dyDescent="0.25">
      <c r="A772" s="974">
        <v>771</v>
      </c>
      <c r="B772" s="974" t="s">
        <v>1517</v>
      </c>
      <c r="C772" s="1046" t="s">
        <v>1714</v>
      </c>
      <c r="D772" s="1046" t="s">
        <v>1411</v>
      </c>
      <c r="E772" s="1042" t="s">
        <v>1489</v>
      </c>
    </row>
    <row r="773" spans="1:5" ht="30" x14ac:dyDescent="0.25">
      <c r="A773" s="974">
        <v>772</v>
      </c>
      <c r="B773" s="974" t="s">
        <v>1517</v>
      </c>
      <c r="C773" s="1046" t="s">
        <v>1714</v>
      </c>
      <c r="D773" s="1046" t="s">
        <v>1545</v>
      </c>
      <c r="E773" s="1042" t="s">
        <v>1385</v>
      </c>
    </row>
    <row r="774" spans="1:5" ht="30" x14ac:dyDescent="0.25">
      <c r="A774" s="974">
        <v>773</v>
      </c>
      <c r="B774" s="974" t="s">
        <v>1517</v>
      </c>
      <c r="C774" s="1046" t="s">
        <v>1714</v>
      </c>
      <c r="D774" s="1046" t="s">
        <v>1545</v>
      </c>
      <c r="E774" s="1042" t="s">
        <v>1386</v>
      </c>
    </row>
    <row r="775" spans="1:5" ht="30" x14ac:dyDescent="0.25">
      <c r="A775" s="974">
        <v>774</v>
      </c>
      <c r="B775" s="974" t="s">
        <v>1517</v>
      </c>
      <c r="C775" s="1046" t="s">
        <v>1714</v>
      </c>
      <c r="D775" s="1046" t="s">
        <v>1545</v>
      </c>
      <c r="E775" s="1042" t="s">
        <v>1496</v>
      </c>
    </row>
    <row r="776" spans="1:5" x14ac:dyDescent="0.25">
      <c r="A776" s="974">
        <v>775</v>
      </c>
      <c r="B776" s="974" t="s">
        <v>1517</v>
      </c>
      <c r="C776" s="1046" t="s">
        <v>1714</v>
      </c>
      <c r="D776" s="1046" t="s">
        <v>1411</v>
      </c>
      <c r="E776" s="1042" t="s">
        <v>1493</v>
      </c>
    </row>
    <row r="777" spans="1:5" x14ac:dyDescent="0.25">
      <c r="A777" s="974">
        <v>776</v>
      </c>
      <c r="B777" s="974" t="s">
        <v>1517</v>
      </c>
      <c r="C777" s="1046" t="s">
        <v>1714</v>
      </c>
      <c r="D777" s="1046" t="s">
        <v>1579</v>
      </c>
      <c r="E777" s="1042" t="s">
        <v>1389</v>
      </c>
    </row>
    <row r="778" spans="1:5" x14ac:dyDescent="0.25">
      <c r="A778" s="974">
        <v>777</v>
      </c>
      <c r="B778" s="974" t="s">
        <v>1517</v>
      </c>
      <c r="C778" s="1046" t="s">
        <v>1581</v>
      </c>
      <c r="D778" s="1046" t="s">
        <v>1580</v>
      </c>
      <c r="E778" s="1042" t="s">
        <v>1492</v>
      </c>
    </row>
    <row r="779" spans="1:5" x14ac:dyDescent="0.25">
      <c r="A779" s="974">
        <v>778</v>
      </c>
      <c r="B779" s="974" t="s">
        <v>1517</v>
      </c>
      <c r="C779" s="1046" t="s">
        <v>1581</v>
      </c>
      <c r="D779" s="1046" t="s">
        <v>1411</v>
      </c>
      <c r="E779" s="1042" t="s">
        <v>1706</v>
      </c>
    </row>
    <row r="780" spans="1:5" x14ac:dyDescent="0.25">
      <c r="A780" s="974">
        <v>779</v>
      </c>
      <c r="B780" s="974" t="s">
        <v>1517</v>
      </c>
      <c r="C780" s="1046" t="s">
        <v>1581</v>
      </c>
      <c r="D780" s="1046" t="s">
        <v>1580</v>
      </c>
      <c r="E780" s="1042" t="s">
        <v>1383</v>
      </c>
    </row>
    <row r="781" spans="1:5" x14ac:dyDescent="0.25">
      <c r="A781" s="974">
        <v>780</v>
      </c>
      <c r="B781" s="974" t="s">
        <v>1517</v>
      </c>
      <c r="C781" s="1046" t="s">
        <v>1581</v>
      </c>
      <c r="D781" s="1046" t="s">
        <v>1580</v>
      </c>
      <c r="E781" s="1042" t="s">
        <v>1380</v>
      </c>
    </row>
    <row r="782" spans="1:5" x14ac:dyDescent="0.25">
      <c r="A782" s="974">
        <v>781</v>
      </c>
      <c r="B782" s="974" t="s">
        <v>1517</v>
      </c>
      <c r="C782" s="1046" t="s">
        <v>1581</v>
      </c>
      <c r="D782" s="1046" t="s">
        <v>1580</v>
      </c>
      <c r="E782" s="1042" t="s">
        <v>1381</v>
      </c>
    </row>
    <row r="783" spans="1:5" x14ac:dyDescent="0.25">
      <c r="A783" s="974">
        <v>782</v>
      </c>
      <c r="B783" s="974" t="s">
        <v>1517</v>
      </c>
      <c r="C783" s="1046" t="s">
        <v>1581</v>
      </c>
      <c r="D783" s="1046" t="s">
        <v>1580</v>
      </c>
      <c r="E783" s="1042" t="s">
        <v>1397</v>
      </c>
    </row>
    <row r="784" spans="1:5" x14ac:dyDescent="0.25">
      <c r="A784" s="974">
        <v>783</v>
      </c>
      <c r="B784" s="974" t="s">
        <v>1517</v>
      </c>
      <c r="C784" s="1046" t="s">
        <v>1581</v>
      </c>
      <c r="D784" s="1046" t="s">
        <v>1411</v>
      </c>
      <c r="E784" s="1042" t="s">
        <v>1382</v>
      </c>
    </row>
    <row r="785" spans="1:5" x14ac:dyDescent="0.25">
      <c r="A785" s="974">
        <v>784</v>
      </c>
      <c r="B785" s="974" t="s">
        <v>1517</v>
      </c>
      <c r="C785" s="1046" t="s">
        <v>1581</v>
      </c>
      <c r="D785" s="1046" t="s">
        <v>1580</v>
      </c>
      <c r="E785" s="1042" t="s">
        <v>1487</v>
      </c>
    </row>
    <row r="786" spans="1:5" x14ac:dyDescent="0.25">
      <c r="A786" s="974">
        <v>785</v>
      </c>
      <c r="B786" s="974" t="s">
        <v>1517</v>
      </c>
      <c r="C786" s="1046" t="s">
        <v>1581</v>
      </c>
      <c r="D786" s="1046" t="s">
        <v>1580</v>
      </c>
      <c r="E786" s="1042" t="s">
        <v>1488</v>
      </c>
    </row>
    <row r="787" spans="1:5" x14ac:dyDescent="0.25">
      <c r="A787" s="974">
        <v>786</v>
      </c>
      <c r="B787" s="974" t="s">
        <v>1517</v>
      </c>
      <c r="C787" s="1046" t="s">
        <v>1581</v>
      </c>
      <c r="D787" s="1046" t="s">
        <v>1411</v>
      </c>
      <c r="E787" s="1042" t="s">
        <v>1489</v>
      </c>
    </row>
    <row r="788" spans="1:5" ht="30" x14ac:dyDescent="0.25">
      <c r="A788" s="974">
        <v>787</v>
      </c>
      <c r="B788" s="974" t="s">
        <v>1517</v>
      </c>
      <c r="C788" s="1046" t="s">
        <v>1581</v>
      </c>
      <c r="D788" s="1046" t="s">
        <v>1545</v>
      </c>
      <c r="E788" s="1042" t="s">
        <v>1385</v>
      </c>
    </row>
    <row r="789" spans="1:5" ht="30" x14ac:dyDescent="0.25">
      <c r="A789" s="974">
        <v>788</v>
      </c>
      <c r="B789" s="974" t="s">
        <v>1517</v>
      </c>
      <c r="C789" s="1046" t="s">
        <v>1581</v>
      </c>
      <c r="D789" s="1046" t="s">
        <v>1545</v>
      </c>
      <c r="E789" s="1042" t="s">
        <v>1386</v>
      </c>
    </row>
    <row r="790" spans="1:5" ht="30" x14ac:dyDescent="0.25">
      <c r="A790" s="974">
        <v>789</v>
      </c>
      <c r="B790" s="974" t="s">
        <v>1517</v>
      </c>
      <c r="C790" s="1046" t="s">
        <v>1581</v>
      </c>
      <c r="D790" s="1046" t="s">
        <v>1545</v>
      </c>
      <c r="E790" s="1042" t="s">
        <v>1496</v>
      </c>
    </row>
    <row r="791" spans="1:5" x14ac:dyDescent="0.25">
      <c r="A791" s="974">
        <v>790</v>
      </c>
      <c r="B791" s="974" t="s">
        <v>1517</v>
      </c>
      <c r="C791" s="1046" t="s">
        <v>1581</v>
      </c>
      <c r="D791" s="1046" t="s">
        <v>1411</v>
      </c>
      <c r="E791" s="1042" t="s">
        <v>1493</v>
      </c>
    </row>
    <row r="792" spans="1:5" x14ac:dyDescent="0.25">
      <c r="A792" s="974">
        <v>791</v>
      </c>
      <c r="B792" s="974" t="s">
        <v>1517</v>
      </c>
      <c r="C792" s="1046" t="s">
        <v>1581</v>
      </c>
      <c r="D792" s="1046" t="s">
        <v>1580</v>
      </c>
      <c r="E792" s="1042" t="s">
        <v>1507</v>
      </c>
    </row>
    <row r="793" spans="1:5" x14ac:dyDescent="0.25">
      <c r="A793" s="974">
        <v>792</v>
      </c>
      <c r="B793" s="974" t="s">
        <v>1517</v>
      </c>
      <c r="C793" s="1046" t="s">
        <v>1582</v>
      </c>
      <c r="D793" s="1046" t="s">
        <v>1580</v>
      </c>
      <c r="E793" s="1042" t="s">
        <v>1387</v>
      </c>
    </row>
    <row r="794" spans="1:5" x14ac:dyDescent="0.25">
      <c r="A794" s="974">
        <v>793</v>
      </c>
      <c r="B794" s="974" t="s">
        <v>1517</v>
      </c>
      <c r="C794" s="1046" t="s">
        <v>1582</v>
      </c>
      <c r="D794" s="1046" t="s">
        <v>1580</v>
      </c>
      <c r="E794" s="1042" t="s">
        <v>1388</v>
      </c>
    </row>
    <row r="795" spans="1:5" x14ac:dyDescent="0.25">
      <c r="A795" s="974">
        <v>794</v>
      </c>
      <c r="B795" s="974" t="s">
        <v>1517</v>
      </c>
      <c r="C795" s="1046" t="s">
        <v>1582</v>
      </c>
      <c r="D795" s="1046" t="s">
        <v>1580</v>
      </c>
      <c r="E795" s="1042" t="s">
        <v>1104</v>
      </c>
    </row>
    <row r="796" spans="1:5" x14ac:dyDescent="0.25">
      <c r="A796" s="974">
        <v>795</v>
      </c>
      <c r="B796" s="974" t="s">
        <v>1517</v>
      </c>
      <c r="C796" s="1046" t="s">
        <v>1583</v>
      </c>
      <c r="D796" s="1046" t="s">
        <v>1580</v>
      </c>
      <c r="E796" s="1042" t="s">
        <v>1492</v>
      </c>
    </row>
    <row r="797" spans="1:5" x14ac:dyDescent="0.25">
      <c r="A797" s="974">
        <v>796</v>
      </c>
      <c r="B797" s="974" t="s">
        <v>1517</v>
      </c>
      <c r="C797" s="1046" t="s">
        <v>1583</v>
      </c>
      <c r="D797" s="1046" t="s">
        <v>1411</v>
      </c>
      <c r="E797" s="1042" t="s">
        <v>1706</v>
      </c>
    </row>
    <row r="798" spans="1:5" x14ac:dyDescent="0.25">
      <c r="A798" s="974">
        <v>797</v>
      </c>
      <c r="B798" s="974" t="s">
        <v>1517</v>
      </c>
      <c r="C798" s="1046" t="s">
        <v>1583</v>
      </c>
      <c r="D798" s="1046" t="s">
        <v>1580</v>
      </c>
      <c r="E798" s="1042" t="s">
        <v>1383</v>
      </c>
    </row>
    <row r="799" spans="1:5" x14ac:dyDescent="0.25">
      <c r="A799" s="974">
        <v>798</v>
      </c>
      <c r="B799" s="974" t="s">
        <v>1517</v>
      </c>
      <c r="C799" s="1046" t="s">
        <v>1583</v>
      </c>
      <c r="D799" s="1046" t="s">
        <v>1580</v>
      </c>
      <c r="E799" s="1042" t="s">
        <v>1380</v>
      </c>
    </row>
    <row r="800" spans="1:5" x14ac:dyDescent="0.25">
      <c r="A800" s="974">
        <v>799</v>
      </c>
      <c r="B800" s="974" t="s">
        <v>1517</v>
      </c>
      <c r="C800" s="1046" t="s">
        <v>1583</v>
      </c>
      <c r="D800" s="1046" t="s">
        <v>1580</v>
      </c>
      <c r="E800" s="1042" t="s">
        <v>1381</v>
      </c>
    </row>
    <row r="801" spans="1:5" x14ac:dyDescent="0.25">
      <c r="A801" s="974">
        <v>800</v>
      </c>
      <c r="B801" s="974" t="s">
        <v>1517</v>
      </c>
      <c r="C801" s="1046" t="s">
        <v>1583</v>
      </c>
      <c r="D801" s="1046" t="s">
        <v>1580</v>
      </c>
      <c r="E801" s="1042" t="s">
        <v>1397</v>
      </c>
    </row>
    <row r="802" spans="1:5" x14ac:dyDescent="0.25">
      <c r="A802" s="974">
        <v>801</v>
      </c>
      <c r="B802" s="974" t="s">
        <v>1517</v>
      </c>
      <c r="C802" s="1046" t="s">
        <v>1583</v>
      </c>
      <c r="D802" s="1046" t="s">
        <v>1411</v>
      </c>
      <c r="E802" s="1042" t="s">
        <v>1382</v>
      </c>
    </row>
    <row r="803" spans="1:5" x14ac:dyDescent="0.25">
      <c r="A803" s="974">
        <v>802</v>
      </c>
      <c r="B803" s="974" t="s">
        <v>1517</v>
      </c>
      <c r="C803" s="1046" t="s">
        <v>1583</v>
      </c>
      <c r="D803" s="1046" t="s">
        <v>1580</v>
      </c>
      <c r="E803" s="1042" t="s">
        <v>1487</v>
      </c>
    </row>
    <row r="804" spans="1:5" x14ac:dyDescent="0.25">
      <c r="A804" s="974">
        <v>803</v>
      </c>
      <c r="B804" s="974" t="s">
        <v>1517</v>
      </c>
      <c r="C804" s="1046" t="s">
        <v>1583</v>
      </c>
      <c r="D804" s="1046" t="s">
        <v>1580</v>
      </c>
      <c r="E804" s="1042" t="s">
        <v>1488</v>
      </c>
    </row>
    <row r="805" spans="1:5" x14ac:dyDescent="0.25">
      <c r="A805" s="974">
        <v>804</v>
      </c>
      <c r="B805" s="974" t="s">
        <v>1517</v>
      </c>
      <c r="C805" s="1046" t="s">
        <v>1583</v>
      </c>
      <c r="D805" s="1046" t="s">
        <v>1411</v>
      </c>
      <c r="E805" s="1042" t="s">
        <v>1489</v>
      </c>
    </row>
    <row r="806" spans="1:5" ht="30" x14ac:dyDescent="0.25">
      <c r="A806" s="974">
        <v>805</v>
      </c>
      <c r="B806" s="974" t="s">
        <v>1517</v>
      </c>
      <c r="C806" s="1046" t="s">
        <v>1583</v>
      </c>
      <c r="D806" s="1046" t="s">
        <v>1545</v>
      </c>
      <c r="E806" s="1042" t="s">
        <v>1385</v>
      </c>
    </row>
    <row r="807" spans="1:5" ht="30" x14ac:dyDescent="0.25">
      <c r="A807" s="974">
        <v>806</v>
      </c>
      <c r="B807" s="974" t="s">
        <v>1517</v>
      </c>
      <c r="C807" s="1046" t="s">
        <v>1583</v>
      </c>
      <c r="D807" s="1046" t="s">
        <v>1545</v>
      </c>
      <c r="E807" s="1042" t="s">
        <v>1386</v>
      </c>
    </row>
    <row r="808" spans="1:5" ht="30" x14ac:dyDescent="0.25">
      <c r="A808" s="974">
        <v>807</v>
      </c>
      <c r="B808" s="974" t="s">
        <v>1517</v>
      </c>
      <c r="C808" s="1046" t="s">
        <v>1583</v>
      </c>
      <c r="D808" s="1046" t="s">
        <v>1545</v>
      </c>
      <c r="E808" s="1042" t="s">
        <v>1496</v>
      </c>
    </row>
    <row r="809" spans="1:5" x14ac:dyDescent="0.25">
      <c r="A809" s="974">
        <v>808</v>
      </c>
      <c r="B809" s="974" t="s">
        <v>1517</v>
      </c>
      <c r="C809" s="1046" t="s">
        <v>1583</v>
      </c>
      <c r="D809" s="1046" t="s">
        <v>1411</v>
      </c>
      <c r="E809" s="1042" t="s">
        <v>1493</v>
      </c>
    </row>
    <row r="810" spans="1:5" x14ac:dyDescent="0.25">
      <c r="A810" s="974">
        <v>809</v>
      </c>
      <c r="B810" s="974" t="s">
        <v>1517</v>
      </c>
      <c r="C810" s="1046" t="s">
        <v>1583</v>
      </c>
      <c r="D810" s="1046" t="s">
        <v>1580</v>
      </c>
      <c r="E810" s="1042" t="s">
        <v>1507</v>
      </c>
    </row>
    <row r="811" spans="1:5" x14ac:dyDescent="0.25">
      <c r="A811" s="974">
        <v>810</v>
      </c>
      <c r="B811" s="974" t="s">
        <v>1517</v>
      </c>
      <c r="C811" s="1046" t="s">
        <v>1584</v>
      </c>
      <c r="D811" s="1046" t="s">
        <v>1580</v>
      </c>
      <c r="E811" s="1042" t="s">
        <v>1387</v>
      </c>
    </row>
    <row r="812" spans="1:5" x14ac:dyDescent="0.25">
      <c r="A812" s="974">
        <v>811</v>
      </c>
      <c r="B812" s="974" t="s">
        <v>1517</v>
      </c>
      <c r="C812" s="1046" t="s">
        <v>1584</v>
      </c>
      <c r="D812" s="1046" t="s">
        <v>1580</v>
      </c>
      <c r="E812" s="1042" t="s">
        <v>1388</v>
      </c>
    </row>
    <row r="813" spans="1:5" x14ac:dyDescent="0.25">
      <c r="A813" s="974">
        <v>812</v>
      </c>
      <c r="B813" s="974" t="s">
        <v>1517</v>
      </c>
      <c r="C813" s="1046" t="s">
        <v>1584</v>
      </c>
      <c r="D813" s="1046" t="s">
        <v>1580</v>
      </c>
      <c r="E813" s="1042" t="s">
        <v>1389</v>
      </c>
    </row>
    <row r="814" spans="1:5" x14ac:dyDescent="0.25">
      <c r="A814" s="974">
        <v>813</v>
      </c>
      <c r="B814" s="974" t="s">
        <v>1517</v>
      </c>
      <c r="C814" s="1046" t="s">
        <v>1585</v>
      </c>
      <c r="D814" s="1046" t="s">
        <v>1538</v>
      </c>
      <c r="E814" s="1042" t="s">
        <v>1492</v>
      </c>
    </row>
    <row r="815" spans="1:5" x14ac:dyDescent="0.25">
      <c r="A815" s="974">
        <v>814</v>
      </c>
      <c r="B815" s="974" t="s">
        <v>1517</v>
      </c>
      <c r="C815" s="1046" t="s">
        <v>1585</v>
      </c>
      <c r="D815" s="1046" t="s">
        <v>1411</v>
      </c>
      <c r="E815" s="1042" t="s">
        <v>1706</v>
      </c>
    </row>
    <row r="816" spans="1:5" x14ac:dyDescent="0.25">
      <c r="A816" s="974">
        <v>815</v>
      </c>
      <c r="B816" s="974" t="s">
        <v>1517</v>
      </c>
      <c r="C816" s="1046" t="s">
        <v>1585</v>
      </c>
      <c r="D816" s="1046" t="s">
        <v>1538</v>
      </c>
      <c r="E816" s="1042" t="s">
        <v>1383</v>
      </c>
    </row>
    <row r="817" spans="1:5" x14ac:dyDescent="0.25">
      <c r="A817" s="974">
        <v>816</v>
      </c>
      <c r="B817" s="974" t="s">
        <v>1517</v>
      </c>
      <c r="C817" s="1046" t="s">
        <v>1585</v>
      </c>
      <c r="D817" s="1046" t="s">
        <v>1538</v>
      </c>
      <c r="E817" s="1042" t="s">
        <v>1380</v>
      </c>
    </row>
    <row r="818" spans="1:5" x14ac:dyDescent="0.25">
      <c r="A818" s="974">
        <v>817</v>
      </c>
      <c r="B818" s="974" t="s">
        <v>1517</v>
      </c>
      <c r="C818" s="1046" t="s">
        <v>1585</v>
      </c>
      <c r="D818" s="1046" t="s">
        <v>1538</v>
      </c>
      <c r="E818" s="1042" t="s">
        <v>1381</v>
      </c>
    </row>
    <row r="819" spans="1:5" x14ac:dyDescent="0.25">
      <c r="A819" s="974">
        <v>818</v>
      </c>
      <c r="B819" s="974" t="s">
        <v>1517</v>
      </c>
      <c r="C819" s="1046" t="s">
        <v>1585</v>
      </c>
      <c r="D819" s="1046" t="s">
        <v>1538</v>
      </c>
      <c r="E819" s="1042" t="s">
        <v>1397</v>
      </c>
    </row>
    <row r="820" spans="1:5" x14ac:dyDescent="0.25">
      <c r="A820" s="974">
        <v>819</v>
      </c>
      <c r="B820" s="974" t="s">
        <v>1517</v>
      </c>
      <c r="C820" s="1046" t="s">
        <v>1585</v>
      </c>
      <c r="D820" s="1046" t="s">
        <v>1538</v>
      </c>
      <c r="E820" s="1042" t="s">
        <v>1382</v>
      </c>
    </row>
    <row r="821" spans="1:5" x14ac:dyDescent="0.25">
      <c r="A821" s="974">
        <v>820</v>
      </c>
      <c r="B821" s="974" t="s">
        <v>1517</v>
      </c>
      <c r="C821" s="1046" t="s">
        <v>1585</v>
      </c>
      <c r="D821" s="1046" t="s">
        <v>1538</v>
      </c>
      <c r="E821" s="1042" t="s">
        <v>1487</v>
      </c>
    </row>
    <row r="822" spans="1:5" x14ac:dyDescent="0.25">
      <c r="A822" s="974">
        <v>821</v>
      </c>
      <c r="B822" s="974" t="s">
        <v>1517</v>
      </c>
      <c r="C822" s="1046" t="s">
        <v>1585</v>
      </c>
      <c r="D822" s="1046" t="s">
        <v>1538</v>
      </c>
      <c r="E822" s="1042" t="s">
        <v>1488</v>
      </c>
    </row>
    <row r="823" spans="1:5" x14ac:dyDescent="0.25">
      <c r="A823" s="974">
        <v>822</v>
      </c>
      <c r="B823" s="974" t="s">
        <v>1517</v>
      </c>
      <c r="C823" s="1046" t="s">
        <v>1585</v>
      </c>
      <c r="D823" s="1046" t="s">
        <v>1411</v>
      </c>
      <c r="E823" s="1042" t="s">
        <v>1489</v>
      </c>
    </row>
    <row r="824" spans="1:5" ht="30" x14ac:dyDescent="0.25">
      <c r="A824" s="974">
        <v>823</v>
      </c>
      <c r="B824" s="974" t="s">
        <v>1517</v>
      </c>
      <c r="C824" s="1046" t="s">
        <v>1585</v>
      </c>
      <c r="D824" s="1046" t="s">
        <v>1545</v>
      </c>
      <c r="E824" s="1042" t="s">
        <v>1385</v>
      </c>
    </row>
    <row r="825" spans="1:5" ht="30" x14ac:dyDescent="0.25">
      <c r="A825" s="974">
        <v>824</v>
      </c>
      <c r="B825" s="974" t="s">
        <v>1517</v>
      </c>
      <c r="C825" s="1046" t="s">
        <v>1585</v>
      </c>
      <c r="D825" s="1046" t="s">
        <v>1545</v>
      </c>
      <c r="E825" s="1042" t="s">
        <v>1386</v>
      </c>
    </row>
    <row r="826" spans="1:5" ht="30" x14ac:dyDescent="0.25">
      <c r="A826" s="974">
        <v>825</v>
      </c>
      <c r="B826" s="974" t="s">
        <v>1517</v>
      </c>
      <c r="C826" s="1046" t="s">
        <v>1585</v>
      </c>
      <c r="D826" s="1046" t="s">
        <v>1545</v>
      </c>
      <c r="E826" s="1042" t="s">
        <v>1496</v>
      </c>
    </row>
    <row r="827" spans="1:5" x14ac:dyDescent="0.25">
      <c r="A827" s="974">
        <v>826</v>
      </c>
      <c r="B827" s="974" t="s">
        <v>1517</v>
      </c>
      <c r="C827" s="1046" t="s">
        <v>1585</v>
      </c>
      <c r="D827" s="1046" t="s">
        <v>1411</v>
      </c>
      <c r="E827" s="1042" t="s">
        <v>1493</v>
      </c>
    </row>
    <row r="828" spans="1:5" x14ac:dyDescent="0.25">
      <c r="A828" s="974">
        <v>827</v>
      </c>
      <c r="B828" s="974" t="s">
        <v>1517</v>
      </c>
      <c r="C828" s="1046" t="s">
        <v>1585</v>
      </c>
      <c r="D828" s="1046" t="s">
        <v>1538</v>
      </c>
      <c r="E828" s="1042" t="s">
        <v>1507</v>
      </c>
    </row>
    <row r="829" spans="1:5" x14ac:dyDescent="0.25">
      <c r="A829" s="974">
        <v>828</v>
      </c>
      <c r="B829" s="974" t="s">
        <v>1517</v>
      </c>
      <c r="C829" s="1046" t="s">
        <v>1586</v>
      </c>
      <c r="D829" s="1046" t="s">
        <v>1538</v>
      </c>
      <c r="E829" s="1042" t="s">
        <v>1387</v>
      </c>
    </row>
    <row r="830" spans="1:5" x14ac:dyDescent="0.25">
      <c r="A830" s="974">
        <v>829</v>
      </c>
      <c r="B830" s="974" t="s">
        <v>1517</v>
      </c>
      <c r="C830" s="1046" t="s">
        <v>1586</v>
      </c>
      <c r="D830" s="1046" t="s">
        <v>1538</v>
      </c>
      <c r="E830" s="1042" t="s">
        <v>1388</v>
      </c>
    </row>
    <row r="831" spans="1:5" x14ac:dyDescent="0.25">
      <c r="A831" s="974">
        <v>830</v>
      </c>
      <c r="B831" s="974" t="s">
        <v>1517</v>
      </c>
      <c r="C831" s="1046" t="s">
        <v>1586</v>
      </c>
      <c r="D831" s="1046" t="s">
        <v>1538</v>
      </c>
      <c r="E831" s="1042" t="s">
        <v>1389</v>
      </c>
    </row>
    <row r="832" spans="1:5" x14ac:dyDescent="0.25">
      <c r="A832" s="974">
        <v>831</v>
      </c>
      <c r="B832" s="974" t="s">
        <v>1517</v>
      </c>
      <c r="C832" s="1046" t="s">
        <v>1587</v>
      </c>
      <c r="D832" s="1046" t="s">
        <v>1538</v>
      </c>
      <c r="E832" s="1042" t="s">
        <v>1387</v>
      </c>
    </row>
    <row r="833" spans="1:5" x14ac:dyDescent="0.25">
      <c r="A833" s="974">
        <v>832</v>
      </c>
      <c r="B833" s="974" t="s">
        <v>1517</v>
      </c>
      <c r="C833" s="1046" t="s">
        <v>1587</v>
      </c>
      <c r="D833" s="1046" t="s">
        <v>1538</v>
      </c>
      <c r="E833" s="1042" t="s">
        <v>1388</v>
      </c>
    </row>
    <row r="834" spans="1:5" x14ac:dyDescent="0.25">
      <c r="A834" s="974">
        <v>833</v>
      </c>
      <c r="B834" s="974" t="s">
        <v>1517</v>
      </c>
      <c r="C834" s="1046" t="s">
        <v>1587</v>
      </c>
      <c r="D834" s="1046" t="s">
        <v>1538</v>
      </c>
      <c r="E834" s="1042" t="s">
        <v>1389</v>
      </c>
    </row>
    <row r="835" spans="1:5" x14ac:dyDescent="0.25">
      <c r="A835" s="974">
        <v>834</v>
      </c>
      <c r="B835" s="974" t="s">
        <v>1517</v>
      </c>
      <c r="C835" s="1046" t="s">
        <v>1588</v>
      </c>
      <c r="D835" s="1046" t="s">
        <v>1538</v>
      </c>
      <c r="E835" s="1042" t="s">
        <v>1387</v>
      </c>
    </row>
    <row r="836" spans="1:5" x14ac:dyDescent="0.25">
      <c r="A836" s="974">
        <v>835</v>
      </c>
      <c r="B836" s="974" t="s">
        <v>1517</v>
      </c>
      <c r="C836" s="1046" t="s">
        <v>1588</v>
      </c>
      <c r="D836" s="1046" t="s">
        <v>1538</v>
      </c>
      <c r="E836" s="1042" t="s">
        <v>1388</v>
      </c>
    </row>
    <row r="837" spans="1:5" x14ac:dyDescent="0.25">
      <c r="A837" s="974">
        <v>836</v>
      </c>
      <c r="B837" s="974" t="s">
        <v>1517</v>
      </c>
      <c r="C837" s="1046" t="s">
        <v>1588</v>
      </c>
      <c r="D837" s="1046" t="s">
        <v>1538</v>
      </c>
      <c r="E837" s="1042" t="s">
        <v>1389</v>
      </c>
    </row>
    <row r="838" spans="1:5" x14ac:dyDescent="0.25">
      <c r="A838" s="974">
        <v>837</v>
      </c>
      <c r="B838" s="974" t="s">
        <v>1517</v>
      </c>
      <c r="C838" s="1046" t="s">
        <v>1589</v>
      </c>
      <c r="D838" s="1046" t="s">
        <v>1514</v>
      </c>
      <c r="E838" s="1042" t="s">
        <v>1387</v>
      </c>
    </row>
    <row r="839" spans="1:5" x14ac:dyDescent="0.25">
      <c r="A839" s="974">
        <v>838</v>
      </c>
      <c r="B839" s="974" t="s">
        <v>1517</v>
      </c>
      <c r="C839" s="1046" t="s">
        <v>1589</v>
      </c>
      <c r="D839" s="1046" t="s">
        <v>1538</v>
      </c>
      <c r="E839" s="1042" t="s">
        <v>1388</v>
      </c>
    </row>
    <row r="840" spans="1:5" x14ac:dyDescent="0.25">
      <c r="A840" s="974">
        <v>839</v>
      </c>
      <c r="B840" s="974" t="s">
        <v>1517</v>
      </c>
      <c r="C840" s="1046" t="s">
        <v>1589</v>
      </c>
      <c r="D840" s="1046" t="s">
        <v>1538</v>
      </c>
      <c r="E840" s="1042" t="s">
        <v>1389</v>
      </c>
    </row>
    <row r="841" spans="1:5" x14ac:dyDescent="0.25">
      <c r="A841" s="974">
        <v>840</v>
      </c>
      <c r="B841" s="974" t="s">
        <v>1517</v>
      </c>
      <c r="C841" s="1046" t="s">
        <v>1590</v>
      </c>
      <c r="D841" s="1046" t="s">
        <v>1538</v>
      </c>
      <c r="E841" s="1042" t="s">
        <v>1387</v>
      </c>
    </row>
    <row r="842" spans="1:5" x14ac:dyDescent="0.25">
      <c r="A842" s="974">
        <v>841</v>
      </c>
      <c r="B842" s="974" t="s">
        <v>1517</v>
      </c>
      <c r="C842" s="1046" t="s">
        <v>1590</v>
      </c>
      <c r="D842" s="1046" t="s">
        <v>1538</v>
      </c>
      <c r="E842" s="1042" t="s">
        <v>1388</v>
      </c>
    </row>
    <row r="843" spans="1:5" x14ac:dyDescent="0.25">
      <c r="A843" s="974">
        <v>842</v>
      </c>
      <c r="B843" s="974" t="s">
        <v>1517</v>
      </c>
      <c r="C843" s="1046" t="s">
        <v>1590</v>
      </c>
      <c r="D843" s="1046" t="s">
        <v>1538</v>
      </c>
      <c r="E843" s="1042" t="s">
        <v>1389</v>
      </c>
    </row>
    <row r="844" spans="1:5" x14ac:dyDescent="0.25">
      <c r="A844" s="974">
        <v>843</v>
      </c>
      <c r="B844" s="974" t="s">
        <v>1517</v>
      </c>
      <c r="C844" s="1046" t="s">
        <v>1591</v>
      </c>
      <c r="D844" s="1046" t="s">
        <v>1538</v>
      </c>
      <c r="E844" s="1042" t="s">
        <v>1492</v>
      </c>
    </row>
    <row r="845" spans="1:5" x14ac:dyDescent="0.25">
      <c r="A845" s="974">
        <v>844</v>
      </c>
      <c r="B845" s="974" t="s">
        <v>1517</v>
      </c>
      <c r="C845" s="1046" t="s">
        <v>1591</v>
      </c>
      <c r="D845" s="1046" t="s">
        <v>1538</v>
      </c>
      <c r="E845" s="1042" t="s">
        <v>1706</v>
      </c>
    </row>
    <row r="846" spans="1:5" x14ac:dyDescent="0.25">
      <c r="A846" s="974">
        <v>845</v>
      </c>
      <c r="B846" s="974" t="s">
        <v>1517</v>
      </c>
      <c r="C846" s="1046" t="s">
        <v>1591</v>
      </c>
      <c r="D846" s="1046" t="s">
        <v>1538</v>
      </c>
      <c r="E846" s="1042" t="s">
        <v>1383</v>
      </c>
    </row>
    <row r="847" spans="1:5" x14ac:dyDescent="0.25">
      <c r="A847" s="974">
        <v>846</v>
      </c>
      <c r="B847" s="974" t="s">
        <v>1517</v>
      </c>
      <c r="C847" s="1046" t="s">
        <v>1591</v>
      </c>
      <c r="D847" s="1046" t="s">
        <v>1538</v>
      </c>
      <c r="E847" s="1042" t="s">
        <v>1380</v>
      </c>
    </row>
    <row r="848" spans="1:5" x14ac:dyDescent="0.25">
      <c r="A848" s="974">
        <v>847</v>
      </c>
      <c r="B848" s="974" t="s">
        <v>1517</v>
      </c>
      <c r="C848" s="1046" t="s">
        <v>1591</v>
      </c>
      <c r="D848" s="1046" t="s">
        <v>1538</v>
      </c>
      <c r="E848" s="1042" t="s">
        <v>1381</v>
      </c>
    </row>
    <row r="849" spans="1:5" x14ac:dyDescent="0.25">
      <c r="A849" s="974">
        <v>848</v>
      </c>
      <c r="B849" s="974" t="s">
        <v>1517</v>
      </c>
      <c r="C849" s="1046" t="s">
        <v>1591</v>
      </c>
      <c r="D849" s="1046" t="s">
        <v>1538</v>
      </c>
      <c r="E849" s="1042" t="s">
        <v>1397</v>
      </c>
    </row>
    <row r="850" spans="1:5" x14ac:dyDescent="0.25">
      <c r="A850" s="974">
        <v>849</v>
      </c>
      <c r="B850" s="974" t="s">
        <v>1517</v>
      </c>
      <c r="C850" s="1046" t="s">
        <v>1591</v>
      </c>
      <c r="D850" s="1046" t="s">
        <v>1538</v>
      </c>
      <c r="E850" s="1042" t="s">
        <v>1382</v>
      </c>
    </row>
    <row r="851" spans="1:5" x14ac:dyDescent="0.25">
      <c r="A851" s="974">
        <v>850</v>
      </c>
      <c r="B851" s="974" t="s">
        <v>1517</v>
      </c>
      <c r="C851" s="1046" t="s">
        <v>1591</v>
      </c>
      <c r="D851" s="1046" t="s">
        <v>1538</v>
      </c>
      <c r="E851" s="1042" t="s">
        <v>1487</v>
      </c>
    </row>
    <row r="852" spans="1:5" x14ac:dyDescent="0.25">
      <c r="A852" s="974">
        <v>851</v>
      </c>
      <c r="B852" s="974" t="s">
        <v>1517</v>
      </c>
      <c r="C852" s="1046" t="s">
        <v>1591</v>
      </c>
      <c r="D852" s="1046" t="s">
        <v>1538</v>
      </c>
      <c r="E852" s="1042" t="s">
        <v>1488</v>
      </c>
    </row>
    <row r="853" spans="1:5" x14ac:dyDescent="0.25">
      <c r="A853" s="974">
        <v>852</v>
      </c>
      <c r="B853" s="974" t="s">
        <v>1517</v>
      </c>
      <c r="C853" s="1046" t="s">
        <v>1591</v>
      </c>
      <c r="D853" s="1046" t="s">
        <v>1411</v>
      </c>
      <c r="E853" s="1042" t="s">
        <v>1489</v>
      </c>
    </row>
    <row r="854" spans="1:5" ht="30" x14ac:dyDescent="0.25">
      <c r="A854" s="974">
        <v>853</v>
      </c>
      <c r="B854" s="974" t="s">
        <v>1517</v>
      </c>
      <c r="C854" s="1046" t="s">
        <v>1591</v>
      </c>
      <c r="D854" s="1046" t="s">
        <v>1545</v>
      </c>
      <c r="E854" s="1042" t="s">
        <v>1385</v>
      </c>
    </row>
    <row r="855" spans="1:5" ht="30" x14ac:dyDescent="0.25">
      <c r="A855" s="974">
        <v>854</v>
      </c>
      <c r="B855" s="974" t="s">
        <v>1517</v>
      </c>
      <c r="C855" s="1046" t="s">
        <v>1591</v>
      </c>
      <c r="D855" s="1046" t="s">
        <v>1545</v>
      </c>
      <c r="E855" s="1042" t="s">
        <v>1386</v>
      </c>
    </row>
    <row r="856" spans="1:5" ht="30" x14ac:dyDescent="0.25">
      <c r="A856" s="974">
        <v>855</v>
      </c>
      <c r="B856" s="974" t="s">
        <v>1517</v>
      </c>
      <c r="C856" s="1046" t="s">
        <v>1591</v>
      </c>
      <c r="D856" s="1046" t="s">
        <v>1545</v>
      </c>
      <c r="E856" s="1042" t="s">
        <v>1496</v>
      </c>
    </row>
    <row r="857" spans="1:5" x14ac:dyDescent="0.25">
      <c r="A857" s="974">
        <v>856</v>
      </c>
      <c r="B857" s="974" t="s">
        <v>1517</v>
      </c>
      <c r="C857" s="1046" t="s">
        <v>1591</v>
      </c>
      <c r="D857" s="1046" t="s">
        <v>1411</v>
      </c>
      <c r="E857" s="1042" t="s">
        <v>1493</v>
      </c>
    </row>
    <row r="858" spans="1:5" x14ac:dyDescent="0.25">
      <c r="A858" s="974">
        <v>857</v>
      </c>
      <c r="B858" s="974" t="s">
        <v>1517</v>
      </c>
      <c r="C858" s="1046" t="s">
        <v>1591</v>
      </c>
      <c r="D858" s="1046" t="s">
        <v>1538</v>
      </c>
      <c r="E858" s="1042" t="s">
        <v>1507</v>
      </c>
    </row>
    <row r="859" spans="1:5" x14ac:dyDescent="0.25">
      <c r="A859" s="974">
        <v>858</v>
      </c>
      <c r="B859" s="974" t="s">
        <v>1517</v>
      </c>
      <c r="C859" s="1046" t="s">
        <v>1592</v>
      </c>
      <c r="D859" s="1046" t="s">
        <v>1538</v>
      </c>
      <c r="E859" s="1042" t="s">
        <v>1387</v>
      </c>
    </row>
    <row r="860" spans="1:5" x14ac:dyDescent="0.25">
      <c r="A860" s="974">
        <v>859</v>
      </c>
      <c r="B860" s="974" t="s">
        <v>1517</v>
      </c>
      <c r="C860" s="1046" t="s">
        <v>1592</v>
      </c>
      <c r="D860" s="1046" t="s">
        <v>1538</v>
      </c>
      <c r="E860" s="1042" t="s">
        <v>1388</v>
      </c>
    </row>
    <row r="861" spans="1:5" x14ac:dyDescent="0.25">
      <c r="A861" s="974">
        <v>860</v>
      </c>
      <c r="B861" s="974" t="s">
        <v>1517</v>
      </c>
      <c r="C861" s="1046" t="s">
        <v>1592</v>
      </c>
      <c r="D861" s="1046" t="s">
        <v>1538</v>
      </c>
      <c r="E861" s="1042" t="s">
        <v>1389</v>
      </c>
    </row>
    <row r="862" spans="1:5" x14ac:dyDescent="0.25">
      <c r="A862" s="974">
        <v>861</v>
      </c>
      <c r="B862" s="974" t="s">
        <v>1517</v>
      </c>
      <c r="C862" s="1046" t="s">
        <v>1593</v>
      </c>
      <c r="D862" s="1046" t="s">
        <v>1538</v>
      </c>
      <c r="E862" s="1042" t="s">
        <v>1387</v>
      </c>
    </row>
    <row r="863" spans="1:5" x14ac:dyDescent="0.25">
      <c r="A863" s="974">
        <v>862</v>
      </c>
      <c r="B863" s="974" t="s">
        <v>1517</v>
      </c>
      <c r="C863" s="1046" t="s">
        <v>1593</v>
      </c>
      <c r="D863" s="1046" t="s">
        <v>1538</v>
      </c>
      <c r="E863" s="1042" t="s">
        <v>1388</v>
      </c>
    </row>
    <row r="864" spans="1:5" x14ac:dyDescent="0.25">
      <c r="A864" s="974">
        <v>863</v>
      </c>
      <c r="B864" s="974" t="s">
        <v>1517</v>
      </c>
      <c r="C864" s="1046" t="s">
        <v>1593</v>
      </c>
      <c r="D864" s="1046" t="s">
        <v>1538</v>
      </c>
      <c r="E864" s="1042" t="s">
        <v>1389</v>
      </c>
    </row>
    <row r="865" spans="1:5" x14ac:dyDescent="0.25">
      <c r="A865" s="974">
        <v>864</v>
      </c>
      <c r="B865" s="974" t="s">
        <v>1517</v>
      </c>
      <c r="C865" s="1046" t="s">
        <v>1594</v>
      </c>
      <c r="D865" s="1046" t="s">
        <v>1538</v>
      </c>
      <c r="E865" s="1042" t="s">
        <v>1387</v>
      </c>
    </row>
    <row r="866" spans="1:5" x14ac:dyDescent="0.25">
      <c r="A866" s="974">
        <v>865</v>
      </c>
      <c r="B866" s="974" t="s">
        <v>1517</v>
      </c>
      <c r="C866" s="1046" t="s">
        <v>1594</v>
      </c>
      <c r="D866" s="1046" t="s">
        <v>1538</v>
      </c>
      <c r="E866" s="1042" t="s">
        <v>1388</v>
      </c>
    </row>
    <row r="867" spans="1:5" x14ac:dyDescent="0.25">
      <c r="A867" s="974">
        <v>866</v>
      </c>
      <c r="B867" s="974" t="s">
        <v>1517</v>
      </c>
      <c r="C867" s="1046" t="s">
        <v>1594</v>
      </c>
      <c r="D867" s="1046" t="s">
        <v>1538</v>
      </c>
      <c r="E867" s="1042" t="s">
        <v>1389</v>
      </c>
    </row>
    <row r="868" spans="1:5" x14ac:dyDescent="0.25">
      <c r="A868" s="974">
        <v>867</v>
      </c>
      <c r="B868" s="974" t="s">
        <v>1517</v>
      </c>
      <c r="C868" s="1046" t="s">
        <v>1595</v>
      </c>
      <c r="D868" s="1046" t="s">
        <v>1538</v>
      </c>
      <c r="E868" s="1042" t="s">
        <v>1387</v>
      </c>
    </row>
    <row r="869" spans="1:5" x14ac:dyDescent="0.25">
      <c r="A869" s="974">
        <v>868</v>
      </c>
      <c r="B869" s="974" t="s">
        <v>1517</v>
      </c>
      <c r="C869" s="1046" t="s">
        <v>1595</v>
      </c>
      <c r="D869" s="1046" t="s">
        <v>1538</v>
      </c>
      <c r="E869" s="1042" t="s">
        <v>1388</v>
      </c>
    </row>
    <row r="870" spans="1:5" x14ac:dyDescent="0.25">
      <c r="A870" s="974">
        <v>869</v>
      </c>
      <c r="B870" s="974" t="s">
        <v>1517</v>
      </c>
      <c r="C870" s="1046" t="s">
        <v>1595</v>
      </c>
      <c r="D870" s="1046" t="s">
        <v>1538</v>
      </c>
      <c r="E870" s="1042" t="s">
        <v>1389</v>
      </c>
    </row>
    <row r="871" spans="1:5" x14ac:dyDescent="0.25">
      <c r="A871" s="974">
        <v>870</v>
      </c>
      <c r="B871" s="974" t="s">
        <v>1517</v>
      </c>
      <c r="C871" s="1046" t="s">
        <v>1596</v>
      </c>
      <c r="D871" s="1046" t="s">
        <v>1538</v>
      </c>
      <c r="E871" s="1042" t="s">
        <v>1387</v>
      </c>
    </row>
    <row r="872" spans="1:5" x14ac:dyDescent="0.25">
      <c r="A872" s="974">
        <v>871</v>
      </c>
      <c r="B872" s="974" t="s">
        <v>1517</v>
      </c>
      <c r="C872" s="1046" t="s">
        <v>1596</v>
      </c>
      <c r="D872" s="1046" t="s">
        <v>1538</v>
      </c>
      <c r="E872" s="1042" t="s">
        <v>1388</v>
      </c>
    </row>
    <row r="873" spans="1:5" x14ac:dyDescent="0.25">
      <c r="A873" s="974">
        <v>872</v>
      </c>
      <c r="B873" s="974" t="s">
        <v>1517</v>
      </c>
      <c r="C873" s="1046" t="s">
        <v>1596</v>
      </c>
      <c r="D873" s="1046" t="s">
        <v>1538</v>
      </c>
      <c r="E873" s="1042" t="s">
        <v>1389</v>
      </c>
    </row>
    <row r="874" spans="1:5" x14ac:dyDescent="0.25">
      <c r="A874" s="974">
        <v>873</v>
      </c>
      <c r="B874" s="974" t="s">
        <v>1517</v>
      </c>
      <c r="C874" s="1046" t="s">
        <v>1598</v>
      </c>
      <c r="D874" s="1046" t="s">
        <v>1597</v>
      </c>
      <c r="E874" s="1042" t="s">
        <v>1492</v>
      </c>
    </row>
    <row r="875" spans="1:5" x14ac:dyDescent="0.25">
      <c r="A875" s="974">
        <v>874</v>
      </c>
      <c r="B875" s="974" t="s">
        <v>1517</v>
      </c>
      <c r="C875" s="1046" t="s">
        <v>1598</v>
      </c>
      <c r="D875" s="1046" t="s">
        <v>1597</v>
      </c>
      <c r="E875" s="1042" t="s">
        <v>1706</v>
      </c>
    </row>
    <row r="876" spans="1:5" x14ac:dyDescent="0.25">
      <c r="A876" s="974">
        <v>875</v>
      </c>
      <c r="B876" s="974" t="s">
        <v>1517</v>
      </c>
      <c r="C876" s="1046" t="s">
        <v>1598</v>
      </c>
      <c r="D876" s="1046" t="s">
        <v>1597</v>
      </c>
      <c r="E876" s="1042" t="s">
        <v>1383</v>
      </c>
    </row>
    <row r="877" spans="1:5" x14ac:dyDescent="0.25">
      <c r="A877" s="974">
        <v>876</v>
      </c>
      <c r="B877" s="974" t="s">
        <v>1517</v>
      </c>
      <c r="C877" s="1046" t="s">
        <v>1598</v>
      </c>
      <c r="D877" s="1046" t="s">
        <v>1597</v>
      </c>
      <c r="E877" s="1042" t="s">
        <v>1380</v>
      </c>
    </row>
    <row r="878" spans="1:5" x14ac:dyDescent="0.25">
      <c r="A878" s="974">
        <v>877</v>
      </c>
      <c r="B878" s="974" t="s">
        <v>1517</v>
      </c>
      <c r="C878" s="1046" t="s">
        <v>1598</v>
      </c>
      <c r="D878" s="1046" t="s">
        <v>1597</v>
      </c>
      <c r="E878" s="1042" t="s">
        <v>1381</v>
      </c>
    </row>
    <row r="879" spans="1:5" x14ac:dyDescent="0.25">
      <c r="A879" s="974">
        <v>878</v>
      </c>
      <c r="B879" s="974" t="s">
        <v>1517</v>
      </c>
      <c r="C879" s="1046" t="s">
        <v>1598</v>
      </c>
      <c r="D879" s="1046" t="s">
        <v>1597</v>
      </c>
      <c r="E879" s="1042" t="s">
        <v>1397</v>
      </c>
    </row>
    <row r="880" spans="1:5" x14ac:dyDescent="0.25">
      <c r="A880" s="974">
        <v>879</v>
      </c>
      <c r="B880" s="974" t="s">
        <v>1517</v>
      </c>
      <c r="C880" s="1046" t="s">
        <v>1598</v>
      </c>
      <c r="D880" s="1046" t="s">
        <v>1411</v>
      </c>
      <c r="E880" s="1042" t="s">
        <v>1382</v>
      </c>
    </row>
    <row r="881" spans="1:5" x14ac:dyDescent="0.25">
      <c r="A881" s="974">
        <v>880</v>
      </c>
      <c r="B881" s="974" t="s">
        <v>1517</v>
      </c>
      <c r="C881" s="1046" t="s">
        <v>1598</v>
      </c>
      <c r="D881" s="1046" t="s">
        <v>1597</v>
      </c>
      <c r="E881" s="1042" t="s">
        <v>1487</v>
      </c>
    </row>
    <row r="882" spans="1:5" x14ac:dyDescent="0.25">
      <c r="A882" s="974">
        <v>881</v>
      </c>
      <c r="B882" s="974" t="s">
        <v>1517</v>
      </c>
      <c r="C882" s="1046" t="s">
        <v>1598</v>
      </c>
      <c r="D882" s="1046" t="s">
        <v>1597</v>
      </c>
      <c r="E882" s="1042" t="s">
        <v>1488</v>
      </c>
    </row>
    <row r="883" spans="1:5" x14ac:dyDescent="0.25">
      <c r="A883" s="974">
        <v>882</v>
      </c>
      <c r="B883" s="974" t="s">
        <v>1517</v>
      </c>
      <c r="C883" s="1046" t="s">
        <v>1598</v>
      </c>
      <c r="D883" s="1046" t="s">
        <v>1411</v>
      </c>
      <c r="E883" s="1042" t="s">
        <v>1489</v>
      </c>
    </row>
    <row r="884" spans="1:5" ht="30" x14ac:dyDescent="0.25">
      <c r="A884" s="974">
        <v>883</v>
      </c>
      <c r="B884" s="974" t="s">
        <v>1517</v>
      </c>
      <c r="C884" s="1046" t="s">
        <v>1598</v>
      </c>
      <c r="D884" s="1046" t="s">
        <v>1545</v>
      </c>
      <c r="E884" s="1042" t="s">
        <v>1385</v>
      </c>
    </row>
    <row r="885" spans="1:5" ht="30" x14ac:dyDescent="0.25">
      <c r="A885" s="974">
        <v>884</v>
      </c>
      <c r="B885" s="974" t="s">
        <v>1517</v>
      </c>
      <c r="C885" s="1046" t="s">
        <v>1598</v>
      </c>
      <c r="D885" s="1046" t="s">
        <v>1545</v>
      </c>
      <c r="E885" s="1042" t="s">
        <v>1386</v>
      </c>
    </row>
    <row r="886" spans="1:5" ht="30" x14ac:dyDescent="0.25">
      <c r="A886" s="974">
        <v>885</v>
      </c>
      <c r="B886" s="974" t="s">
        <v>1517</v>
      </c>
      <c r="C886" s="1046" t="s">
        <v>1598</v>
      </c>
      <c r="D886" s="1046" t="s">
        <v>1545</v>
      </c>
      <c r="E886" s="1042" t="s">
        <v>1496</v>
      </c>
    </row>
    <row r="887" spans="1:5" x14ac:dyDescent="0.25">
      <c r="A887" s="974">
        <v>886</v>
      </c>
      <c r="B887" s="974" t="s">
        <v>1517</v>
      </c>
      <c r="C887" s="1046" t="s">
        <v>1598</v>
      </c>
      <c r="D887" s="1046" t="s">
        <v>1411</v>
      </c>
      <c r="E887" s="1042" t="s">
        <v>1493</v>
      </c>
    </row>
    <row r="888" spans="1:5" x14ac:dyDescent="0.25">
      <c r="A888" s="974">
        <v>887</v>
      </c>
      <c r="B888" s="974" t="s">
        <v>1517</v>
      </c>
      <c r="C888" s="1046" t="s">
        <v>1598</v>
      </c>
      <c r="D888" s="1046" t="s">
        <v>1597</v>
      </c>
      <c r="E888" s="1042" t="s">
        <v>1507</v>
      </c>
    </row>
    <row r="889" spans="1:5" x14ac:dyDescent="0.25">
      <c r="A889" s="974">
        <v>888</v>
      </c>
      <c r="B889" s="974" t="s">
        <v>1517</v>
      </c>
      <c r="C889" s="1046" t="s">
        <v>1599</v>
      </c>
      <c r="D889" s="1046" t="s">
        <v>1597</v>
      </c>
      <c r="E889" s="1042" t="s">
        <v>1387</v>
      </c>
    </row>
    <row r="890" spans="1:5" x14ac:dyDescent="0.25">
      <c r="A890" s="974">
        <v>889</v>
      </c>
      <c r="B890" s="974" t="s">
        <v>1517</v>
      </c>
      <c r="C890" s="1046" t="s">
        <v>1599</v>
      </c>
      <c r="D890" s="1046" t="s">
        <v>1597</v>
      </c>
      <c r="E890" s="1042" t="s">
        <v>1388</v>
      </c>
    </row>
    <row r="891" spans="1:5" x14ac:dyDescent="0.25">
      <c r="A891" s="974">
        <v>890</v>
      </c>
      <c r="B891" s="974" t="s">
        <v>1517</v>
      </c>
      <c r="C891" s="1046" t="s">
        <v>1599</v>
      </c>
      <c r="D891" s="1046" t="s">
        <v>1597</v>
      </c>
      <c r="E891" s="1042" t="s">
        <v>1104</v>
      </c>
    </row>
    <row r="892" spans="1:5" x14ac:dyDescent="0.25">
      <c r="A892" s="974">
        <v>891</v>
      </c>
      <c r="B892" s="974" t="s">
        <v>1517</v>
      </c>
      <c r="C892" s="1046" t="s">
        <v>1598</v>
      </c>
      <c r="D892" s="1046" t="s">
        <v>1597</v>
      </c>
      <c r="E892" s="1042" t="s">
        <v>1509</v>
      </c>
    </row>
    <row r="893" spans="1:5" x14ac:dyDescent="0.25">
      <c r="A893" s="974">
        <v>892</v>
      </c>
      <c r="B893" s="974" t="s">
        <v>1517</v>
      </c>
      <c r="C893" s="1046" t="s">
        <v>1715</v>
      </c>
      <c r="D893" s="1046" t="s">
        <v>1597</v>
      </c>
      <c r="E893" s="1044" t="s">
        <v>1492</v>
      </c>
    </row>
    <row r="894" spans="1:5" x14ac:dyDescent="0.25">
      <c r="A894" s="974">
        <v>893</v>
      </c>
      <c r="B894" s="974" t="s">
        <v>1517</v>
      </c>
      <c r="C894" s="1046" t="s">
        <v>1715</v>
      </c>
      <c r="D894" s="1046" t="s">
        <v>1597</v>
      </c>
      <c r="E894" s="1044" t="s">
        <v>1706</v>
      </c>
    </row>
    <row r="895" spans="1:5" x14ac:dyDescent="0.25">
      <c r="A895" s="974">
        <v>894</v>
      </c>
      <c r="B895" s="974" t="s">
        <v>1517</v>
      </c>
      <c r="C895" s="1046" t="s">
        <v>1715</v>
      </c>
      <c r="D895" s="1046" t="s">
        <v>1597</v>
      </c>
      <c r="E895" s="1044" t="s">
        <v>1383</v>
      </c>
    </row>
    <row r="896" spans="1:5" x14ac:dyDescent="0.25">
      <c r="A896" s="974">
        <v>895</v>
      </c>
      <c r="B896" s="974" t="s">
        <v>1517</v>
      </c>
      <c r="C896" s="1046" t="s">
        <v>1715</v>
      </c>
      <c r="D896" s="1046" t="s">
        <v>1597</v>
      </c>
      <c r="E896" s="1044" t="s">
        <v>1380</v>
      </c>
    </row>
    <row r="897" spans="1:5" x14ac:dyDescent="0.25">
      <c r="A897" s="974">
        <v>896</v>
      </c>
      <c r="B897" s="974" t="s">
        <v>1517</v>
      </c>
      <c r="C897" s="1046" t="s">
        <v>1715</v>
      </c>
      <c r="D897" s="1046" t="s">
        <v>1597</v>
      </c>
      <c r="E897" s="1044" t="s">
        <v>1381</v>
      </c>
    </row>
    <row r="898" spans="1:5" x14ac:dyDescent="0.25">
      <c r="A898" s="974">
        <v>897</v>
      </c>
      <c r="B898" s="974" t="s">
        <v>1517</v>
      </c>
      <c r="C898" s="1046" t="s">
        <v>1715</v>
      </c>
      <c r="D898" s="1046" t="s">
        <v>1597</v>
      </c>
      <c r="E898" s="1044" t="s">
        <v>1397</v>
      </c>
    </row>
    <row r="899" spans="1:5" x14ac:dyDescent="0.25">
      <c r="A899" s="974">
        <v>898</v>
      </c>
      <c r="B899" s="974" t="s">
        <v>1517</v>
      </c>
      <c r="C899" s="1046" t="s">
        <v>1715</v>
      </c>
      <c r="D899" s="1046" t="s">
        <v>1411</v>
      </c>
      <c r="E899" s="1044" t="s">
        <v>1382</v>
      </c>
    </row>
    <row r="900" spans="1:5" x14ac:dyDescent="0.25">
      <c r="A900" s="974">
        <v>899</v>
      </c>
      <c r="B900" s="974" t="s">
        <v>1517</v>
      </c>
      <c r="C900" s="1046" t="s">
        <v>1715</v>
      </c>
      <c r="D900" s="1046" t="s">
        <v>1597</v>
      </c>
      <c r="E900" s="1044" t="s">
        <v>1487</v>
      </c>
    </row>
    <row r="901" spans="1:5" x14ac:dyDescent="0.25">
      <c r="A901" s="974">
        <v>900</v>
      </c>
      <c r="B901" s="974" t="s">
        <v>1517</v>
      </c>
      <c r="C901" s="1046" t="s">
        <v>1715</v>
      </c>
      <c r="D901" s="1046" t="s">
        <v>1597</v>
      </c>
      <c r="E901" s="1044" t="s">
        <v>1488</v>
      </c>
    </row>
    <row r="902" spans="1:5" x14ac:dyDescent="0.25">
      <c r="A902" s="974">
        <v>901</v>
      </c>
      <c r="B902" s="974" t="s">
        <v>1517</v>
      </c>
      <c r="C902" s="1046" t="s">
        <v>1715</v>
      </c>
      <c r="D902" s="1046" t="s">
        <v>1411</v>
      </c>
      <c r="E902" s="1044" t="s">
        <v>1489</v>
      </c>
    </row>
    <row r="903" spans="1:5" ht="30" x14ac:dyDescent="0.25">
      <c r="A903" s="974">
        <v>902</v>
      </c>
      <c r="B903" s="974" t="s">
        <v>1517</v>
      </c>
      <c r="C903" s="1046" t="s">
        <v>1715</v>
      </c>
      <c r="D903" s="1046" t="s">
        <v>1545</v>
      </c>
      <c r="E903" s="1044" t="s">
        <v>1385</v>
      </c>
    </row>
    <row r="904" spans="1:5" ht="30" x14ac:dyDescent="0.25">
      <c r="A904" s="974">
        <v>903</v>
      </c>
      <c r="B904" s="974" t="s">
        <v>1517</v>
      </c>
      <c r="C904" s="1046" t="s">
        <v>1715</v>
      </c>
      <c r="D904" s="1046" t="s">
        <v>1545</v>
      </c>
      <c r="E904" s="1044" t="s">
        <v>1386</v>
      </c>
    </row>
    <row r="905" spans="1:5" ht="30" x14ac:dyDescent="0.25">
      <c r="A905" s="974">
        <v>904</v>
      </c>
      <c r="B905" s="974" t="s">
        <v>1517</v>
      </c>
      <c r="C905" s="1046" t="s">
        <v>1715</v>
      </c>
      <c r="D905" s="1046" t="s">
        <v>1545</v>
      </c>
      <c r="E905" s="1044" t="s">
        <v>1496</v>
      </c>
    </row>
    <row r="906" spans="1:5" x14ac:dyDescent="0.25">
      <c r="A906" s="974">
        <v>905</v>
      </c>
      <c r="B906" s="974" t="s">
        <v>1517</v>
      </c>
      <c r="C906" s="1046" t="s">
        <v>1715</v>
      </c>
      <c r="D906" s="1046" t="s">
        <v>1411</v>
      </c>
      <c r="E906" s="1044" t="s">
        <v>1493</v>
      </c>
    </row>
    <row r="907" spans="1:5" x14ac:dyDescent="0.25">
      <c r="A907" s="974">
        <v>906</v>
      </c>
      <c r="B907" s="974" t="s">
        <v>1517</v>
      </c>
      <c r="C907" s="1046" t="s">
        <v>1715</v>
      </c>
      <c r="D907" s="1046" t="s">
        <v>1597</v>
      </c>
      <c r="E907" s="1044" t="s">
        <v>1507</v>
      </c>
    </row>
    <row r="908" spans="1:5" x14ac:dyDescent="0.25">
      <c r="A908" s="974">
        <v>907</v>
      </c>
      <c r="B908" s="974" t="s">
        <v>1517</v>
      </c>
      <c r="C908" s="1046" t="s">
        <v>1716</v>
      </c>
      <c r="D908" s="1046" t="s">
        <v>1597</v>
      </c>
      <c r="E908" s="1044" t="s">
        <v>1387</v>
      </c>
    </row>
    <row r="909" spans="1:5" x14ac:dyDescent="0.25">
      <c r="A909" s="974">
        <v>908</v>
      </c>
      <c r="B909" s="974" t="s">
        <v>1517</v>
      </c>
      <c r="C909" s="1046" t="s">
        <v>1716</v>
      </c>
      <c r="D909" s="1046" t="s">
        <v>1597</v>
      </c>
      <c r="E909" s="1044" t="s">
        <v>1388</v>
      </c>
    </row>
    <row r="910" spans="1:5" x14ac:dyDescent="0.25">
      <c r="A910" s="974">
        <v>909</v>
      </c>
      <c r="B910" s="974" t="s">
        <v>1517</v>
      </c>
      <c r="C910" s="1046" t="s">
        <v>1716</v>
      </c>
      <c r="D910" s="1046" t="s">
        <v>1597</v>
      </c>
      <c r="E910" s="1044" t="s">
        <v>1104</v>
      </c>
    </row>
    <row r="911" spans="1:5" x14ac:dyDescent="0.25">
      <c r="A911" s="974">
        <v>910</v>
      </c>
      <c r="B911" s="974" t="s">
        <v>1517</v>
      </c>
      <c r="C911" s="1046" t="s">
        <v>1715</v>
      </c>
      <c r="D911" s="1046" t="s">
        <v>1597</v>
      </c>
      <c r="E911" s="1044" t="s">
        <v>1509</v>
      </c>
    </row>
    <row r="912" spans="1:5" x14ac:dyDescent="0.25">
      <c r="A912" s="974">
        <v>911</v>
      </c>
      <c r="B912" s="974" t="s">
        <v>1517</v>
      </c>
      <c r="C912" s="1046" t="s">
        <v>1717</v>
      </c>
      <c r="D912" s="1046" t="s">
        <v>1597</v>
      </c>
      <c r="E912" s="1044" t="s">
        <v>1492</v>
      </c>
    </row>
    <row r="913" spans="1:5" x14ac:dyDescent="0.25">
      <c r="A913" s="974">
        <v>912</v>
      </c>
      <c r="B913" s="974" t="s">
        <v>1517</v>
      </c>
      <c r="C913" s="1046" t="s">
        <v>1717</v>
      </c>
      <c r="D913" s="1046" t="s">
        <v>1597</v>
      </c>
      <c r="E913" s="1044" t="s">
        <v>1706</v>
      </c>
    </row>
    <row r="914" spans="1:5" x14ac:dyDescent="0.25">
      <c r="A914" s="974">
        <v>913</v>
      </c>
      <c r="B914" s="974" t="s">
        <v>1517</v>
      </c>
      <c r="C914" s="1046" t="s">
        <v>1717</v>
      </c>
      <c r="D914" s="1046" t="s">
        <v>1597</v>
      </c>
      <c r="E914" s="1044" t="s">
        <v>1383</v>
      </c>
    </row>
    <row r="915" spans="1:5" x14ac:dyDescent="0.25">
      <c r="A915" s="974">
        <v>914</v>
      </c>
      <c r="B915" s="974" t="s">
        <v>1517</v>
      </c>
      <c r="C915" s="1046" t="s">
        <v>1717</v>
      </c>
      <c r="D915" s="1046" t="s">
        <v>1597</v>
      </c>
      <c r="E915" s="1044" t="s">
        <v>1380</v>
      </c>
    </row>
    <row r="916" spans="1:5" x14ac:dyDescent="0.25">
      <c r="A916" s="974">
        <v>915</v>
      </c>
      <c r="B916" s="974" t="s">
        <v>1517</v>
      </c>
      <c r="C916" s="1046" t="s">
        <v>1717</v>
      </c>
      <c r="D916" s="1046" t="s">
        <v>1597</v>
      </c>
      <c r="E916" s="1044" t="s">
        <v>1381</v>
      </c>
    </row>
    <row r="917" spans="1:5" x14ac:dyDescent="0.25">
      <c r="A917" s="974">
        <v>916</v>
      </c>
      <c r="B917" s="974" t="s">
        <v>1517</v>
      </c>
      <c r="C917" s="1046" t="s">
        <v>1717</v>
      </c>
      <c r="D917" s="1046" t="s">
        <v>1597</v>
      </c>
      <c r="E917" s="1044" t="s">
        <v>1397</v>
      </c>
    </row>
    <row r="918" spans="1:5" x14ac:dyDescent="0.25">
      <c r="A918" s="974">
        <v>917</v>
      </c>
      <c r="B918" s="974" t="s">
        <v>1517</v>
      </c>
      <c r="C918" s="1046" t="s">
        <v>1717</v>
      </c>
      <c r="D918" s="1046" t="s">
        <v>1411</v>
      </c>
      <c r="E918" s="1044" t="s">
        <v>1382</v>
      </c>
    </row>
    <row r="919" spans="1:5" x14ac:dyDescent="0.25">
      <c r="A919" s="974">
        <v>918</v>
      </c>
      <c r="B919" s="974" t="s">
        <v>1517</v>
      </c>
      <c r="C919" s="1046" t="s">
        <v>1717</v>
      </c>
      <c r="D919" s="1046" t="s">
        <v>1597</v>
      </c>
      <c r="E919" s="1044" t="s">
        <v>1487</v>
      </c>
    </row>
    <row r="920" spans="1:5" x14ac:dyDescent="0.25">
      <c r="A920" s="974">
        <v>919</v>
      </c>
      <c r="B920" s="974" t="s">
        <v>1517</v>
      </c>
      <c r="C920" s="1046" t="s">
        <v>1717</v>
      </c>
      <c r="D920" s="1046" t="s">
        <v>1597</v>
      </c>
      <c r="E920" s="1044" t="s">
        <v>1488</v>
      </c>
    </row>
    <row r="921" spans="1:5" x14ac:dyDescent="0.25">
      <c r="A921" s="974">
        <v>920</v>
      </c>
      <c r="B921" s="974" t="s">
        <v>1517</v>
      </c>
      <c r="C921" s="1046" t="s">
        <v>1717</v>
      </c>
      <c r="D921" s="1046" t="s">
        <v>1411</v>
      </c>
      <c r="E921" s="1044" t="s">
        <v>1489</v>
      </c>
    </row>
    <row r="922" spans="1:5" ht="30" x14ac:dyDescent="0.25">
      <c r="A922" s="974">
        <v>921</v>
      </c>
      <c r="B922" s="974" t="s">
        <v>1517</v>
      </c>
      <c r="C922" s="1046" t="s">
        <v>1717</v>
      </c>
      <c r="D922" s="1046" t="s">
        <v>1545</v>
      </c>
      <c r="E922" s="1044" t="s">
        <v>1385</v>
      </c>
    </row>
    <row r="923" spans="1:5" ht="30" x14ac:dyDescent="0.25">
      <c r="A923" s="974">
        <v>922</v>
      </c>
      <c r="B923" s="974" t="s">
        <v>1517</v>
      </c>
      <c r="C923" s="1046" t="s">
        <v>1717</v>
      </c>
      <c r="D923" s="1046" t="s">
        <v>1545</v>
      </c>
      <c r="E923" s="1044" t="s">
        <v>1386</v>
      </c>
    </row>
    <row r="924" spans="1:5" ht="30" x14ac:dyDescent="0.25">
      <c r="A924" s="974">
        <v>923</v>
      </c>
      <c r="B924" s="974" t="s">
        <v>1517</v>
      </c>
      <c r="C924" s="1046" t="s">
        <v>1717</v>
      </c>
      <c r="D924" s="1046" t="s">
        <v>1545</v>
      </c>
      <c r="E924" s="1044" t="s">
        <v>1496</v>
      </c>
    </row>
    <row r="925" spans="1:5" x14ac:dyDescent="0.25">
      <c r="A925" s="974">
        <v>924</v>
      </c>
      <c r="B925" s="974" t="s">
        <v>1517</v>
      </c>
      <c r="C925" s="1046" t="s">
        <v>1717</v>
      </c>
      <c r="D925" s="1046" t="s">
        <v>1411</v>
      </c>
      <c r="E925" s="1044" t="s">
        <v>1493</v>
      </c>
    </row>
    <row r="926" spans="1:5" x14ac:dyDescent="0.25">
      <c r="A926" s="974">
        <v>925</v>
      </c>
      <c r="B926" s="974" t="s">
        <v>1517</v>
      </c>
      <c r="C926" s="1046" t="s">
        <v>1717</v>
      </c>
      <c r="D926" s="1046" t="s">
        <v>1597</v>
      </c>
      <c r="E926" s="1044" t="s">
        <v>1507</v>
      </c>
    </row>
    <row r="927" spans="1:5" x14ac:dyDescent="0.25">
      <c r="A927" s="974">
        <v>926</v>
      </c>
      <c r="B927" s="974" t="s">
        <v>1517</v>
      </c>
      <c r="C927" s="1046" t="s">
        <v>1718</v>
      </c>
      <c r="D927" s="1046" t="s">
        <v>1597</v>
      </c>
      <c r="E927" s="1044" t="s">
        <v>1387</v>
      </c>
    </row>
    <row r="928" spans="1:5" x14ac:dyDescent="0.25">
      <c r="A928" s="974">
        <v>927</v>
      </c>
      <c r="B928" s="974" t="s">
        <v>1517</v>
      </c>
      <c r="C928" s="1046" t="s">
        <v>1718</v>
      </c>
      <c r="D928" s="1046" t="s">
        <v>1597</v>
      </c>
      <c r="E928" s="1044" t="s">
        <v>1388</v>
      </c>
    </row>
    <row r="929" spans="1:5" x14ac:dyDescent="0.25">
      <c r="A929" s="974">
        <v>928</v>
      </c>
      <c r="B929" s="974" t="s">
        <v>1517</v>
      </c>
      <c r="C929" s="1046" t="s">
        <v>1718</v>
      </c>
      <c r="D929" s="1046" t="s">
        <v>1597</v>
      </c>
      <c r="E929" s="1044" t="s">
        <v>1104</v>
      </c>
    </row>
    <row r="930" spans="1:5" x14ac:dyDescent="0.25">
      <c r="A930" s="974">
        <v>929</v>
      </c>
      <c r="B930" s="974" t="s">
        <v>1517</v>
      </c>
      <c r="C930" s="1046" t="s">
        <v>1717</v>
      </c>
      <c r="D930" s="1046" t="s">
        <v>1597</v>
      </c>
      <c r="E930" s="1044" t="s">
        <v>1509</v>
      </c>
    </row>
    <row r="931" spans="1:5" x14ac:dyDescent="0.25">
      <c r="A931" s="974">
        <v>930</v>
      </c>
      <c r="B931" s="974" t="s">
        <v>1517</v>
      </c>
      <c r="C931" s="1046" t="s">
        <v>1719</v>
      </c>
      <c r="D931" s="1046" t="s">
        <v>1597</v>
      </c>
      <c r="E931" s="1044" t="s">
        <v>1492</v>
      </c>
    </row>
    <row r="932" spans="1:5" x14ac:dyDescent="0.25">
      <c r="A932" s="974">
        <v>931</v>
      </c>
      <c r="B932" s="974" t="s">
        <v>1517</v>
      </c>
      <c r="C932" s="1046" t="s">
        <v>1719</v>
      </c>
      <c r="D932" s="1046" t="s">
        <v>1597</v>
      </c>
      <c r="E932" s="1044" t="s">
        <v>1706</v>
      </c>
    </row>
    <row r="933" spans="1:5" x14ac:dyDescent="0.25">
      <c r="A933" s="974">
        <v>932</v>
      </c>
      <c r="B933" s="974" t="s">
        <v>1517</v>
      </c>
      <c r="C933" s="1046" t="s">
        <v>1719</v>
      </c>
      <c r="D933" s="1046" t="s">
        <v>1597</v>
      </c>
      <c r="E933" s="1044" t="s">
        <v>1383</v>
      </c>
    </row>
    <row r="934" spans="1:5" x14ac:dyDescent="0.25">
      <c r="A934" s="974">
        <v>933</v>
      </c>
      <c r="B934" s="974" t="s">
        <v>1517</v>
      </c>
      <c r="C934" s="1046" t="s">
        <v>1719</v>
      </c>
      <c r="D934" s="1046" t="s">
        <v>1597</v>
      </c>
      <c r="E934" s="1044" t="s">
        <v>1380</v>
      </c>
    </row>
    <row r="935" spans="1:5" x14ac:dyDescent="0.25">
      <c r="A935" s="974">
        <v>934</v>
      </c>
      <c r="B935" s="974" t="s">
        <v>1517</v>
      </c>
      <c r="C935" s="1046" t="s">
        <v>1719</v>
      </c>
      <c r="D935" s="1046" t="s">
        <v>1597</v>
      </c>
      <c r="E935" s="1044" t="s">
        <v>1381</v>
      </c>
    </row>
    <row r="936" spans="1:5" x14ac:dyDescent="0.25">
      <c r="A936" s="974">
        <v>935</v>
      </c>
      <c r="B936" s="974" t="s">
        <v>1517</v>
      </c>
      <c r="C936" s="1046" t="s">
        <v>1719</v>
      </c>
      <c r="D936" s="1046" t="s">
        <v>1597</v>
      </c>
      <c r="E936" s="1044" t="s">
        <v>1397</v>
      </c>
    </row>
    <row r="937" spans="1:5" x14ac:dyDescent="0.25">
      <c r="A937" s="974">
        <v>936</v>
      </c>
      <c r="B937" s="974" t="s">
        <v>1517</v>
      </c>
      <c r="C937" s="1046" t="s">
        <v>1719</v>
      </c>
      <c r="D937" s="1046" t="s">
        <v>1411</v>
      </c>
      <c r="E937" s="1044" t="s">
        <v>1382</v>
      </c>
    </row>
    <row r="938" spans="1:5" x14ac:dyDescent="0.25">
      <c r="A938" s="974">
        <v>937</v>
      </c>
      <c r="B938" s="974" t="s">
        <v>1517</v>
      </c>
      <c r="C938" s="1046" t="s">
        <v>1719</v>
      </c>
      <c r="D938" s="1046" t="s">
        <v>1597</v>
      </c>
      <c r="E938" s="1044" t="s">
        <v>1487</v>
      </c>
    </row>
    <row r="939" spans="1:5" x14ac:dyDescent="0.25">
      <c r="A939" s="974">
        <v>938</v>
      </c>
      <c r="B939" s="974" t="s">
        <v>1517</v>
      </c>
      <c r="C939" s="1046" t="s">
        <v>1719</v>
      </c>
      <c r="D939" s="1046" t="s">
        <v>1597</v>
      </c>
      <c r="E939" s="1044" t="s">
        <v>1488</v>
      </c>
    </row>
    <row r="940" spans="1:5" x14ac:dyDescent="0.25">
      <c r="A940" s="974">
        <v>939</v>
      </c>
      <c r="B940" s="974" t="s">
        <v>1517</v>
      </c>
      <c r="C940" s="1046" t="s">
        <v>1719</v>
      </c>
      <c r="D940" s="1046" t="s">
        <v>1411</v>
      </c>
      <c r="E940" s="1044" t="s">
        <v>1489</v>
      </c>
    </row>
    <row r="941" spans="1:5" ht="30" x14ac:dyDescent="0.25">
      <c r="A941" s="974">
        <v>940</v>
      </c>
      <c r="B941" s="974" t="s">
        <v>1517</v>
      </c>
      <c r="C941" s="1046" t="s">
        <v>1719</v>
      </c>
      <c r="D941" s="1046" t="s">
        <v>1545</v>
      </c>
      <c r="E941" s="1044" t="s">
        <v>1385</v>
      </c>
    </row>
    <row r="942" spans="1:5" ht="30" x14ac:dyDescent="0.25">
      <c r="A942" s="974">
        <v>941</v>
      </c>
      <c r="B942" s="974" t="s">
        <v>1517</v>
      </c>
      <c r="C942" s="1046" t="s">
        <v>1719</v>
      </c>
      <c r="D942" s="1046" t="s">
        <v>1545</v>
      </c>
      <c r="E942" s="1044" t="s">
        <v>1386</v>
      </c>
    </row>
    <row r="943" spans="1:5" ht="30" x14ac:dyDescent="0.25">
      <c r="A943" s="974">
        <v>942</v>
      </c>
      <c r="B943" s="974" t="s">
        <v>1517</v>
      </c>
      <c r="C943" s="1046" t="s">
        <v>1719</v>
      </c>
      <c r="D943" s="1046" t="s">
        <v>1545</v>
      </c>
      <c r="E943" s="1044" t="s">
        <v>1496</v>
      </c>
    </row>
    <row r="944" spans="1:5" x14ac:dyDescent="0.25">
      <c r="A944" s="974">
        <v>943</v>
      </c>
      <c r="B944" s="974" t="s">
        <v>1517</v>
      </c>
      <c r="C944" s="1046" t="s">
        <v>1719</v>
      </c>
      <c r="D944" s="1046" t="s">
        <v>1411</v>
      </c>
      <c r="E944" s="1044" t="s">
        <v>1493</v>
      </c>
    </row>
    <row r="945" spans="1:5" x14ac:dyDescent="0.25">
      <c r="A945" s="974">
        <v>944</v>
      </c>
      <c r="B945" s="974" t="s">
        <v>1517</v>
      </c>
      <c r="C945" s="1046" t="s">
        <v>1719</v>
      </c>
      <c r="D945" s="1046" t="s">
        <v>1597</v>
      </c>
      <c r="E945" s="1044" t="s">
        <v>1507</v>
      </c>
    </row>
    <row r="946" spans="1:5" x14ac:dyDescent="0.25">
      <c r="A946" s="974">
        <v>945</v>
      </c>
      <c r="B946" s="974" t="s">
        <v>1517</v>
      </c>
      <c r="C946" s="1046" t="s">
        <v>1720</v>
      </c>
      <c r="D946" s="1046" t="s">
        <v>1597</v>
      </c>
      <c r="E946" s="1044" t="s">
        <v>1387</v>
      </c>
    </row>
    <row r="947" spans="1:5" x14ac:dyDescent="0.25">
      <c r="A947" s="974">
        <v>946</v>
      </c>
      <c r="B947" s="974" t="s">
        <v>1517</v>
      </c>
      <c r="C947" s="1046" t="s">
        <v>1720</v>
      </c>
      <c r="D947" s="1046" t="s">
        <v>1597</v>
      </c>
      <c r="E947" s="1044" t="s">
        <v>1388</v>
      </c>
    </row>
    <row r="948" spans="1:5" x14ac:dyDescent="0.25">
      <c r="A948" s="974">
        <v>947</v>
      </c>
      <c r="B948" s="974" t="s">
        <v>1517</v>
      </c>
      <c r="C948" s="1046" t="s">
        <v>1720</v>
      </c>
      <c r="D948" s="1046" t="s">
        <v>1597</v>
      </c>
      <c r="E948" s="1044" t="s">
        <v>1104</v>
      </c>
    </row>
    <row r="949" spans="1:5" x14ac:dyDescent="0.25">
      <c r="A949" s="974">
        <v>948</v>
      </c>
      <c r="B949" s="974" t="s">
        <v>1517</v>
      </c>
      <c r="C949" s="1046" t="s">
        <v>1719</v>
      </c>
      <c r="D949" s="1046" t="s">
        <v>1597</v>
      </c>
      <c r="E949" s="1044" t="s">
        <v>1509</v>
      </c>
    </row>
    <row r="950" spans="1:5" x14ac:dyDescent="0.25">
      <c r="A950" s="974">
        <v>949</v>
      </c>
      <c r="B950" s="974" t="s">
        <v>1517</v>
      </c>
      <c r="C950" s="1046" t="s">
        <v>1721</v>
      </c>
      <c r="D950" s="1046" t="s">
        <v>1597</v>
      </c>
      <c r="E950" s="1044" t="s">
        <v>1492</v>
      </c>
    </row>
    <row r="951" spans="1:5" x14ac:dyDescent="0.25">
      <c r="A951" s="974">
        <v>950</v>
      </c>
      <c r="B951" s="974" t="s">
        <v>1517</v>
      </c>
      <c r="C951" s="1046" t="s">
        <v>1721</v>
      </c>
      <c r="D951" s="1046" t="s">
        <v>1597</v>
      </c>
      <c r="E951" s="1044" t="s">
        <v>1706</v>
      </c>
    </row>
    <row r="952" spans="1:5" x14ac:dyDescent="0.25">
      <c r="A952" s="974">
        <v>951</v>
      </c>
      <c r="B952" s="974" t="s">
        <v>1517</v>
      </c>
      <c r="C952" s="1046" t="s">
        <v>1721</v>
      </c>
      <c r="D952" s="1046" t="s">
        <v>1597</v>
      </c>
      <c r="E952" s="1044" t="s">
        <v>1383</v>
      </c>
    </row>
    <row r="953" spans="1:5" x14ac:dyDescent="0.25">
      <c r="A953" s="974">
        <v>952</v>
      </c>
      <c r="B953" s="974" t="s">
        <v>1517</v>
      </c>
      <c r="C953" s="1046" t="s">
        <v>1721</v>
      </c>
      <c r="D953" s="1046" t="s">
        <v>1597</v>
      </c>
      <c r="E953" s="1044" t="s">
        <v>1380</v>
      </c>
    </row>
    <row r="954" spans="1:5" x14ac:dyDescent="0.25">
      <c r="A954" s="974">
        <v>953</v>
      </c>
      <c r="B954" s="974" t="s">
        <v>1517</v>
      </c>
      <c r="C954" s="1046" t="s">
        <v>1721</v>
      </c>
      <c r="D954" s="1046" t="s">
        <v>1597</v>
      </c>
      <c r="E954" s="1044" t="s">
        <v>1381</v>
      </c>
    </row>
    <row r="955" spans="1:5" x14ac:dyDescent="0.25">
      <c r="A955" s="974">
        <v>954</v>
      </c>
      <c r="B955" s="974" t="s">
        <v>1517</v>
      </c>
      <c r="C955" s="1046" t="s">
        <v>1721</v>
      </c>
      <c r="D955" s="1046" t="s">
        <v>1597</v>
      </c>
      <c r="E955" s="1044" t="s">
        <v>1397</v>
      </c>
    </row>
    <row r="956" spans="1:5" x14ac:dyDescent="0.25">
      <c r="A956" s="974">
        <v>955</v>
      </c>
      <c r="B956" s="974" t="s">
        <v>1517</v>
      </c>
      <c r="C956" s="1046" t="s">
        <v>1721</v>
      </c>
      <c r="D956" s="1046" t="s">
        <v>1411</v>
      </c>
      <c r="E956" s="1044" t="s">
        <v>1382</v>
      </c>
    </row>
    <row r="957" spans="1:5" x14ac:dyDescent="0.25">
      <c r="A957" s="974">
        <v>956</v>
      </c>
      <c r="B957" s="974" t="s">
        <v>1517</v>
      </c>
      <c r="C957" s="1046" t="s">
        <v>1721</v>
      </c>
      <c r="D957" s="1046" t="s">
        <v>1597</v>
      </c>
      <c r="E957" s="1044" t="s">
        <v>1487</v>
      </c>
    </row>
    <row r="958" spans="1:5" x14ac:dyDescent="0.25">
      <c r="A958" s="974">
        <v>957</v>
      </c>
      <c r="B958" s="974" t="s">
        <v>1517</v>
      </c>
      <c r="C958" s="1046" t="s">
        <v>1721</v>
      </c>
      <c r="D958" s="1046" t="s">
        <v>1597</v>
      </c>
      <c r="E958" s="1044" t="s">
        <v>1488</v>
      </c>
    </row>
    <row r="959" spans="1:5" x14ac:dyDescent="0.25">
      <c r="A959" s="974">
        <v>958</v>
      </c>
      <c r="B959" s="974" t="s">
        <v>1517</v>
      </c>
      <c r="C959" s="1046" t="s">
        <v>1721</v>
      </c>
      <c r="D959" s="1046" t="s">
        <v>1411</v>
      </c>
      <c r="E959" s="1044" t="s">
        <v>1489</v>
      </c>
    </row>
    <row r="960" spans="1:5" ht="30" x14ac:dyDescent="0.25">
      <c r="A960" s="974">
        <v>959</v>
      </c>
      <c r="B960" s="974" t="s">
        <v>1517</v>
      </c>
      <c r="C960" s="1046" t="s">
        <v>1721</v>
      </c>
      <c r="D960" s="1046" t="s">
        <v>1545</v>
      </c>
      <c r="E960" s="1044" t="s">
        <v>1385</v>
      </c>
    </row>
    <row r="961" spans="1:5" ht="30" x14ac:dyDescent="0.25">
      <c r="A961" s="974">
        <v>960</v>
      </c>
      <c r="B961" s="974" t="s">
        <v>1517</v>
      </c>
      <c r="C961" s="1046" t="s">
        <v>1721</v>
      </c>
      <c r="D961" s="1046" t="s">
        <v>1545</v>
      </c>
      <c r="E961" s="1044" t="s">
        <v>1386</v>
      </c>
    </row>
    <row r="962" spans="1:5" ht="30" x14ac:dyDescent="0.25">
      <c r="A962" s="974">
        <v>961</v>
      </c>
      <c r="B962" s="974" t="s">
        <v>1517</v>
      </c>
      <c r="C962" s="1046" t="s">
        <v>1721</v>
      </c>
      <c r="D962" s="1046" t="s">
        <v>1545</v>
      </c>
      <c r="E962" s="1044" t="s">
        <v>1496</v>
      </c>
    </row>
    <row r="963" spans="1:5" x14ac:dyDescent="0.25">
      <c r="A963" s="974">
        <v>962</v>
      </c>
      <c r="B963" s="974" t="s">
        <v>1517</v>
      </c>
      <c r="C963" s="1046" t="s">
        <v>1721</v>
      </c>
      <c r="D963" s="1046" t="s">
        <v>1411</v>
      </c>
      <c r="E963" s="1044" t="s">
        <v>1493</v>
      </c>
    </row>
    <row r="964" spans="1:5" x14ac:dyDescent="0.25">
      <c r="A964" s="974">
        <v>963</v>
      </c>
      <c r="B964" s="974" t="s">
        <v>1517</v>
      </c>
      <c r="C964" s="1046" t="s">
        <v>1721</v>
      </c>
      <c r="D964" s="1046" t="s">
        <v>1597</v>
      </c>
      <c r="E964" s="1044" t="s">
        <v>1507</v>
      </c>
    </row>
    <row r="965" spans="1:5" x14ac:dyDescent="0.25">
      <c r="A965" s="974">
        <v>964</v>
      </c>
      <c r="B965" s="974" t="s">
        <v>1517</v>
      </c>
      <c r="C965" s="1046" t="s">
        <v>1722</v>
      </c>
      <c r="D965" s="1046" t="s">
        <v>1597</v>
      </c>
      <c r="E965" s="1044" t="s">
        <v>1387</v>
      </c>
    </row>
    <row r="966" spans="1:5" x14ac:dyDescent="0.25">
      <c r="A966" s="974">
        <v>965</v>
      </c>
      <c r="B966" s="974" t="s">
        <v>1517</v>
      </c>
      <c r="C966" s="1046" t="s">
        <v>1722</v>
      </c>
      <c r="D966" s="1046" t="s">
        <v>1597</v>
      </c>
      <c r="E966" s="1044" t="s">
        <v>1388</v>
      </c>
    </row>
    <row r="967" spans="1:5" x14ac:dyDescent="0.25">
      <c r="A967" s="974">
        <v>966</v>
      </c>
      <c r="B967" s="974" t="s">
        <v>1517</v>
      </c>
      <c r="C967" s="1046" t="s">
        <v>1722</v>
      </c>
      <c r="D967" s="1046" t="s">
        <v>1597</v>
      </c>
      <c r="E967" s="1044" t="s">
        <v>1104</v>
      </c>
    </row>
    <row r="968" spans="1:5" x14ac:dyDescent="0.25">
      <c r="A968" s="974">
        <v>967</v>
      </c>
      <c r="B968" s="974" t="s">
        <v>1517</v>
      </c>
      <c r="C968" s="1046" t="s">
        <v>1721</v>
      </c>
      <c r="D968" s="1046" t="s">
        <v>1597</v>
      </c>
      <c r="E968" s="1044" t="s">
        <v>1509</v>
      </c>
    </row>
    <row r="969" spans="1:5" x14ac:dyDescent="0.25">
      <c r="A969" s="974">
        <v>968</v>
      </c>
      <c r="B969" s="974" t="s">
        <v>1517</v>
      </c>
      <c r="C969" s="1046" t="s">
        <v>1665</v>
      </c>
      <c r="D969" s="1046" t="s">
        <v>1664</v>
      </c>
      <c r="E969" s="974" t="s">
        <v>1492</v>
      </c>
    </row>
    <row r="970" spans="1:5" x14ac:dyDescent="0.25">
      <c r="A970" s="974">
        <v>969</v>
      </c>
      <c r="B970" s="974" t="s">
        <v>1517</v>
      </c>
      <c r="C970" s="1046" t="s">
        <v>1665</v>
      </c>
      <c r="D970" s="1046" t="s">
        <v>1664</v>
      </c>
      <c r="E970" s="974" t="s">
        <v>1706</v>
      </c>
    </row>
    <row r="971" spans="1:5" x14ac:dyDescent="0.25">
      <c r="A971" s="974">
        <v>970</v>
      </c>
      <c r="B971" s="974" t="s">
        <v>1517</v>
      </c>
      <c r="C971" s="1046" t="s">
        <v>1665</v>
      </c>
      <c r="D971" s="1046" t="s">
        <v>1664</v>
      </c>
      <c r="E971" s="974" t="s">
        <v>1383</v>
      </c>
    </row>
    <row r="972" spans="1:5" x14ac:dyDescent="0.25">
      <c r="A972" s="974">
        <v>971</v>
      </c>
      <c r="B972" s="974" t="s">
        <v>1517</v>
      </c>
      <c r="C972" s="1046" t="s">
        <v>1665</v>
      </c>
      <c r="D972" s="1046" t="s">
        <v>1664</v>
      </c>
      <c r="E972" s="974" t="s">
        <v>1380</v>
      </c>
    </row>
    <row r="973" spans="1:5" x14ac:dyDescent="0.25">
      <c r="A973" s="974">
        <v>972</v>
      </c>
      <c r="B973" s="974" t="s">
        <v>1517</v>
      </c>
      <c r="C973" s="1046" t="s">
        <v>1665</v>
      </c>
      <c r="D973" s="1046" t="s">
        <v>1664</v>
      </c>
      <c r="E973" s="974" t="s">
        <v>1381</v>
      </c>
    </row>
    <row r="974" spans="1:5" x14ac:dyDescent="0.25">
      <c r="A974" s="974">
        <v>973</v>
      </c>
      <c r="B974" s="974" t="s">
        <v>1517</v>
      </c>
      <c r="C974" s="1046" t="s">
        <v>1665</v>
      </c>
      <c r="D974" s="1046" t="s">
        <v>1664</v>
      </c>
      <c r="E974" s="974" t="s">
        <v>1397</v>
      </c>
    </row>
    <row r="975" spans="1:5" x14ac:dyDescent="0.25">
      <c r="A975" s="974">
        <v>974</v>
      </c>
      <c r="B975" s="974" t="s">
        <v>1517</v>
      </c>
      <c r="C975" s="1046" t="s">
        <v>1665</v>
      </c>
      <c r="D975" s="1046" t="s">
        <v>1411</v>
      </c>
      <c r="E975" s="974" t="s">
        <v>1382</v>
      </c>
    </row>
    <row r="976" spans="1:5" x14ac:dyDescent="0.25">
      <c r="A976" s="974">
        <v>975</v>
      </c>
      <c r="B976" s="974" t="s">
        <v>1517</v>
      </c>
      <c r="C976" s="1046" t="s">
        <v>1665</v>
      </c>
      <c r="D976" s="1046" t="s">
        <v>1664</v>
      </c>
      <c r="E976" s="974" t="s">
        <v>1487</v>
      </c>
    </row>
    <row r="977" spans="1:5" x14ac:dyDescent="0.25">
      <c r="A977" s="974">
        <v>976</v>
      </c>
      <c r="B977" s="974" t="s">
        <v>1517</v>
      </c>
      <c r="C977" s="1046" t="s">
        <v>1665</v>
      </c>
      <c r="D977" s="1046" t="s">
        <v>1664</v>
      </c>
      <c r="E977" s="974" t="s">
        <v>1488</v>
      </c>
    </row>
    <row r="978" spans="1:5" x14ac:dyDescent="0.25">
      <c r="A978" s="974">
        <v>977</v>
      </c>
      <c r="B978" s="974" t="s">
        <v>1517</v>
      </c>
      <c r="C978" s="1046" t="s">
        <v>1665</v>
      </c>
      <c r="D978" s="1046" t="s">
        <v>1411</v>
      </c>
      <c r="E978" s="974" t="s">
        <v>1489</v>
      </c>
    </row>
    <row r="979" spans="1:5" ht="30" x14ac:dyDescent="0.25">
      <c r="A979" s="974">
        <v>978</v>
      </c>
      <c r="B979" s="974" t="s">
        <v>1517</v>
      </c>
      <c r="C979" s="1046" t="s">
        <v>1665</v>
      </c>
      <c r="D979" s="1046" t="s">
        <v>1545</v>
      </c>
      <c r="E979" s="974" t="s">
        <v>1385</v>
      </c>
    </row>
    <row r="980" spans="1:5" ht="30" x14ac:dyDescent="0.25">
      <c r="A980" s="974">
        <v>979</v>
      </c>
      <c r="B980" s="974" t="s">
        <v>1517</v>
      </c>
      <c r="C980" s="1046" t="s">
        <v>1665</v>
      </c>
      <c r="D980" s="1046" t="s">
        <v>1545</v>
      </c>
      <c r="E980" s="974" t="s">
        <v>1386</v>
      </c>
    </row>
    <row r="981" spans="1:5" ht="30" x14ac:dyDescent="0.25">
      <c r="A981" s="974">
        <v>980</v>
      </c>
      <c r="B981" s="974" t="s">
        <v>1517</v>
      </c>
      <c r="C981" s="1046" t="s">
        <v>1665</v>
      </c>
      <c r="D981" s="1046" t="s">
        <v>1545</v>
      </c>
      <c r="E981" s="974" t="s">
        <v>1496</v>
      </c>
    </row>
    <row r="982" spans="1:5" x14ac:dyDescent="0.25">
      <c r="A982" s="974">
        <v>981</v>
      </c>
      <c r="B982" s="974" t="s">
        <v>1517</v>
      </c>
      <c r="C982" s="1046" t="s">
        <v>1665</v>
      </c>
      <c r="D982" s="1046" t="s">
        <v>1411</v>
      </c>
      <c r="E982" s="974" t="s">
        <v>1493</v>
      </c>
    </row>
    <row r="983" spans="1:5" x14ac:dyDescent="0.25">
      <c r="A983" s="974">
        <v>982</v>
      </c>
      <c r="B983" s="974" t="s">
        <v>1517</v>
      </c>
      <c r="C983" s="1046" t="s">
        <v>1665</v>
      </c>
      <c r="D983" s="1046" t="s">
        <v>1664</v>
      </c>
      <c r="E983" s="974" t="s">
        <v>1507</v>
      </c>
    </row>
    <row r="984" spans="1:5" x14ac:dyDescent="0.25">
      <c r="A984" s="974">
        <v>983</v>
      </c>
      <c r="B984" s="974" t="s">
        <v>1517</v>
      </c>
      <c r="C984" s="1046" t="s">
        <v>1666</v>
      </c>
      <c r="D984" s="1046" t="s">
        <v>1664</v>
      </c>
      <c r="E984" s="974" t="s">
        <v>1387</v>
      </c>
    </row>
    <row r="985" spans="1:5" x14ac:dyDescent="0.25">
      <c r="A985" s="974">
        <v>984</v>
      </c>
      <c r="B985" s="974" t="s">
        <v>1517</v>
      </c>
      <c r="C985" s="1046" t="s">
        <v>1666</v>
      </c>
      <c r="D985" s="1046" t="s">
        <v>1664</v>
      </c>
      <c r="E985" s="974" t="s">
        <v>1388</v>
      </c>
    </row>
    <row r="986" spans="1:5" x14ac:dyDescent="0.25">
      <c r="A986" s="974">
        <v>985</v>
      </c>
      <c r="B986" s="974" t="s">
        <v>1517</v>
      </c>
      <c r="C986" s="1046" t="s">
        <v>1666</v>
      </c>
      <c r="D986" s="1046" t="s">
        <v>1664</v>
      </c>
      <c r="E986" s="974" t="s">
        <v>1104</v>
      </c>
    </row>
    <row r="987" spans="1:5" x14ac:dyDescent="0.25">
      <c r="A987" s="974">
        <v>986</v>
      </c>
      <c r="B987" s="974" t="s">
        <v>1517</v>
      </c>
      <c r="C987" s="1046" t="s">
        <v>1668</v>
      </c>
      <c r="D987" s="1046" t="s">
        <v>1667</v>
      </c>
      <c r="E987" s="974" t="s">
        <v>1492</v>
      </c>
    </row>
    <row r="988" spans="1:5" x14ac:dyDescent="0.25">
      <c r="A988" s="974">
        <v>987</v>
      </c>
      <c r="B988" s="974" t="s">
        <v>1517</v>
      </c>
      <c r="C988" s="1046" t="s">
        <v>1668</v>
      </c>
      <c r="D988" s="1046" t="s">
        <v>1667</v>
      </c>
      <c r="E988" s="974" t="s">
        <v>1706</v>
      </c>
    </row>
    <row r="989" spans="1:5" x14ac:dyDescent="0.25">
      <c r="A989" s="974">
        <v>988</v>
      </c>
      <c r="B989" s="974" t="s">
        <v>1517</v>
      </c>
      <c r="C989" s="1046" t="s">
        <v>1668</v>
      </c>
      <c r="D989" s="1046" t="s">
        <v>1667</v>
      </c>
      <c r="E989" s="974" t="s">
        <v>1383</v>
      </c>
    </row>
    <row r="990" spans="1:5" x14ac:dyDescent="0.25">
      <c r="A990" s="974">
        <v>989</v>
      </c>
      <c r="B990" s="974" t="s">
        <v>1517</v>
      </c>
      <c r="C990" s="1046" t="s">
        <v>1668</v>
      </c>
      <c r="D990" s="1046" t="s">
        <v>1667</v>
      </c>
      <c r="E990" s="974" t="s">
        <v>1381</v>
      </c>
    </row>
    <row r="991" spans="1:5" x14ac:dyDescent="0.25">
      <c r="A991" s="974">
        <v>990</v>
      </c>
      <c r="B991" s="974" t="s">
        <v>1517</v>
      </c>
      <c r="C991" s="1046" t="s">
        <v>1668</v>
      </c>
      <c r="D991" s="1046" t="s">
        <v>1667</v>
      </c>
      <c r="E991" s="974" t="s">
        <v>1397</v>
      </c>
    </row>
    <row r="992" spans="1:5" x14ac:dyDescent="0.25">
      <c r="A992" s="974">
        <v>991</v>
      </c>
      <c r="B992" s="974" t="s">
        <v>1517</v>
      </c>
      <c r="C992" s="1046" t="s">
        <v>1668</v>
      </c>
      <c r="D992" s="1046" t="s">
        <v>1411</v>
      </c>
      <c r="E992" s="974" t="s">
        <v>1382</v>
      </c>
    </row>
    <row r="993" spans="1:5" ht="30" x14ac:dyDescent="0.25">
      <c r="A993" s="974">
        <v>992</v>
      </c>
      <c r="B993" s="974" t="s">
        <v>1517</v>
      </c>
      <c r="C993" s="1046" t="s">
        <v>1668</v>
      </c>
      <c r="D993" s="1046" t="s">
        <v>1545</v>
      </c>
      <c r="E993" s="974" t="s">
        <v>1385</v>
      </c>
    </row>
    <row r="994" spans="1:5" ht="30" x14ac:dyDescent="0.25">
      <c r="A994" s="974">
        <v>993</v>
      </c>
      <c r="B994" s="974" t="s">
        <v>1517</v>
      </c>
      <c r="C994" s="1046" t="s">
        <v>1668</v>
      </c>
      <c r="D994" s="1046" t="s">
        <v>1545</v>
      </c>
      <c r="E994" s="974" t="s">
        <v>1386</v>
      </c>
    </row>
    <row r="995" spans="1:5" ht="30" x14ac:dyDescent="0.25">
      <c r="A995" s="974">
        <v>994</v>
      </c>
      <c r="B995" s="974" t="s">
        <v>1517</v>
      </c>
      <c r="C995" s="1046" t="s">
        <v>1668</v>
      </c>
      <c r="D995" s="1046" t="s">
        <v>1545</v>
      </c>
      <c r="E995" s="974" t="s">
        <v>1496</v>
      </c>
    </row>
    <row r="996" spans="1:5" x14ac:dyDescent="0.25">
      <c r="A996" s="974">
        <v>995</v>
      </c>
      <c r="B996" s="974" t="s">
        <v>1517</v>
      </c>
      <c r="C996" s="1046" t="s">
        <v>1668</v>
      </c>
      <c r="D996" s="1046" t="s">
        <v>1411</v>
      </c>
      <c r="E996" s="974" t="s">
        <v>1493</v>
      </c>
    </row>
    <row r="997" spans="1:5" x14ac:dyDescent="0.25">
      <c r="A997" s="974">
        <v>996</v>
      </c>
      <c r="B997" s="974" t="s">
        <v>1517</v>
      </c>
      <c r="C997" s="1046" t="s">
        <v>1668</v>
      </c>
      <c r="D997" s="1046" t="s">
        <v>1411</v>
      </c>
      <c r="E997" s="974" t="s">
        <v>1396</v>
      </c>
    </row>
    <row r="998" spans="1:5" x14ac:dyDescent="0.25">
      <c r="A998" s="974">
        <v>997</v>
      </c>
      <c r="B998" s="974" t="s">
        <v>1517</v>
      </c>
      <c r="C998" s="1046" t="s">
        <v>1669</v>
      </c>
      <c r="D998" s="1046" t="s">
        <v>1667</v>
      </c>
      <c r="E998" s="974" t="s">
        <v>1492</v>
      </c>
    </row>
    <row r="999" spans="1:5" x14ac:dyDescent="0.25">
      <c r="A999" s="974">
        <v>998</v>
      </c>
      <c r="B999" s="974" t="s">
        <v>1517</v>
      </c>
      <c r="C999" s="1046" t="s">
        <v>1669</v>
      </c>
      <c r="D999" s="1046" t="s">
        <v>1667</v>
      </c>
      <c r="E999" s="974" t="s">
        <v>1706</v>
      </c>
    </row>
    <row r="1000" spans="1:5" x14ac:dyDescent="0.25">
      <c r="A1000" s="974">
        <v>999</v>
      </c>
      <c r="B1000" s="974" t="s">
        <v>1517</v>
      </c>
      <c r="C1000" s="1046" t="s">
        <v>1669</v>
      </c>
      <c r="D1000" s="1046" t="s">
        <v>1667</v>
      </c>
      <c r="E1000" s="974" t="s">
        <v>1383</v>
      </c>
    </row>
    <row r="1001" spans="1:5" x14ac:dyDescent="0.25">
      <c r="A1001" s="974">
        <v>1000</v>
      </c>
      <c r="B1001" s="974" t="s">
        <v>1517</v>
      </c>
      <c r="C1001" s="1046" t="s">
        <v>1669</v>
      </c>
      <c r="D1001" s="1046" t="s">
        <v>1667</v>
      </c>
      <c r="E1001" s="974" t="s">
        <v>1381</v>
      </c>
    </row>
    <row r="1002" spans="1:5" x14ac:dyDescent="0.25">
      <c r="A1002" s="974">
        <v>1001</v>
      </c>
      <c r="B1002" s="974" t="s">
        <v>1517</v>
      </c>
      <c r="C1002" s="1046" t="s">
        <v>1669</v>
      </c>
      <c r="D1002" s="1046" t="s">
        <v>1667</v>
      </c>
      <c r="E1002" s="974" t="s">
        <v>1397</v>
      </c>
    </row>
    <row r="1003" spans="1:5" x14ac:dyDescent="0.25">
      <c r="A1003" s="974">
        <v>1002</v>
      </c>
      <c r="B1003" s="974" t="s">
        <v>1517</v>
      </c>
      <c r="C1003" s="1046" t="s">
        <v>1669</v>
      </c>
      <c r="D1003" s="1046" t="s">
        <v>1411</v>
      </c>
      <c r="E1003" s="974" t="s">
        <v>1382</v>
      </c>
    </row>
    <row r="1004" spans="1:5" ht="30" x14ac:dyDescent="0.25">
      <c r="A1004" s="974">
        <v>1003</v>
      </c>
      <c r="B1004" s="974" t="s">
        <v>1517</v>
      </c>
      <c r="C1004" s="1046" t="s">
        <v>1669</v>
      </c>
      <c r="D1004" s="1046" t="s">
        <v>1545</v>
      </c>
      <c r="E1004" s="974" t="s">
        <v>1385</v>
      </c>
    </row>
    <row r="1005" spans="1:5" ht="30" x14ac:dyDescent="0.25">
      <c r="A1005" s="974">
        <v>1004</v>
      </c>
      <c r="B1005" s="974" t="s">
        <v>1517</v>
      </c>
      <c r="C1005" s="1046" t="s">
        <v>1669</v>
      </c>
      <c r="D1005" s="1046" t="s">
        <v>1545</v>
      </c>
      <c r="E1005" s="974" t="s">
        <v>1386</v>
      </c>
    </row>
    <row r="1006" spans="1:5" ht="30" x14ac:dyDescent="0.25">
      <c r="A1006" s="974">
        <v>1005</v>
      </c>
      <c r="B1006" s="974" t="s">
        <v>1517</v>
      </c>
      <c r="C1006" s="1046" t="s">
        <v>1669</v>
      </c>
      <c r="D1006" s="1046" t="s">
        <v>1545</v>
      </c>
      <c r="E1006" s="974" t="s">
        <v>1496</v>
      </c>
    </row>
    <row r="1007" spans="1:5" x14ac:dyDescent="0.25">
      <c r="A1007" s="974">
        <v>1006</v>
      </c>
      <c r="B1007" s="974" t="s">
        <v>1517</v>
      </c>
      <c r="C1007" s="1046" t="s">
        <v>1669</v>
      </c>
      <c r="D1007" s="1046" t="s">
        <v>1411</v>
      </c>
      <c r="E1007" s="974" t="s">
        <v>1493</v>
      </c>
    </row>
    <row r="1008" spans="1:5" x14ac:dyDescent="0.25">
      <c r="A1008" s="974">
        <v>1007</v>
      </c>
      <c r="B1008" s="974" t="s">
        <v>1517</v>
      </c>
      <c r="C1008" s="1046" t="s">
        <v>1669</v>
      </c>
      <c r="D1008" s="1046" t="s">
        <v>1411</v>
      </c>
      <c r="E1008" s="974" t="s">
        <v>1396</v>
      </c>
    </row>
    <row r="1009" spans="1:5" x14ac:dyDescent="0.25">
      <c r="A1009" s="974">
        <v>1008</v>
      </c>
      <c r="B1009" s="974" t="s">
        <v>1517</v>
      </c>
      <c r="C1009" s="1046" t="s">
        <v>1670</v>
      </c>
      <c r="D1009" s="1046" t="s">
        <v>2107</v>
      </c>
      <c r="E1009" s="974" t="s">
        <v>1492</v>
      </c>
    </row>
    <row r="1010" spans="1:5" x14ac:dyDescent="0.25">
      <c r="A1010" s="974">
        <v>1009</v>
      </c>
      <c r="B1010" s="974" t="s">
        <v>1517</v>
      </c>
      <c r="C1010" s="1046" t="s">
        <v>1670</v>
      </c>
      <c r="D1010" s="1046" t="s">
        <v>2107</v>
      </c>
      <c r="E1010" s="974" t="s">
        <v>1706</v>
      </c>
    </row>
    <row r="1011" spans="1:5" x14ac:dyDescent="0.25">
      <c r="A1011" s="974">
        <v>1010</v>
      </c>
      <c r="B1011" s="974" t="s">
        <v>1517</v>
      </c>
      <c r="C1011" s="1046" t="s">
        <v>1670</v>
      </c>
      <c r="D1011" s="1046" t="s">
        <v>2107</v>
      </c>
      <c r="E1011" s="974" t="s">
        <v>1383</v>
      </c>
    </row>
    <row r="1012" spans="1:5" x14ac:dyDescent="0.25">
      <c r="A1012" s="974">
        <v>1011</v>
      </c>
      <c r="B1012" s="974" t="s">
        <v>1517</v>
      </c>
      <c r="C1012" s="1046" t="s">
        <v>1670</v>
      </c>
      <c r="D1012" s="1046" t="s">
        <v>2107</v>
      </c>
      <c r="E1012" s="974" t="s">
        <v>1381</v>
      </c>
    </row>
    <row r="1013" spans="1:5" x14ac:dyDescent="0.25">
      <c r="A1013" s="974">
        <v>1012</v>
      </c>
      <c r="B1013" s="974" t="s">
        <v>1517</v>
      </c>
      <c r="C1013" s="1046" t="s">
        <v>1670</v>
      </c>
      <c r="D1013" s="1046" t="s">
        <v>2107</v>
      </c>
      <c r="E1013" s="974" t="s">
        <v>1397</v>
      </c>
    </row>
    <row r="1014" spans="1:5" x14ac:dyDescent="0.25">
      <c r="A1014" s="974">
        <v>1013</v>
      </c>
      <c r="B1014" s="974" t="s">
        <v>1517</v>
      </c>
      <c r="C1014" s="1046" t="s">
        <v>1670</v>
      </c>
      <c r="D1014" s="1046" t="s">
        <v>1411</v>
      </c>
      <c r="E1014" s="974" t="s">
        <v>1382</v>
      </c>
    </row>
    <row r="1015" spans="1:5" ht="30" x14ac:dyDescent="0.25">
      <c r="A1015" s="974">
        <v>1014</v>
      </c>
      <c r="B1015" s="974" t="s">
        <v>1517</v>
      </c>
      <c r="C1015" s="1046" t="s">
        <v>1670</v>
      </c>
      <c r="D1015" s="1046" t="s">
        <v>1545</v>
      </c>
      <c r="E1015" s="974" t="s">
        <v>1385</v>
      </c>
    </row>
    <row r="1016" spans="1:5" ht="30" x14ac:dyDescent="0.25">
      <c r="A1016" s="974">
        <v>1015</v>
      </c>
      <c r="B1016" s="974" t="s">
        <v>1517</v>
      </c>
      <c r="C1016" s="1046" t="s">
        <v>1670</v>
      </c>
      <c r="D1016" s="1046" t="s">
        <v>1545</v>
      </c>
      <c r="E1016" s="974" t="s">
        <v>1386</v>
      </c>
    </row>
    <row r="1017" spans="1:5" ht="30" x14ac:dyDescent="0.25">
      <c r="A1017" s="974">
        <v>1016</v>
      </c>
      <c r="B1017" s="974" t="s">
        <v>1517</v>
      </c>
      <c r="C1017" s="1046" t="s">
        <v>1670</v>
      </c>
      <c r="D1017" s="1046" t="s">
        <v>1545</v>
      </c>
      <c r="E1017" s="974" t="s">
        <v>1496</v>
      </c>
    </row>
    <row r="1018" spans="1:5" x14ac:dyDescent="0.25">
      <c r="A1018" s="974">
        <v>1017</v>
      </c>
      <c r="B1018" s="974" t="s">
        <v>1517</v>
      </c>
      <c r="C1018" s="1046" t="s">
        <v>1670</v>
      </c>
      <c r="D1018" s="1046" t="s">
        <v>1411</v>
      </c>
      <c r="E1018" s="974" t="s">
        <v>1493</v>
      </c>
    </row>
    <row r="1019" spans="1:5" x14ac:dyDescent="0.25">
      <c r="A1019" s="974">
        <v>1018</v>
      </c>
      <c r="B1019" s="974" t="s">
        <v>1517</v>
      </c>
      <c r="C1019" s="1046" t="s">
        <v>1670</v>
      </c>
      <c r="D1019" s="1046" t="s">
        <v>1411</v>
      </c>
      <c r="E1019" s="974" t="s">
        <v>1396</v>
      </c>
    </row>
    <row r="1020" spans="1:5" x14ac:dyDescent="0.25">
      <c r="A1020" s="974">
        <v>1019</v>
      </c>
      <c r="B1020" s="974" t="s">
        <v>1517</v>
      </c>
      <c r="C1020" s="1046" t="s">
        <v>2108</v>
      </c>
      <c r="D1020" s="1046" t="s">
        <v>1671</v>
      </c>
      <c r="E1020" s="974" t="s">
        <v>1492</v>
      </c>
    </row>
    <row r="1021" spans="1:5" x14ac:dyDescent="0.25">
      <c r="A1021" s="974">
        <v>1020</v>
      </c>
      <c r="B1021" s="974" t="s">
        <v>1517</v>
      </c>
      <c r="C1021" s="1046" t="s">
        <v>2108</v>
      </c>
      <c r="D1021" s="1046" t="s">
        <v>1671</v>
      </c>
      <c r="E1021" s="974" t="s">
        <v>1706</v>
      </c>
    </row>
    <row r="1022" spans="1:5" x14ac:dyDescent="0.25">
      <c r="A1022" s="974">
        <v>1021</v>
      </c>
      <c r="B1022" s="974" t="s">
        <v>1517</v>
      </c>
      <c r="C1022" s="1046" t="s">
        <v>2108</v>
      </c>
      <c r="D1022" s="1046" t="s">
        <v>1671</v>
      </c>
      <c r="E1022" s="974" t="s">
        <v>1383</v>
      </c>
    </row>
    <row r="1023" spans="1:5" x14ac:dyDescent="0.25">
      <c r="A1023" s="974">
        <v>1022</v>
      </c>
      <c r="B1023" s="974" t="s">
        <v>1517</v>
      </c>
      <c r="C1023" s="1046" t="s">
        <v>2108</v>
      </c>
      <c r="D1023" s="1046" t="s">
        <v>1671</v>
      </c>
      <c r="E1023" s="974" t="s">
        <v>1381</v>
      </c>
    </row>
    <row r="1024" spans="1:5" x14ac:dyDescent="0.25">
      <c r="A1024" s="974">
        <v>1023</v>
      </c>
      <c r="B1024" s="974" t="s">
        <v>1517</v>
      </c>
      <c r="C1024" s="1046" t="s">
        <v>2108</v>
      </c>
      <c r="D1024" s="1046" t="s">
        <v>1671</v>
      </c>
      <c r="E1024" s="974" t="s">
        <v>1397</v>
      </c>
    </row>
    <row r="1025" spans="1:5" x14ac:dyDescent="0.25">
      <c r="A1025" s="974">
        <v>1024</v>
      </c>
      <c r="B1025" s="974" t="s">
        <v>1517</v>
      </c>
      <c r="C1025" s="1046" t="s">
        <v>2108</v>
      </c>
      <c r="D1025" s="1046" t="s">
        <v>1411</v>
      </c>
      <c r="E1025" s="974" t="s">
        <v>1382</v>
      </c>
    </row>
    <row r="1026" spans="1:5" x14ac:dyDescent="0.25">
      <c r="A1026" s="974">
        <v>1025</v>
      </c>
      <c r="B1026" s="974" t="s">
        <v>1517</v>
      </c>
      <c r="C1026" s="1046" t="s">
        <v>2108</v>
      </c>
      <c r="D1026" s="1046" t="s">
        <v>1671</v>
      </c>
      <c r="E1026" s="974" t="s">
        <v>1487</v>
      </c>
    </row>
    <row r="1027" spans="1:5" x14ac:dyDescent="0.25">
      <c r="A1027" s="974">
        <v>1026</v>
      </c>
      <c r="B1027" s="974" t="s">
        <v>1517</v>
      </c>
      <c r="C1027" s="1046" t="s">
        <v>2108</v>
      </c>
      <c r="D1027" s="1046" t="s">
        <v>1671</v>
      </c>
      <c r="E1027" s="974" t="s">
        <v>1488</v>
      </c>
    </row>
    <row r="1028" spans="1:5" x14ac:dyDescent="0.25">
      <c r="A1028" s="974">
        <v>1027</v>
      </c>
      <c r="B1028" s="974" t="s">
        <v>1517</v>
      </c>
      <c r="C1028" s="1046" t="s">
        <v>2108</v>
      </c>
      <c r="D1028" s="1046" t="s">
        <v>1411</v>
      </c>
      <c r="E1028" s="974" t="s">
        <v>1489</v>
      </c>
    </row>
    <row r="1029" spans="1:5" ht="30" x14ac:dyDescent="0.25">
      <c r="A1029" s="974">
        <v>1028</v>
      </c>
      <c r="B1029" s="974" t="s">
        <v>1517</v>
      </c>
      <c r="C1029" s="1046" t="s">
        <v>2108</v>
      </c>
      <c r="D1029" s="1046" t="s">
        <v>1545</v>
      </c>
      <c r="E1029" s="974" t="s">
        <v>1385</v>
      </c>
    </row>
    <row r="1030" spans="1:5" ht="30" x14ac:dyDescent="0.25">
      <c r="A1030" s="974">
        <v>1029</v>
      </c>
      <c r="B1030" s="974" t="s">
        <v>1517</v>
      </c>
      <c r="C1030" s="1046" t="s">
        <v>2108</v>
      </c>
      <c r="D1030" s="1046" t="s">
        <v>1545</v>
      </c>
      <c r="E1030" s="974" t="s">
        <v>1386</v>
      </c>
    </row>
    <row r="1031" spans="1:5" ht="30" x14ac:dyDescent="0.25">
      <c r="A1031" s="974">
        <v>1030</v>
      </c>
      <c r="B1031" s="974" t="s">
        <v>1517</v>
      </c>
      <c r="C1031" s="1046" t="s">
        <v>2108</v>
      </c>
      <c r="D1031" s="1046" t="s">
        <v>1545</v>
      </c>
      <c r="E1031" s="974" t="s">
        <v>1496</v>
      </c>
    </row>
    <row r="1032" spans="1:5" x14ac:dyDescent="0.25">
      <c r="A1032" s="974">
        <v>1031</v>
      </c>
      <c r="B1032" s="974" t="s">
        <v>1517</v>
      </c>
      <c r="C1032" s="1046" t="s">
        <v>2108</v>
      </c>
      <c r="D1032" s="1046" t="s">
        <v>1411</v>
      </c>
      <c r="E1032" s="974" t="s">
        <v>1493</v>
      </c>
    </row>
    <row r="1033" spans="1:5" x14ac:dyDescent="0.25">
      <c r="A1033" s="974">
        <v>1032</v>
      </c>
      <c r="B1033" s="974" t="s">
        <v>1517</v>
      </c>
      <c r="C1033" s="1046" t="s">
        <v>2108</v>
      </c>
      <c r="D1033" s="1046" t="s">
        <v>1671</v>
      </c>
      <c r="E1033" s="974" t="s">
        <v>1389</v>
      </c>
    </row>
    <row r="1034" spans="1:5" x14ac:dyDescent="0.25">
      <c r="A1034" s="974">
        <v>1033</v>
      </c>
      <c r="B1034" s="974" t="s">
        <v>1517</v>
      </c>
      <c r="C1034" s="1046" t="s">
        <v>2109</v>
      </c>
      <c r="D1034" s="1046" t="s">
        <v>1672</v>
      </c>
      <c r="E1034" s="974" t="s">
        <v>1492</v>
      </c>
    </row>
    <row r="1035" spans="1:5" x14ac:dyDescent="0.25">
      <c r="A1035" s="974">
        <v>1034</v>
      </c>
      <c r="B1035" s="974" t="s">
        <v>1517</v>
      </c>
      <c r="C1035" s="1046" t="s">
        <v>2109</v>
      </c>
      <c r="D1035" s="1046" t="s">
        <v>1672</v>
      </c>
      <c r="E1035" s="974" t="s">
        <v>1706</v>
      </c>
    </row>
    <row r="1036" spans="1:5" x14ac:dyDescent="0.25">
      <c r="A1036" s="974">
        <v>1035</v>
      </c>
      <c r="B1036" s="974" t="s">
        <v>1517</v>
      </c>
      <c r="C1036" s="1046" t="s">
        <v>2109</v>
      </c>
      <c r="D1036" s="1046" t="s">
        <v>1672</v>
      </c>
      <c r="E1036" s="974" t="s">
        <v>1383</v>
      </c>
    </row>
    <row r="1037" spans="1:5" x14ac:dyDescent="0.25">
      <c r="A1037" s="974">
        <v>1036</v>
      </c>
      <c r="B1037" s="974" t="s">
        <v>1517</v>
      </c>
      <c r="C1037" s="1046" t="s">
        <v>2109</v>
      </c>
      <c r="D1037" s="1046" t="s">
        <v>1672</v>
      </c>
      <c r="E1037" s="974" t="s">
        <v>1381</v>
      </c>
    </row>
    <row r="1038" spans="1:5" x14ac:dyDescent="0.25">
      <c r="A1038" s="974">
        <v>1037</v>
      </c>
      <c r="B1038" s="974" t="s">
        <v>1517</v>
      </c>
      <c r="C1038" s="1046" t="s">
        <v>2109</v>
      </c>
      <c r="D1038" s="1046" t="s">
        <v>1411</v>
      </c>
      <c r="E1038" s="974" t="s">
        <v>1382</v>
      </c>
    </row>
    <row r="1039" spans="1:5" ht="30" x14ac:dyDescent="0.25">
      <c r="A1039" s="974">
        <v>1038</v>
      </c>
      <c r="B1039" s="974" t="s">
        <v>1517</v>
      </c>
      <c r="C1039" s="1046" t="s">
        <v>2109</v>
      </c>
      <c r="D1039" s="1046" t="s">
        <v>1545</v>
      </c>
      <c r="E1039" s="974" t="s">
        <v>1385</v>
      </c>
    </row>
    <row r="1040" spans="1:5" ht="30" x14ac:dyDescent="0.25">
      <c r="A1040" s="974">
        <v>1039</v>
      </c>
      <c r="B1040" s="974" t="s">
        <v>1517</v>
      </c>
      <c r="C1040" s="1046" t="s">
        <v>2109</v>
      </c>
      <c r="D1040" s="1046" t="s">
        <v>1545</v>
      </c>
      <c r="E1040" s="974" t="s">
        <v>1386</v>
      </c>
    </row>
    <row r="1041" spans="1:5" ht="30" x14ac:dyDescent="0.25">
      <c r="A1041" s="974">
        <v>1040</v>
      </c>
      <c r="B1041" s="974" t="s">
        <v>1517</v>
      </c>
      <c r="C1041" s="1046" t="s">
        <v>2109</v>
      </c>
      <c r="D1041" s="1046" t="s">
        <v>1545</v>
      </c>
      <c r="E1041" s="974" t="s">
        <v>1496</v>
      </c>
    </row>
    <row r="1042" spans="1:5" x14ac:dyDescent="0.25">
      <c r="A1042" s="974">
        <v>1041</v>
      </c>
      <c r="B1042" s="974" t="s">
        <v>1517</v>
      </c>
      <c r="C1042" s="1046" t="s">
        <v>2109</v>
      </c>
      <c r="D1042" s="1046" t="s">
        <v>1411</v>
      </c>
      <c r="E1042" s="974" t="s">
        <v>1493</v>
      </c>
    </row>
    <row r="1043" spans="1:5" x14ac:dyDescent="0.25">
      <c r="A1043" s="974">
        <v>1042</v>
      </c>
      <c r="B1043" s="974" t="s">
        <v>1517</v>
      </c>
      <c r="C1043" s="1046" t="s">
        <v>2109</v>
      </c>
      <c r="D1043" s="1046" t="s">
        <v>1672</v>
      </c>
      <c r="E1043" s="974" t="s">
        <v>1396</v>
      </c>
    </row>
    <row r="1044" spans="1:5" x14ac:dyDescent="0.25">
      <c r="A1044" s="974">
        <v>1043</v>
      </c>
      <c r="B1044" s="974" t="s">
        <v>1517</v>
      </c>
      <c r="C1044" s="1046" t="s">
        <v>2109</v>
      </c>
      <c r="D1044" s="1046" t="s">
        <v>1672</v>
      </c>
      <c r="E1044" s="974" t="s">
        <v>1673</v>
      </c>
    </row>
    <row r="1045" spans="1:5" x14ac:dyDescent="0.25">
      <c r="A1045" s="974">
        <v>1044</v>
      </c>
      <c r="B1045" s="974" t="s">
        <v>1517</v>
      </c>
      <c r="C1045" s="1046" t="s">
        <v>2109</v>
      </c>
      <c r="D1045" s="1046" t="s">
        <v>1672</v>
      </c>
      <c r="E1045" s="974" t="s">
        <v>1476</v>
      </c>
    </row>
    <row r="1046" spans="1:5" ht="30" x14ac:dyDescent="0.25">
      <c r="A1046" s="974">
        <v>1045</v>
      </c>
      <c r="B1046" s="974" t="s">
        <v>1517</v>
      </c>
      <c r="C1046" s="1046" t="s">
        <v>2109</v>
      </c>
      <c r="D1046" s="1046" t="s">
        <v>1411</v>
      </c>
      <c r="E1046" s="1045" t="s">
        <v>1480</v>
      </c>
    </row>
    <row r="1047" spans="1:5" x14ac:dyDescent="0.25">
      <c r="A1047" s="974">
        <v>1046</v>
      </c>
      <c r="B1047" s="974" t="s">
        <v>1517</v>
      </c>
      <c r="C1047" s="1046" t="s">
        <v>2109</v>
      </c>
      <c r="D1047" s="1046" t="s">
        <v>1672</v>
      </c>
      <c r="E1047" s="1045" t="s">
        <v>1135</v>
      </c>
    </row>
    <row r="1048" spans="1:5" x14ac:dyDescent="0.25">
      <c r="A1048" s="974">
        <v>1047</v>
      </c>
      <c r="B1048" s="974" t="s">
        <v>1517</v>
      </c>
      <c r="C1048" s="1046" t="s">
        <v>2109</v>
      </c>
      <c r="D1048" s="1046" t="s">
        <v>1672</v>
      </c>
      <c r="E1048" s="1045" t="s">
        <v>1402</v>
      </c>
    </row>
    <row r="1049" spans="1:5" x14ac:dyDescent="0.25">
      <c r="A1049" s="974">
        <v>1048</v>
      </c>
      <c r="B1049" s="974" t="s">
        <v>1517</v>
      </c>
      <c r="C1049" s="1046" t="s">
        <v>2109</v>
      </c>
      <c r="D1049" s="1046" t="s">
        <v>1411</v>
      </c>
      <c r="E1049" s="1045" t="s">
        <v>1481</v>
      </c>
    </row>
    <row r="1050" spans="1:5" x14ac:dyDescent="0.25">
      <c r="A1050" s="974">
        <v>1049</v>
      </c>
      <c r="B1050" s="974" t="s">
        <v>1517</v>
      </c>
      <c r="C1050" s="1046" t="s">
        <v>2109</v>
      </c>
      <c r="D1050" s="1046" t="s">
        <v>1672</v>
      </c>
      <c r="E1050" s="1045" t="s">
        <v>1134</v>
      </c>
    </row>
    <row r="1051" spans="1:5" x14ac:dyDescent="0.25">
      <c r="A1051" s="974">
        <v>1050</v>
      </c>
      <c r="B1051" s="974" t="s">
        <v>1517</v>
      </c>
      <c r="C1051" s="1046" t="s">
        <v>2110</v>
      </c>
      <c r="D1051" s="1046" t="s">
        <v>1674</v>
      </c>
      <c r="E1051" s="974" t="s">
        <v>1492</v>
      </c>
    </row>
    <row r="1052" spans="1:5" x14ac:dyDescent="0.25">
      <c r="A1052" s="974">
        <v>1051</v>
      </c>
      <c r="B1052" s="974" t="s">
        <v>1517</v>
      </c>
      <c r="C1052" s="1046" t="s">
        <v>2110</v>
      </c>
      <c r="D1052" s="1046" t="s">
        <v>1674</v>
      </c>
      <c r="E1052" s="974" t="s">
        <v>1706</v>
      </c>
    </row>
    <row r="1053" spans="1:5" x14ac:dyDescent="0.25">
      <c r="A1053" s="974">
        <v>1052</v>
      </c>
      <c r="B1053" s="974" t="s">
        <v>1517</v>
      </c>
      <c r="C1053" s="1046" t="s">
        <v>2110</v>
      </c>
      <c r="D1053" s="1046" t="s">
        <v>1674</v>
      </c>
      <c r="E1053" s="974" t="s">
        <v>1383</v>
      </c>
    </row>
    <row r="1054" spans="1:5" x14ac:dyDescent="0.25">
      <c r="A1054" s="974">
        <v>1053</v>
      </c>
      <c r="B1054" s="974" t="s">
        <v>1517</v>
      </c>
      <c r="C1054" s="1046" t="s">
        <v>2110</v>
      </c>
      <c r="D1054" s="1046" t="s">
        <v>1674</v>
      </c>
      <c r="E1054" s="974" t="s">
        <v>1381</v>
      </c>
    </row>
    <row r="1055" spans="1:5" x14ac:dyDescent="0.25">
      <c r="A1055" s="974">
        <v>1054</v>
      </c>
      <c r="B1055" s="974" t="s">
        <v>1517</v>
      </c>
      <c r="C1055" s="1046" t="s">
        <v>2110</v>
      </c>
      <c r="D1055" s="1046" t="s">
        <v>1411</v>
      </c>
      <c r="E1055" s="974" t="s">
        <v>1382</v>
      </c>
    </row>
    <row r="1056" spans="1:5" ht="30" x14ac:dyDescent="0.25">
      <c r="A1056" s="974">
        <v>1055</v>
      </c>
      <c r="B1056" s="974" t="s">
        <v>1517</v>
      </c>
      <c r="C1056" s="1046" t="s">
        <v>2110</v>
      </c>
      <c r="D1056" s="1046" t="s">
        <v>1545</v>
      </c>
      <c r="E1056" s="974" t="s">
        <v>1385</v>
      </c>
    </row>
    <row r="1057" spans="1:5" ht="30" x14ac:dyDescent="0.25">
      <c r="A1057" s="974">
        <v>1056</v>
      </c>
      <c r="B1057" s="974" t="s">
        <v>1517</v>
      </c>
      <c r="C1057" s="1046" t="s">
        <v>2110</v>
      </c>
      <c r="D1057" s="1046" t="s">
        <v>1545</v>
      </c>
      <c r="E1057" s="974" t="s">
        <v>1386</v>
      </c>
    </row>
    <row r="1058" spans="1:5" ht="30" x14ac:dyDescent="0.25">
      <c r="A1058" s="974">
        <v>1057</v>
      </c>
      <c r="B1058" s="974" t="s">
        <v>1517</v>
      </c>
      <c r="C1058" s="1046" t="s">
        <v>2110</v>
      </c>
      <c r="D1058" s="1046" t="s">
        <v>1545</v>
      </c>
      <c r="E1058" s="974" t="s">
        <v>1496</v>
      </c>
    </row>
    <row r="1059" spans="1:5" x14ac:dyDescent="0.25">
      <c r="A1059" s="974">
        <v>1058</v>
      </c>
      <c r="B1059" s="974" t="s">
        <v>1517</v>
      </c>
      <c r="C1059" s="1046" t="s">
        <v>2110</v>
      </c>
      <c r="D1059" s="1046" t="s">
        <v>1411</v>
      </c>
      <c r="E1059" s="974" t="s">
        <v>1493</v>
      </c>
    </row>
    <row r="1060" spans="1:5" x14ac:dyDescent="0.25">
      <c r="A1060" s="974">
        <v>1059</v>
      </c>
      <c r="B1060" s="974" t="s">
        <v>1517</v>
      </c>
      <c r="C1060" s="1046" t="s">
        <v>2110</v>
      </c>
      <c r="D1060" s="1046" t="s">
        <v>1674</v>
      </c>
      <c r="E1060" s="974" t="s">
        <v>1396</v>
      </c>
    </row>
    <row r="1061" spans="1:5" x14ac:dyDescent="0.25">
      <c r="A1061" s="974">
        <v>1060</v>
      </c>
      <c r="B1061" s="974" t="s">
        <v>1517</v>
      </c>
      <c r="C1061" s="1046" t="s">
        <v>2110</v>
      </c>
      <c r="D1061" s="1046" t="s">
        <v>1674</v>
      </c>
      <c r="E1061" s="974" t="s">
        <v>1673</v>
      </c>
    </row>
    <row r="1062" spans="1:5" ht="30" x14ac:dyDescent="0.25">
      <c r="A1062" s="974">
        <v>1061</v>
      </c>
      <c r="B1062" s="974" t="s">
        <v>1517</v>
      </c>
      <c r="C1062" s="1046" t="s">
        <v>2110</v>
      </c>
      <c r="D1062" s="1046" t="s">
        <v>1411</v>
      </c>
      <c r="E1062" s="1045" t="s">
        <v>1480</v>
      </c>
    </row>
    <row r="1063" spans="1:5" x14ac:dyDescent="0.25">
      <c r="A1063" s="974">
        <v>1062</v>
      </c>
      <c r="B1063" s="974" t="s">
        <v>1517</v>
      </c>
      <c r="C1063" s="1046" t="s">
        <v>2110</v>
      </c>
      <c r="D1063" s="1046" t="s">
        <v>1672</v>
      </c>
      <c r="E1063" s="1045" t="s">
        <v>1135</v>
      </c>
    </row>
    <row r="1064" spans="1:5" x14ac:dyDescent="0.25">
      <c r="A1064" s="974">
        <v>1063</v>
      </c>
      <c r="B1064" s="974" t="s">
        <v>1517</v>
      </c>
      <c r="C1064" s="1046" t="s">
        <v>2110</v>
      </c>
      <c r="D1064" s="1046" t="s">
        <v>1672</v>
      </c>
      <c r="E1064" s="1045" t="s">
        <v>1402</v>
      </c>
    </row>
    <row r="1065" spans="1:5" x14ac:dyDescent="0.25">
      <c r="A1065" s="974">
        <v>1064</v>
      </c>
      <c r="B1065" s="974" t="s">
        <v>1517</v>
      </c>
      <c r="C1065" s="1046" t="s">
        <v>2110</v>
      </c>
      <c r="D1065" s="1046" t="s">
        <v>1411</v>
      </c>
      <c r="E1065" s="1045" t="s">
        <v>1481</v>
      </c>
    </row>
    <row r="1066" spans="1:5" x14ac:dyDescent="0.25">
      <c r="A1066" s="974">
        <v>1065</v>
      </c>
      <c r="B1066" s="974" t="s">
        <v>1517</v>
      </c>
      <c r="C1066" s="1046" t="s">
        <v>2110</v>
      </c>
      <c r="D1066" s="1046" t="s">
        <v>1672</v>
      </c>
      <c r="E1066" s="1045" t="s">
        <v>1134</v>
      </c>
    </row>
    <row r="1067" spans="1:5" x14ac:dyDescent="0.25">
      <c r="A1067" s="974">
        <v>1066</v>
      </c>
      <c r="B1067" s="974" t="s">
        <v>1517</v>
      </c>
      <c r="C1067" s="1046" t="s">
        <v>2111</v>
      </c>
      <c r="D1067" s="1046" t="s">
        <v>1675</v>
      </c>
      <c r="E1067" s="974" t="s">
        <v>1492</v>
      </c>
    </row>
    <row r="1068" spans="1:5" x14ac:dyDescent="0.25">
      <c r="A1068" s="974">
        <v>1067</v>
      </c>
      <c r="B1068" s="974" t="s">
        <v>1517</v>
      </c>
      <c r="C1068" s="1046" t="s">
        <v>2111</v>
      </c>
      <c r="D1068" s="1046" t="s">
        <v>1675</v>
      </c>
      <c r="E1068" s="974" t="s">
        <v>1706</v>
      </c>
    </row>
    <row r="1069" spans="1:5" x14ac:dyDescent="0.25">
      <c r="A1069" s="974">
        <v>1068</v>
      </c>
      <c r="B1069" s="974" t="s">
        <v>1517</v>
      </c>
      <c r="C1069" s="1046" t="s">
        <v>2111</v>
      </c>
      <c r="D1069" s="1046" t="s">
        <v>1675</v>
      </c>
      <c r="E1069" s="974" t="s">
        <v>1383</v>
      </c>
    </row>
    <row r="1070" spans="1:5" x14ac:dyDescent="0.25">
      <c r="A1070" s="974">
        <v>1069</v>
      </c>
      <c r="B1070" s="974" t="s">
        <v>1517</v>
      </c>
      <c r="C1070" s="1046" t="s">
        <v>2111</v>
      </c>
      <c r="D1070" s="1046" t="s">
        <v>1675</v>
      </c>
      <c r="E1070" s="974" t="s">
        <v>1381</v>
      </c>
    </row>
    <row r="1071" spans="1:5" x14ac:dyDescent="0.25">
      <c r="A1071" s="974">
        <v>1070</v>
      </c>
      <c r="B1071" s="974" t="s">
        <v>1517</v>
      </c>
      <c r="C1071" s="1046" t="s">
        <v>2111</v>
      </c>
      <c r="D1071" s="1046" t="s">
        <v>1411</v>
      </c>
      <c r="E1071" s="974" t="s">
        <v>1382</v>
      </c>
    </row>
    <row r="1072" spans="1:5" ht="30" x14ac:dyDescent="0.25">
      <c r="A1072" s="974">
        <v>1071</v>
      </c>
      <c r="B1072" s="974" t="s">
        <v>1517</v>
      </c>
      <c r="C1072" s="1046" t="s">
        <v>2111</v>
      </c>
      <c r="D1072" s="1046" t="s">
        <v>1545</v>
      </c>
      <c r="E1072" s="974" t="s">
        <v>1385</v>
      </c>
    </row>
    <row r="1073" spans="1:5" ht="30" x14ac:dyDescent="0.25">
      <c r="A1073" s="974">
        <v>1072</v>
      </c>
      <c r="B1073" s="974" t="s">
        <v>1517</v>
      </c>
      <c r="C1073" s="1046" t="s">
        <v>2111</v>
      </c>
      <c r="D1073" s="1046" t="s">
        <v>1545</v>
      </c>
      <c r="E1073" s="974" t="s">
        <v>1386</v>
      </c>
    </row>
    <row r="1074" spans="1:5" ht="30" x14ac:dyDescent="0.25">
      <c r="A1074" s="974">
        <v>1073</v>
      </c>
      <c r="B1074" s="974" t="s">
        <v>1517</v>
      </c>
      <c r="C1074" s="1046" t="s">
        <v>2111</v>
      </c>
      <c r="D1074" s="1046" t="s">
        <v>1545</v>
      </c>
      <c r="E1074" s="974" t="s">
        <v>1496</v>
      </c>
    </row>
    <row r="1075" spans="1:5" x14ac:dyDescent="0.25">
      <c r="A1075" s="974">
        <v>1074</v>
      </c>
      <c r="B1075" s="974" t="s">
        <v>1517</v>
      </c>
      <c r="C1075" s="1046" t="s">
        <v>2111</v>
      </c>
      <c r="D1075" s="1046" t="s">
        <v>1411</v>
      </c>
      <c r="E1075" s="974" t="s">
        <v>1493</v>
      </c>
    </row>
    <row r="1076" spans="1:5" x14ac:dyDescent="0.25">
      <c r="A1076" s="974">
        <v>1075</v>
      </c>
      <c r="B1076" s="974" t="s">
        <v>1517</v>
      </c>
      <c r="C1076" s="1046" t="s">
        <v>2111</v>
      </c>
      <c r="D1076" s="1046" t="s">
        <v>1675</v>
      </c>
      <c r="E1076" s="974" t="s">
        <v>1396</v>
      </c>
    </row>
    <row r="1077" spans="1:5" x14ac:dyDescent="0.25">
      <c r="A1077" s="974">
        <v>1076</v>
      </c>
      <c r="B1077" s="974" t="s">
        <v>1517</v>
      </c>
      <c r="C1077" s="1046" t="s">
        <v>2112</v>
      </c>
      <c r="D1077" s="1046" t="s">
        <v>1675</v>
      </c>
      <c r="E1077" s="974" t="s">
        <v>1492</v>
      </c>
    </row>
    <row r="1078" spans="1:5" x14ac:dyDescent="0.25">
      <c r="A1078" s="974">
        <v>1077</v>
      </c>
      <c r="B1078" s="974" t="s">
        <v>1517</v>
      </c>
      <c r="C1078" s="1046" t="s">
        <v>2112</v>
      </c>
      <c r="D1078" s="1046" t="s">
        <v>1675</v>
      </c>
      <c r="E1078" s="974" t="s">
        <v>1706</v>
      </c>
    </row>
    <row r="1079" spans="1:5" x14ac:dyDescent="0.25">
      <c r="A1079" s="974">
        <v>1078</v>
      </c>
      <c r="B1079" s="974" t="s">
        <v>1517</v>
      </c>
      <c r="C1079" s="1046" t="s">
        <v>2112</v>
      </c>
      <c r="D1079" s="1046" t="s">
        <v>1675</v>
      </c>
      <c r="E1079" s="974" t="s">
        <v>1383</v>
      </c>
    </row>
    <row r="1080" spans="1:5" x14ac:dyDescent="0.25">
      <c r="A1080" s="974">
        <v>1079</v>
      </c>
      <c r="B1080" s="974" t="s">
        <v>1517</v>
      </c>
      <c r="C1080" s="1046" t="s">
        <v>2112</v>
      </c>
      <c r="D1080" s="1046" t="s">
        <v>1675</v>
      </c>
      <c r="E1080" s="974" t="s">
        <v>1381</v>
      </c>
    </row>
    <row r="1081" spans="1:5" x14ac:dyDescent="0.25">
      <c r="A1081" s="974">
        <v>1080</v>
      </c>
      <c r="B1081" s="974" t="s">
        <v>1517</v>
      </c>
      <c r="C1081" s="1046" t="s">
        <v>2112</v>
      </c>
      <c r="D1081" s="1046" t="s">
        <v>1411</v>
      </c>
      <c r="E1081" s="974" t="s">
        <v>1382</v>
      </c>
    </row>
    <row r="1082" spans="1:5" ht="30" x14ac:dyDescent="0.25">
      <c r="A1082" s="974">
        <v>1081</v>
      </c>
      <c r="B1082" s="974" t="s">
        <v>1517</v>
      </c>
      <c r="C1082" s="1046" t="s">
        <v>2112</v>
      </c>
      <c r="D1082" s="1046" t="s">
        <v>1545</v>
      </c>
      <c r="E1082" s="974" t="s">
        <v>1385</v>
      </c>
    </row>
    <row r="1083" spans="1:5" ht="30" x14ac:dyDescent="0.25">
      <c r="A1083" s="974">
        <v>1082</v>
      </c>
      <c r="B1083" s="974" t="s">
        <v>1517</v>
      </c>
      <c r="C1083" s="1046" t="s">
        <v>2112</v>
      </c>
      <c r="D1083" s="1046" t="s">
        <v>1545</v>
      </c>
      <c r="E1083" s="974" t="s">
        <v>1386</v>
      </c>
    </row>
    <row r="1084" spans="1:5" ht="30" x14ac:dyDescent="0.25">
      <c r="A1084" s="974">
        <v>1083</v>
      </c>
      <c r="B1084" s="974" t="s">
        <v>1517</v>
      </c>
      <c r="C1084" s="1046" t="s">
        <v>2112</v>
      </c>
      <c r="D1084" s="1046" t="s">
        <v>1545</v>
      </c>
      <c r="E1084" s="974" t="s">
        <v>1496</v>
      </c>
    </row>
    <row r="1085" spans="1:5" x14ac:dyDescent="0.25">
      <c r="A1085" s="974">
        <v>1084</v>
      </c>
      <c r="B1085" s="974" t="s">
        <v>1517</v>
      </c>
      <c r="C1085" s="1046" t="s">
        <v>2112</v>
      </c>
      <c r="D1085" s="1046" t="s">
        <v>1411</v>
      </c>
      <c r="E1085" s="974" t="s">
        <v>1493</v>
      </c>
    </row>
    <row r="1086" spans="1:5" x14ac:dyDescent="0.25">
      <c r="A1086" s="974">
        <v>1085</v>
      </c>
      <c r="B1086" s="974" t="s">
        <v>1517</v>
      </c>
      <c r="C1086" s="1046" t="s">
        <v>2112</v>
      </c>
      <c r="D1086" s="1046" t="s">
        <v>1675</v>
      </c>
      <c r="E1086" s="974" t="s">
        <v>1396</v>
      </c>
    </row>
    <row r="1087" spans="1:5" x14ac:dyDescent="0.25">
      <c r="A1087" s="974">
        <v>1086</v>
      </c>
      <c r="B1087" s="974" t="s">
        <v>1517</v>
      </c>
      <c r="C1087" s="1046" t="s">
        <v>2104</v>
      </c>
      <c r="D1087" s="1046" t="s">
        <v>1676</v>
      </c>
      <c r="E1087" s="974" t="s">
        <v>1492</v>
      </c>
    </row>
    <row r="1088" spans="1:5" x14ac:dyDescent="0.25">
      <c r="A1088" s="974">
        <v>1087</v>
      </c>
      <c r="B1088" s="974" t="s">
        <v>1517</v>
      </c>
      <c r="C1088" s="1046" t="s">
        <v>2104</v>
      </c>
      <c r="D1088" s="1046" t="s">
        <v>1676</v>
      </c>
      <c r="E1088" s="974" t="s">
        <v>1706</v>
      </c>
    </row>
    <row r="1089" spans="1:5" x14ac:dyDescent="0.25">
      <c r="A1089" s="974">
        <v>1088</v>
      </c>
      <c r="B1089" s="974" t="s">
        <v>1517</v>
      </c>
      <c r="C1089" s="1046" t="s">
        <v>2104</v>
      </c>
      <c r="D1089" s="1046" t="s">
        <v>1676</v>
      </c>
      <c r="E1089" s="974" t="s">
        <v>1383</v>
      </c>
    </row>
    <row r="1090" spans="1:5" x14ac:dyDescent="0.25">
      <c r="A1090" s="974">
        <v>1089</v>
      </c>
      <c r="B1090" s="974" t="s">
        <v>1517</v>
      </c>
      <c r="C1090" s="1046" t="s">
        <v>2104</v>
      </c>
      <c r="D1090" s="1046" t="s">
        <v>1675</v>
      </c>
      <c r="E1090" s="974" t="s">
        <v>1380</v>
      </c>
    </row>
    <row r="1091" spans="1:5" x14ac:dyDescent="0.25">
      <c r="A1091" s="974">
        <v>1090</v>
      </c>
      <c r="B1091" s="974" t="s">
        <v>1517</v>
      </c>
      <c r="C1091" s="1046" t="s">
        <v>2104</v>
      </c>
      <c r="D1091" s="1046" t="s">
        <v>1676</v>
      </c>
      <c r="E1091" s="974" t="s">
        <v>1381</v>
      </c>
    </row>
    <row r="1092" spans="1:5" x14ac:dyDescent="0.25">
      <c r="A1092" s="974">
        <v>1091</v>
      </c>
      <c r="B1092" s="974" t="s">
        <v>1517</v>
      </c>
      <c r="C1092" s="1046" t="s">
        <v>2104</v>
      </c>
      <c r="D1092" s="1046" t="s">
        <v>1411</v>
      </c>
      <c r="E1092" s="974" t="s">
        <v>1382</v>
      </c>
    </row>
    <row r="1093" spans="1:5" x14ac:dyDescent="0.25">
      <c r="A1093" s="974">
        <v>1092</v>
      </c>
      <c r="B1093" s="974" t="s">
        <v>1517</v>
      </c>
      <c r="C1093" s="1046" t="s">
        <v>2104</v>
      </c>
      <c r="D1093" s="1046" t="s">
        <v>1676</v>
      </c>
      <c r="E1093" s="974" t="s">
        <v>1488</v>
      </c>
    </row>
    <row r="1094" spans="1:5" x14ac:dyDescent="0.25">
      <c r="A1094" s="974">
        <v>1093</v>
      </c>
      <c r="B1094" s="974" t="s">
        <v>1517</v>
      </c>
      <c r="C1094" s="1046" t="s">
        <v>2104</v>
      </c>
      <c r="D1094" s="1046" t="s">
        <v>1411</v>
      </c>
      <c r="E1094" s="974" t="s">
        <v>1489</v>
      </c>
    </row>
    <row r="1095" spans="1:5" ht="30" x14ac:dyDescent="0.25">
      <c r="A1095" s="974">
        <v>1094</v>
      </c>
      <c r="B1095" s="974" t="s">
        <v>1517</v>
      </c>
      <c r="C1095" s="1046" t="s">
        <v>2104</v>
      </c>
      <c r="D1095" s="1046" t="s">
        <v>1545</v>
      </c>
      <c r="E1095" s="974" t="s">
        <v>1385</v>
      </c>
    </row>
    <row r="1096" spans="1:5" ht="30" x14ac:dyDescent="0.25">
      <c r="A1096" s="974">
        <v>1095</v>
      </c>
      <c r="B1096" s="974" t="s">
        <v>1517</v>
      </c>
      <c r="C1096" s="1046" t="s">
        <v>2104</v>
      </c>
      <c r="D1096" s="1046" t="s">
        <v>1545</v>
      </c>
      <c r="E1096" s="974" t="s">
        <v>1386</v>
      </c>
    </row>
    <row r="1097" spans="1:5" ht="30" x14ac:dyDescent="0.25">
      <c r="A1097" s="974">
        <v>1096</v>
      </c>
      <c r="B1097" s="974" t="s">
        <v>1517</v>
      </c>
      <c r="C1097" s="1046" t="s">
        <v>2104</v>
      </c>
      <c r="D1097" s="1046" t="s">
        <v>1545</v>
      </c>
      <c r="E1097" s="974" t="s">
        <v>1496</v>
      </c>
    </row>
    <row r="1098" spans="1:5" x14ac:dyDescent="0.25">
      <c r="A1098" s="974">
        <v>1097</v>
      </c>
      <c r="B1098" s="974" t="s">
        <v>1517</v>
      </c>
      <c r="C1098" s="1046" t="s">
        <v>2104</v>
      </c>
      <c r="D1098" s="1046" t="s">
        <v>1411</v>
      </c>
      <c r="E1098" s="974" t="s">
        <v>1493</v>
      </c>
    </row>
    <row r="1099" spans="1:5" x14ac:dyDescent="0.25">
      <c r="A1099" s="974">
        <v>1098</v>
      </c>
      <c r="B1099" s="974" t="s">
        <v>1517</v>
      </c>
      <c r="C1099" s="1046" t="s">
        <v>2104</v>
      </c>
      <c r="D1099" s="1046" t="s">
        <v>1676</v>
      </c>
      <c r="E1099" s="974" t="s">
        <v>1389</v>
      </c>
    </row>
    <row r="1100" spans="1:5" x14ac:dyDescent="0.25">
      <c r="A1100" s="974">
        <v>1099</v>
      </c>
      <c r="B1100" s="974" t="s">
        <v>1517</v>
      </c>
      <c r="C1100" s="1046" t="s">
        <v>2104</v>
      </c>
      <c r="D1100" s="1046" t="s">
        <v>1676</v>
      </c>
      <c r="E1100" s="974" t="s">
        <v>1396</v>
      </c>
    </row>
    <row r="1101" spans="1:5" x14ac:dyDescent="0.25">
      <c r="A1101" s="974">
        <v>1100</v>
      </c>
      <c r="B1101" s="974" t="s">
        <v>1517</v>
      </c>
      <c r="C1101" s="1046" t="s">
        <v>2113</v>
      </c>
      <c r="D1101" s="1046" t="s">
        <v>1676</v>
      </c>
      <c r="E1101" s="974" t="s">
        <v>1482</v>
      </c>
    </row>
    <row r="1102" spans="1:5" x14ac:dyDescent="0.25">
      <c r="A1102" s="974">
        <v>1101</v>
      </c>
      <c r="B1102" s="974" t="s">
        <v>1517</v>
      </c>
      <c r="C1102" s="1046" t="s">
        <v>2113</v>
      </c>
      <c r="D1102" s="1046" t="s">
        <v>1676</v>
      </c>
      <c r="E1102" s="974" t="s">
        <v>727</v>
      </c>
    </row>
    <row r="1103" spans="1:5" x14ac:dyDescent="0.25">
      <c r="A1103" s="974">
        <v>1102</v>
      </c>
      <c r="B1103" s="974" t="s">
        <v>1517</v>
      </c>
      <c r="C1103" s="1046" t="s">
        <v>2113</v>
      </c>
      <c r="D1103" s="1046" t="s">
        <v>1676</v>
      </c>
      <c r="E1103" s="974" t="s">
        <v>1483</v>
      </c>
    </row>
    <row r="1104" spans="1:5" x14ac:dyDescent="0.25">
      <c r="A1104" s="974">
        <v>1103</v>
      </c>
      <c r="B1104" s="974" t="s">
        <v>1517</v>
      </c>
      <c r="C1104" s="1046" t="s">
        <v>2114</v>
      </c>
      <c r="D1104" s="1046" t="s">
        <v>1676</v>
      </c>
      <c r="E1104" s="974" t="s">
        <v>1482</v>
      </c>
    </row>
    <row r="1105" spans="1:5" x14ac:dyDescent="0.25">
      <c r="A1105" s="974">
        <v>1104</v>
      </c>
      <c r="B1105" s="974" t="s">
        <v>1517</v>
      </c>
      <c r="C1105" s="1046" t="s">
        <v>2114</v>
      </c>
      <c r="D1105" s="1046" t="s">
        <v>1676</v>
      </c>
      <c r="E1105" s="974" t="s">
        <v>727</v>
      </c>
    </row>
    <row r="1106" spans="1:5" x14ac:dyDescent="0.25">
      <c r="A1106" s="974">
        <v>1105</v>
      </c>
      <c r="B1106" s="974" t="s">
        <v>1517</v>
      </c>
      <c r="C1106" s="1046" t="s">
        <v>2114</v>
      </c>
      <c r="D1106" s="1046" t="s">
        <v>1676</v>
      </c>
      <c r="E1106" s="974" t="s">
        <v>1483</v>
      </c>
    </row>
    <row r="1107" spans="1:5" x14ac:dyDescent="0.25">
      <c r="A1107" s="974">
        <v>1106</v>
      </c>
      <c r="B1107" s="974" t="s">
        <v>1517</v>
      </c>
      <c r="C1107" s="1046" t="s">
        <v>2115</v>
      </c>
      <c r="D1107" s="1046" t="s">
        <v>1676</v>
      </c>
      <c r="E1107" s="974" t="s">
        <v>1482</v>
      </c>
    </row>
    <row r="1108" spans="1:5" x14ac:dyDescent="0.25">
      <c r="A1108" s="974">
        <v>1107</v>
      </c>
      <c r="B1108" s="974" t="s">
        <v>1517</v>
      </c>
      <c r="C1108" s="1046" t="s">
        <v>2115</v>
      </c>
      <c r="D1108" s="1046" t="s">
        <v>1676</v>
      </c>
      <c r="E1108" s="974" t="s">
        <v>727</v>
      </c>
    </row>
    <row r="1109" spans="1:5" x14ac:dyDescent="0.25">
      <c r="A1109" s="974">
        <v>1108</v>
      </c>
      <c r="B1109" s="974" t="s">
        <v>1517</v>
      </c>
      <c r="C1109" s="1046" t="s">
        <v>2115</v>
      </c>
      <c r="D1109" s="1046" t="s">
        <v>1676</v>
      </c>
      <c r="E1109" s="974" t="s">
        <v>1483</v>
      </c>
    </row>
    <row r="1110" spans="1:5" x14ac:dyDescent="0.25">
      <c r="A1110" s="974">
        <v>1109</v>
      </c>
      <c r="B1110" s="974" t="s">
        <v>1517</v>
      </c>
      <c r="C1110" s="1046" t="s">
        <v>2116</v>
      </c>
      <c r="D1110" s="1046" t="s">
        <v>1676</v>
      </c>
      <c r="E1110" s="974" t="s">
        <v>1482</v>
      </c>
    </row>
    <row r="1111" spans="1:5" x14ac:dyDescent="0.25">
      <c r="A1111" s="974">
        <v>1110</v>
      </c>
      <c r="B1111" s="974" t="s">
        <v>1517</v>
      </c>
      <c r="C1111" s="1046" t="s">
        <v>2116</v>
      </c>
      <c r="D1111" s="1046" t="s">
        <v>1676</v>
      </c>
      <c r="E1111" s="974" t="s">
        <v>727</v>
      </c>
    </row>
    <row r="1112" spans="1:5" x14ac:dyDescent="0.25">
      <c r="A1112" s="974">
        <v>1111</v>
      </c>
      <c r="B1112" s="974" t="s">
        <v>1517</v>
      </c>
      <c r="C1112" s="1046" t="s">
        <v>2116</v>
      </c>
      <c r="D1112" s="1046" t="s">
        <v>1676</v>
      </c>
      <c r="E1112" s="974" t="s">
        <v>1483</v>
      </c>
    </row>
    <row r="1113" spans="1:5" x14ac:dyDescent="0.25">
      <c r="A1113" s="974">
        <v>1112</v>
      </c>
      <c r="B1113" s="974" t="s">
        <v>1517</v>
      </c>
      <c r="C1113" s="1046" t="s">
        <v>2117</v>
      </c>
      <c r="D1113" s="1046" t="s">
        <v>1676</v>
      </c>
      <c r="E1113" s="974" t="s">
        <v>1482</v>
      </c>
    </row>
    <row r="1114" spans="1:5" x14ac:dyDescent="0.25">
      <c r="A1114" s="974">
        <v>1113</v>
      </c>
      <c r="B1114" s="974" t="s">
        <v>1517</v>
      </c>
      <c r="C1114" s="1046" t="s">
        <v>2117</v>
      </c>
      <c r="D1114" s="1046" t="s">
        <v>1676</v>
      </c>
      <c r="E1114" s="974" t="s">
        <v>727</v>
      </c>
    </row>
    <row r="1115" spans="1:5" x14ac:dyDescent="0.25">
      <c r="A1115" s="974">
        <v>1114</v>
      </c>
      <c r="B1115" s="974" t="s">
        <v>1517</v>
      </c>
      <c r="C1115" s="1046" t="s">
        <v>2117</v>
      </c>
      <c r="D1115" s="1046" t="s">
        <v>1676</v>
      </c>
      <c r="E1115" s="974" t="s">
        <v>1483</v>
      </c>
    </row>
    <row r="1116" spans="1:5" x14ac:dyDescent="0.25">
      <c r="A1116" s="974">
        <v>1115</v>
      </c>
      <c r="B1116" s="974" t="s">
        <v>1517</v>
      </c>
      <c r="C1116" s="1046" t="s">
        <v>2105</v>
      </c>
      <c r="D1116" s="1046" t="s">
        <v>1676</v>
      </c>
      <c r="E1116" s="974" t="s">
        <v>1492</v>
      </c>
    </row>
    <row r="1117" spans="1:5" x14ac:dyDescent="0.25">
      <c r="A1117" s="974">
        <v>1116</v>
      </c>
      <c r="B1117" s="974" t="s">
        <v>1517</v>
      </c>
      <c r="C1117" s="1046" t="s">
        <v>2105</v>
      </c>
      <c r="D1117" s="1046" t="s">
        <v>1676</v>
      </c>
      <c r="E1117" s="974" t="s">
        <v>1706</v>
      </c>
    </row>
    <row r="1118" spans="1:5" x14ac:dyDescent="0.25">
      <c r="A1118" s="974">
        <v>1117</v>
      </c>
      <c r="B1118" s="974" t="s">
        <v>1517</v>
      </c>
      <c r="C1118" s="1046" t="s">
        <v>2105</v>
      </c>
      <c r="D1118" s="1046" t="s">
        <v>1676</v>
      </c>
      <c r="E1118" s="974" t="s">
        <v>1383</v>
      </c>
    </row>
    <row r="1119" spans="1:5" x14ac:dyDescent="0.25">
      <c r="A1119" s="974">
        <v>1118</v>
      </c>
      <c r="B1119" s="974" t="s">
        <v>1517</v>
      </c>
      <c r="C1119" s="1046" t="s">
        <v>2105</v>
      </c>
      <c r="D1119" s="1046" t="s">
        <v>1675</v>
      </c>
      <c r="E1119" s="974" t="s">
        <v>1380</v>
      </c>
    </row>
    <row r="1120" spans="1:5" x14ac:dyDescent="0.25">
      <c r="A1120" s="974">
        <v>1119</v>
      </c>
      <c r="B1120" s="974" t="s">
        <v>1517</v>
      </c>
      <c r="C1120" s="1046" t="s">
        <v>2105</v>
      </c>
      <c r="D1120" s="1046" t="s">
        <v>1676</v>
      </c>
      <c r="E1120" s="974" t="s">
        <v>1381</v>
      </c>
    </row>
    <row r="1121" spans="1:5" x14ac:dyDescent="0.25">
      <c r="A1121" s="974">
        <v>1120</v>
      </c>
      <c r="B1121" s="974" t="s">
        <v>1517</v>
      </c>
      <c r="C1121" s="1046" t="s">
        <v>2105</v>
      </c>
      <c r="D1121" s="1046" t="s">
        <v>1411</v>
      </c>
      <c r="E1121" s="974" t="s">
        <v>1382</v>
      </c>
    </row>
    <row r="1122" spans="1:5" x14ac:dyDescent="0.25">
      <c r="A1122" s="974">
        <v>1121</v>
      </c>
      <c r="B1122" s="974" t="s">
        <v>1517</v>
      </c>
      <c r="C1122" s="1046" t="s">
        <v>2105</v>
      </c>
      <c r="D1122" s="1046" t="s">
        <v>1676</v>
      </c>
      <c r="E1122" s="974" t="s">
        <v>1488</v>
      </c>
    </row>
    <row r="1123" spans="1:5" x14ac:dyDescent="0.25">
      <c r="A1123" s="974">
        <v>1122</v>
      </c>
      <c r="B1123" s="974" t="s">
        <v>1517</v>
      </c>
      <c r="C1123" s="1046" t="s">
        <v>2105</v>
      </c>
      <c r="D1123" s="1046" t="s">
        <v>1411</v>
      </c>
      <c r="E1123" s="974" t="s">
        <v>1489</v>
      </c>
    </row>
    <row r="1124" spans="1:5" ht="30" x14ac:dyDescent="0.25">
      <c r="A1124" s="974">
        <v>1123</v>
      </c>
      <c r="B1124" s="974" t="s">
        <v>1517</v>
      </c>
      <c r="C1124" s="1046" t="s">
        <v>2105</v>
      </c>
      <c r="D1124" s="1046" t="s">
        <v>1545</v>
      </c>
      <c r="E1124" s="974" t="s">
        <v>1385</v>
      </c>
    </row>
    <row r="1125" spans="1:5" ht="30" x14ac:dyDescent="0.25">
      <c r="A1125" s="974">
        <v>1124</v>
      </c>
      <c r="B1125" s="974" t="s">
        <v>1517</v>
      </c>
      <c r="C1125" s="1046" t="s">
        <v>2105</v>
      </c>
      <c r="D1125" s="1046" t="s">
        <v>1545</v>
      </c>
      <c r="E1125" s="974" t="s">
        <v>1386</v>
      </c>
    </row>
    <row r="1126" spans="1:5" ht="30" x14ac:dyDescent="0.25">
      <c r="A1126" s="974">
        <v>1125</v>
      </c>
      <c r="B1126" s="974" t="s">
        <v>1517</v>
      </c>
      <c r="C1126" s="1046" t="s">
        <v>2105</v>
      </c>
      <c r="D1126" s="1046" t="s">
        <v>1545</v>
      </c>
      <c r="E1126" s="974" t="s">
        <v>1496</v>
      </c>
    </row>
    <row r="1127" spans="1:5" x14ac:dyDescent="0.25">
      <c r="A1127" s="974">
        <v>1126</v>
      </c>
      <c r="B1127" s="974" t="s">
        <v>1517</v>
      </c>
      <c r="C1127" s="1046" t="s">
        <v>2105</v>
      </c>
      <c r="D1127" s="1046" t="s">
        <v>1411</v>
      </c>
      <c r="E1127" s="974" t="s">
        <v>1493</v>
      </c>
    </row>
    <row r="1128" spans="1:5" x14ac:dyDescent="0.25">
      <c r="A1128" s="974">
        <v>1127</v>
      </c>
      <c r="B1128" s="974" t="s">
        <v>1517</v>
      </c>
      <c r="C1128" s="1046" t="s">
        <v>2105</v>
      </c>
      <c r="D1128" s="1046" t="s">
        <v>1676</v>
      </c>
      <c r="E1128" s="974" t="s">
        <v>1389</v>
      </c>
    </row>
    <row r="1129" spans="1:5" x14ac:dyDescent="0.25">
      <c r="A1129" s="974">
        <v>1128</v>
      </c>
      <c r="B1129" s="974" t="s">
        <v>1517</v>
      </c>
      <c r="C1129" s="1046" t="s">
        <v>2105</v>
      </c>
      <c r="D1129" s="1046" t="s">
        <v>1676</v>
      </c>
      <c r="E1129" s="974" t="s">
        <v>1396</v>
      </c>
    </row>
    <row r="1130" spans="1:5" x14ac:dyDescent="0.25">
      <c r="A1130" s="974">
        <v>1129</v>
      </c>
      <c r="B1130" s="974" t="s">
        <v>1517</v>
      </c>
      <c r="C1130" s="1046" t="s">
        <v>2118</v>
      </c>
      <c r="D1130" s="1046" t="s">
        <v>1676</v>
      </c>
      <c r="E1130" s="974" t="s">
        <v>1482</v>
      </c>
    </row>
    <row r="1131" spans="1:5" x14ac:dyDescent="0.25">
      <c r="A1131" s="974">
        <v>1130</v>
      </c>
      <c r="B1131" s="974" t="s">
        <v>1517</v>
      </c>
      <c r="C1131" s="1046" t="s">
        <v>2118</v>
      </c>
      <c r="D1131" s="1046" t="s">
        <v>1676</v>
      </c>
      <c r="E1131" s="974" t="s">
        <v>727</v>
      </c>
    </row>
    <row r="1132" spans="1:5" x14ac:dyDescent="0.25">
      <c r="A1132" s="974">
        <v>1131</v>
      </c>
      <c r="B1132" s="974" t="s">
        <v>1517</v>
      </c>
      <c r="C1132" s="1046" t="s">
        <v>2118</v>
      </c>
      <c r="D1132" s="1046" t="s">
        <v>1676</v>
      </c>
      <c r="E1132" s="974" t="s">
        <v>1483</v>
      </c>
    </row>
    <row r="1133" spans="1:5" x14ac:dyDescent="0.25">
      <c r="A1133" s="974">
        <v>1132</v>
      </c>
      <c r="B1133" s="974" t="s">
        <v>1517</v>
      </c>
      <c r="C1133" s="1046" t="s">
        <v>2119</v>
      </c>
      <c r="D1133" s="1046" t="s">
        <v>1676</v>
      </c>
      <c r="E1133" s="974" t="s">
        <v>1482</v>
      </c>
    </row>
    <row r="1134" spans="1:5" x14ac:dyDescent="0.25">
      <c r="A1134" s="974">
        <v>1133</v>
      </c>
      <c r="B1134" s="974" t="s">
        <v>1517</v>
      </c>
      <c r="C1134" s="1046" t="s">
        <v>2119</v>
      </c>
      <c r="D1134" s="1046" t="s">
        <v>1676</v>
      </c>
      <c r="E1134" s="974" t="s">
        <v>727</v>
      </c>
    </row>
    <row r="1135" spans="1:5" x14ac:dyDescent="0.25">
      <c r="A1135" s="974">
        <v>1134</v>
      </c>
      <c r="B1135" s="974" t="s">
        <v>1517</v>
      </c>
      <c r="C1135" s="1046" t="s">
        <v>2119</v>
      </c>
      <c r="D1135" s="1046" t="s">
        <v>1676</v>
      </c>
      <c r="E1135" s="974" t="s">
        <v>1483</v>
      </c>
    </row>
    <row r="1136" spans="1:5" x14ac:dyDescent="0.25">
      <c r="A1136" s="974">
        <v>1135</v>
      </c>
      <c r="B1136" s="974" t="s">
        <v>1517</v>
      </c>
      <c r="C1136" s="1046" t="s">
        <v>2120</v>
      </c>
      <c r="D1136" s="1046" t="s">
        <v>1676</v>
      </c>
      <c r="E1136" s="974" t="s">
        <v>1482</v>
      </c>
    </row>
    <row r="1137" spans="1:5" x14ac:dyDescent="0.25">
      <c r="A1137" s="974">
        <v>1136</v>
      </c>
      <c r="B1137" s="974" t="s">
        <v>1517</v>
      </c>
      <c r="C1137" s="1046" t="s">
        <v>2120</v>
      </c>
      <c r="D1137" s="1046" t="s">
        <v>1676</v>
      </c>
      <c r="E1137" s="974" t="s">
        <v>727</v>
      </c>
    </row>
    <row r="1138" spans="1:5" x14ac:dyDescent="0.25">
      <c r="A1138" s="974">
        <v>1137</v>
      </c>
      <c r="B1138" s="974" t="s">
        <v>1517</v>
      </c>
      <c r="C1138" s="1046" t="s">
        <v>2120</v>
      </c>
      <c r="D1138" s="1046" t="s">
        <v>1676</v>
      </c>
      <c r="E1138" s="974" t="s">
        <v>1483</v>
      </c>
    </row>
    <row r="1139" spans="1:5" x14ac:dyDescent="0.25">
      <c r="A1139" s="974">
        <v>1138</v>
      </c>
      <c r="B1139" s="974" t="s">
        <v>1517</v>
      </c>
      <c r="C1139" s="1046" t="s">
        <v>2121</v>
      </c>
      <c r="D1139" s="1046" t="s">
        <v>1676</v>
      </c>
      <c r="E1139" s="974" t="s">
        <v>1482</v>
      </c>
    </row>
    <row r="1140" spans="1:5" x14ac:dyDescent="0.25">
      <c r="A1140" s="974">
        <v>1139</v>
      </c>
      <c r="B1140" s="974" t="s">
        <v>1517</v>
      </c>
      <c r="C1140" s="1046" t="s">
        <v>2121</v>
      </c>
      <c r="D1140" s="1046" t="s">
        <v>1676</v>
      </c>
      <c r="E1140" s="974" t="s">
        <v>727</v>
      </c>
    </row>
    <row r="1141" spans="1:5" x14ac:dyDescent="0.25">
      <c r="A1141" s="974">
        <v>1140</v>
      </c>
      <c r="B1141" s="974" t="s">
        <v>1517</v>
      </c>
      <c r="C1141" s="1046" t="s">
        <v>2121</v>
      </c>
      <c r="D1141" s="1046" t="s">
        <v>1676</v>
      </c>
      <c r="E1141" s="974" t="s">
        <v>1483</v>
      </c>
    </row>
    <row r="1142" spans="1:5" x14ac:dyDescent="0.25">
      <c r="A1142" s="974">
        <v>1141</v>
      </c>
      <c r="B1142" s="974" t="s">
        <v>1517</v>
      </c>
      <c r="C1142" s="1046" t="s">
        <v>2122</v>
      </c>
      <c r="D1142" s="1046" t="s">
        <v>1676</v>
      </c>
      <c r="E1142" s="974" t="s">
        <v>1482</v>
      </c>
    </row>
    <row r="1143" spans="1:5" x14ac:dyDescent="0.25">
      <c r="A1143" s="974">
        <v>1142</v>
      </c>
      <c r="B1143" s="974" t="s">
        <v>1517</v>
      </c>
      <c r="C1143" s="1046" t="s">
        <v>2122</v>
      </c>
      <c r="D1143" s="1046" t="s">
        <v>1676</v>
      </c>
      <c r="E1143" s="974" t="s">
        <v>727</v>
      </c>
    </row>
    <row r="1144" spans="1:5" x14ac:dyDescent="0.25">
      <c r="A1144" s="974">
        <v>1143</v>
      </c>
      <c r="B1144" s="974" t="s">
        <v>1517</v>
      </c>
      <c r="C1144" s="1046" t="s">
        <v>2122</v>
      </c>
      <c r="D1144" s="1046" t="s">
        <v>1676</v>
      </c>
      <c r="E1144" s="974" t="s">
        <v>1483</v>
      </c>
    </row>
    <row r="1145" spans="1:5" x14ac:dyDescent="0.25">
      <c r="A1145" s="974">
        <v>1144</v>
      </c>
      <c r="B1145" s="974" t="s">
        <v>1517</v>
      </c>
      <c r="C1145" s="1046" t="s">
        <v>2123</v>
      </c>
      <c r="D1145" s="1046" t="s">
        <v>1677</v>
      </c>
      <c r="E1145" s="974" t="s">
        <v>1492</v>
      </c>
    </row>
    <row r="1146" spans="1:5" x14ac:dyDescent="0.25">
      <c r="A1146" s="974">
        <v>1145</v>
      </c>
      <c r="B1146" s="974" t="s">
        <v>1517</v>
      </c>
      <c r="C1146" s="1046" t="s">
        <v>2123</v>
      </c>
      <c r="D1146" s="1046" t="s">
        <v>1677</v>
      </c>
      <c r="E1146" s="974" t="s">
        <v>1706</v>
      </c>
    </row>
    <row r="1147" spans="1:5" x14ac:dyDescent="0.25">
      <c r="A1147" s="974">
        <v>1146</v>
      </c>
      <c r="B1147" s="974" t="s">
        <v>1517</v>
      </c>
      <c r="C1147" s="1046" t="s">
        <v>2123</v>
      </c>
      <c r="D1147" s="1046" t="s">
        <v>1677</v>
      </c>
      <c r="E1147" s="974" t="s">
        <v>1383</v>
      </c>
    </row>
    <row r="1148" spans="1:5" x14ac:dyDescent="0.25">
      <c r="A1148" s="974">
        <v>1147</v>
      </c>
      <c r="B1148" s="974" t="s">
        <v>1517</v>
      </c>
      <c r="C1148" s="1046" t="s">
        <v>2123</v>
      </c>
      <c r="D1148" s="1046" t="s">
        <v>1677</v>
      </c>
      <c r="E1148" s="974" t="s">
        <v>1381</v>
      </c>
    </row>
    <row r="1149" spans="1:5" x14ac:dyDescent="0.25">
      <c r="A1149" s="974">
        <v>1148</v>
      </c>
      <c r="B1149" s="974" t="s">
        <v>1517</v>
      </c>
      <c r="C1149" s="1046" t="s">
        <v>2123</v>
      </c>
      <c r="D1149" s="1046" t="s">
        <v>1411</v>
      </c>
      <c r="E1149" s="974" t="s">
        <v>1382</v>
      </c>
    </row>
    <row r="1150" spans="1:5" ht="30" x14ac:dyDescent="0.25">
      <c r="A1150" s="974">
        <v>1149</v>
      </c>
      <c r="B1150" s="974" t="s">
        <v>1517</v>
      </c>
      <c r="C1150" s="1046" t="s">
        <v>2123</v>
      </c>
      <c r="D1150" s="1046" t="s">
        <v>1545</v>
      </c>
      <c r="E1150" s="974" t="s">
        <v>1385</v>
      </c>
    </row>
    <row r="1151" spans="1:5" ht="30" x14ac:dyDescent="0.25">
      <c r="A1151" s="974">
        <v>1150</v>
      </c>
      <c r="B1151" s="974" t="s">
        <v>1517</v>
      </c>
      <c r="C1151" s="1046" t="s">
        <v>2123</v>
      </c>
      <c r="D1151" s="1046" t="s">
        <v>1545</v>
      </c>
      <c r="E1151" s="974" t="s">
        <v>1386</v>
      </c>
    </row>
    <row r="1152" spans="1:5" ht="30" x14ac:dyDescent="0.25">
      <c r="A1152" s="974">
        <v>1151</v>
      </c>
      <c r="B1152" s="974" t="s">
        <v>1517</v>
      </c>
      <c r="C1152" s="1046" t="s">
        <v>2123</v>
      </c>
      <c r="D1152" s="1046" t="s">
        <v>1545</v>
      </c>
      <c r="E1152" s="974" t="s">
        <v>1496</v>
      </c>
    </row>
    <row r="1153" spans="1:5" x14ac:dyDescent="0.25">
      <c r="A1153" s="974">
        <v>1152</v>
      </c>
      <c r="B1153" s="974" t="s">
        <v>1517</v>
      </c>
      <c r="C1153" s="1046" t="s">
        <v>2123</v>
      </c>
      <c r="D1153" s="1046" t="s">
        <v>1411</v>
      </c>
      <c r="E1153" s="974" t="s">
        <v>1493</v>
      </c>
    </row>
    <row r="1154" spans="1:5" x14ac:dyDescent="0.25">
      <c r="A1154" s="974">
        <v>1153</v>
      </c>
      <c r="B1154" s="974" t="s">
        <v>1517</v>
      </c>
      <c r="C1154" s="1046" t="s">
        <v>2123</v>
      </c>
      <c r="D1154" s="1046" t="s">
        <v>1677</v>
      </c>
      <c r="E1154" s="974" t="s">
        <v>1396</v>
      </c>
    </row>
    <row r="1155" spans="1:5" x14ac:dyDescent="0.25">
      <c r="A1155" s="974">
        <v>1154</v>
      </c>
      <c r="B1155" s="974" t="s">
        <v>1517</v>
      </c>
      <c r="C1155" s="1046" t="s">
        <v>2124</v>
      </c>
      <c r="D1155" s="1046" t="s">
        <v>1677</v>
      </c>
      <c r="E1155" s="974" t="s">
        <v>1482</v>
      </c>
    </row>
    <row r="1156" spans="1:5" x14ac:dyDescent="0.25">
      <c r="A1156" s="974">
        <v>1155</v>
      </c>
      <c r="B1156" s="974" t="s">
        <v>1517</v>
      </c>
      <c r="C1156" s="1046" t="s">
        <v>2124</v>
      </c>
      <c r="D1156" s="1046" t="s">
        <v>1677</v>
      </c>
      <c r="E1156" s="974" t="s">
        <v>727</v>
      </c>
    </row>
    <row r="1157" spans="1:5" x14ac:dyDescent="0.25">
      <c r="A1157" s="974">
        <v>1156</v>
      </c>
      <c r="B1157" s="974" t="s">
        <v>1517</v>
      </c>
      <c r="C1157" s="1046" t="s">
        <v>2124</v>
      </c>
      <c r="D1157" s="1046" t="s">
        <v>1677</v>
      </c>
      <c r="E1157" s="974" t="s">
        <v>1678</v>
      </c>
    </row>
    <row r="1158" spans="1:5" x14ac:dyDescent="0.25">
      <c r="A1158" s="974">
        <v>1157</v>
      </c>
      <c r="B1158" s="974" t="s">
        <v>1517</v>
      </c>
      <c r="C1158" s="1046" t="s">
        <v>2125</v>
      </c>
      <c r="D1158" s="1046" t="s">
        <v>1677</v>
      </c>
      <c r="E1158" s="974" t="s">
        <v>1482</v>
      </c>
    </row>
    <row r="1159" spans="1:5" x14ac:dyDescent="0.25">
      <c r="A1159" s="974">
        <v>1158</v>
      </c>
      <c r="B1159" s="974" t="s">
        <v>1517</v>
      </c>
      <c r="C1159" s="1046" t="s">
        <v>2125</v>
      </c>
      <c r="D1159" s="1046" t="s">
        <v>1677</v>
      </c>
      <c r="E1159" s="974" t="s">
        <v>727</v>
      </c>
    </row>
    <row r="1160" spans="1:5" x14ac:dyDescent="0.25">
      <c r="A1160" s="974">
        <v>1159</v>
      </c>
      <c r="B1160" s="974" t="s">
        <v>1517</v>
      </c>
      <c r="C1160" s="1046" t="s">
        <v>2125</v>
      </c>
      <c r="D1160" s="1046" t="s">
        <v>1677</v>
      </c>
      <c r="E1160" s="974" t="s">
        <v>1678</v>
      </c>
    </row>
    <row r="1161" spans="1:5" x14ac:dyDescent="0.25">
      <c r="A1161" s="974">
        <v>1160</v>
      </c>
      <c r="B1161" s="974" t="s">
        <v>1517</v>
      </c>
      <c r="C1161" s="1046" t="s">
        <v>2126</v>
      </c>
      <c r="D1161" s="1046" t="s">
        <v>1677</v>
      </c>
      <c r="E1161" s="974" t="s">
        <v>1482</v>
      </c>
    </row>
    <row r="1162" spans="1:5" x14ac:dyDescent="0.25">
      <c r="A1162" s="974">
        <v>1161</v>
      </c>
      <c r="B1162" s="974" t="s">
        <v>1517</v>
      </c>
      <c r="C1162" s="1046" t="s">
        <v>2126</v>
      </c>
      <c r="D1162" s="1046" t="s">
        <v>1677</v>
      </c>
      <c r="E1162" s="974" t="s">
        <v>727</v>
      </c>
    </row>
    <row r="1163" spans="1:5" x14ac:dyDescent="0.25">
      <c r="A1163" s="974">
        <v>1162</v>
      </c>
      <c r="B1163" s="974" t="s">
        <v>1517</v>
      </c>
      <c r="C1163" s="1046" t="s">
        <v>2126</v>
      </c>
      <c r="D1163" s="1046" t="s">
        <v>1677</v>
      </c>
      <c r="E1163" s="974" t="s">
        <v>1678</v>
      </c>
    </row>
    <row r="1164" spans="1:5" x14ac:dyDescent="0.25">
      <c r="A1164" s="974">
        <v>1163</v>
      </c>
      <c r="B1164" s="974" t="s">
        <v>1517</v>
      </c>
      <c r="C1164" s="1046" t="s">
        <v>2127</v>
      </c>
      <c r="D1164" s="1046" t="s">
        <v>1677</v>
      </c>
      <c r="E1164" s="974" t="s">
        <v>1482</v>
      </c>
    </row>
    <row r="1165" spans="1:5" x14ac:dyDescent="0.25">
      <c r="A1165" s="974">
        <v>1164</v>
      </c>
      <c r="B1165" s="974" t="s">
        <v>1517</v>
      </c>
      <c r="C1165" s="1046" t="s">
        <v>2127</v>
      </c>
      <c r="D1165" s="1046" t="s">
        <v>1677</v>
      </c>
      <c r="E1165" s="974" t="s">
        <v>727</v>
      </c>
    </row>
    <row r="1166" spans="1:5" x14ac:dyDescent="0.25">
      <c r="A1166" s="974">
        <v>1165</v>
      </c>
      <c r="B1166" s="974" t="s">
        <v>1517</v>
      </c>
      <c r="C1166" s="1046" t="s">
        <v>2127</v>
      </c>
      <c r="D1166" s="1046" t="s">
        <v>1677</v>
      </c>
      <c r="E1166" s="974" t="s">
        <v>1678</v>
      </c>
    </row>
    <row r="1167" spans="1:5" x14ac:dyDescent="0.25">
      <c r="A1167" s="974">
        <v>1166</v>
      </c>
      <c r="B1167" s="974" t="s">
        <v>1517</v>
      </c>
      <c r="C1167" s="1046" t="s">
        <v>2128</v>
      </c>
      <c r="D1167" s="1046" t="s">
        <v>1677</v>
      </c>
      <c r="E1167" s="974" t="s">
        <v>1482</v>
      </c>
    </row>
    <row r="1168" spans="1:5" x14ac:dyDescent="0.25">
      <c r="A1168" s="974">
        <v>1167</v>
      </c>
      <c r="B1168" s="974" t="s">
        <v>1517</v>
      </c>
      <c r="C1168" s="1046" t="s">
        <v>2128</v>
      </c>
      <c r="D1168" s="1046" t="s">
        <v>1677</v>
      </c>
      <c r="E1168" s="974" t="s">
        <v>727</v>
      </c>
    </row>
    <row r="1169" spans="1:5" x14ac:dyDescent="0.25">
      <c r="A1169" s="974">
        <v>1168</v>
      </c>
      <c r="B1169" s="974" t="s">
        <v>1517</v>
      </c>
      <c r="C1169" s="1046" t="s">
        <v>2128</v>
      </c>
      <c r="D1169" s="1046" t="s">
        <v>1677</v>
      </c>
      <c r="E1169" s="974" t="s">
        <v>1678</v>
      </c>
    </row>
    <row r="1170" spans="1:5" x14ac:dyDescent="0.25">
      <c r="A1170" s="974">
        <v>1169</v>
      </c>
      <c r="B1170" s="974" t="s">
        <v>1517</v>
      </c>
      <c r="C1170" s="1046" t="s">
        <v>2129</v>
      </c>
      <c r="D1170" s="1046" t="s">
        <v>1677</v>
      </c>
      <c r="E1170" s="974" t="s">
        <v>1492</v>
      </c>
    </row>
    <row r="1171" spans="1:5" x14ac:dyDescent="0.25">
      <c r="A1171" s="974">
        <v>1170</v>
      </c>
      <c r="B1171" s="974" t="s">
        <v>1517</v>
      </c>
      <c r="C1171" s="1046" t="s">
        <v>2129</v>
      </c>
      <c r="D1171" s="1046" t="s">
        <v>1677</v>
      </c>
      <c r="E1171" s="974" t="s">
        <v>1706</v>
      </c>
    </row>
    <row r="1172" spans="1:5" x14ac:dyDescent="0.25">
      <c r="A1172" s="974">
        <v>1171</v>
      </c>
      <c r="B1172" s="974" t="s">
        <v>1517</v>
      </c>
      <c r="C1172" s="1046" t="s">
        <v>2129</v>
      </c>
      <c r="D1172" s="1046" t="s">
        <v>1677</v>
      </c>
      <c r="E1172" s="974" t="s">
        <v>1383</v>
      </c>
    </row>
    <row r="1173" spans="1:5" x14ac:dyDescent="0.25">
      <c r="A1173" s="974">
        <v>1172</v>
      </c>
      <c r="B1173" s="974" t="s">
        <v>1517</v>
      </c>
      <c r="C1173" s="1046" t="s">
        <v>2129</v>
      </c>
      <c r="D1173" s="1046" t="s">
        <v>1677</v>
      </c>
      <c r="E1173" s="974" t="s">
        <v>1381</v>
      </c>
    </row>
    <row r="1174" spans="1:5" x14ac:dyDescent="0.25">
      <c r="A1174" s="974">
        <v>1173</v>
      </c>
      <c r="B1174" s="974" t="s">
        <v>1517</v>
      </c>
      <c r="C1174" s="1046" t="s">
        <v>2129</v>
      </c>
      <c r="D1174" s="1046" t="s">
        <v>1411</v>
      </c>
      <c r="E1174" s="974" t="s">
        <v>1382</v>
      </c>
    </row>
    <row r="1175" spans="1:5" ht="30" x14ac:dyDescent="0.25">
      <c r="A1175" s="974">
        <v>1174</v>
      </c>
      <c r="B1175" s="974" t="s">
        <v>1517</v>
      </c>
      <c r="C1175" s="1046" t="s">
        <v>2129</v>
      </c>
      <c r="D1175" s="1046" t="s">
        <v>1545</v>
      </c>
      <c r="E1175" s="974" t="s">
        <v>1385</v>
      </c>
    </row>
    <row r="1176" spans="1:5" ht="30" x14ac:dyDescent="0.25">
      <c r="A1176" s="974">
        <v>1175</v>
      </c>
      <c r="B1176" s="974" t="s">
        <v>1517</v>
      </c>
      <c r="C1176" s="1046" t="s">
        <v>2129</v>
      </c>
      <c r="D1176" s="1046" t="s">
        <v>1545</v>
      </c>
      <c r="E1176" s="974" t="s">
        <v>1386</v>
      </c>
    </row>
    <row r="1177" spans="1:5" ht="30" x14ac:dyDescent="0.25">
      <c r="A1177" s="974">
        <v>1176</v>
      </c>
      <c r="B1177" s="974" t="s">
        <v>1517</v>
      </c>
      <c r="C1177" s="1046" t="s">
        <v>2129</v>
      </c>
      <c r="D1177" s="1046" t="s">
        <v>1545</v>
      </c>
      <c r="E1177" s="974" t="s">
        <v>1496</v>
      </c>
    </row>
    <row r="1178" spans="1:5" x14ac:dyDescent="0.25">
      <c r="A1178" s="974">
        <v>1177</v>
      </c>
      <c r="B1178" s="974" t="s">
        <v>1517</v>
      </c>
      <c r="C1178" s="1046" t="s">
        <v>2129</v>
      </c>
      <c r="D1178" s="1046" t="s">
        <v>1411</v>
      </c>
      <c r="E1178" s="974" t="s">
        <v>1493</v>
      </c>
    </row>
    <row r="1179" spans="1:5" x14ac:dyDescent="0.25">
      <c r="A1179" s="974">
        <v>1178</v>
      </c>
      <c r="B1179" s="974" t="s">
        <v>1517</v>
      </c>
      <c r="C1179" s="1046" t="s">
        <v>2129</v>
      </c>
      <c r="D1179" s="1046" t="s">
        <v>1677</v>
      </c>
      <c r="E1179" s="974" t="s">
        <v>1396</v>
      </c>
    </row>
    <row r="1180" spans="1:5" x14ac:dyDescent="0.25">
      <c r="A1180" s="974">
        <v>1179</v>
      </c>
      <c r="B1180" s="974" t="s">
        <v>1517</v>
      </c>
      <c r="C1180" s="1046" t="s">
        <v>2130</v>
      </c>
      <c r="D1180" s="1046" t="s">
        <v>1677</v>
      </c>
      <c r="E1180" s="974" t="s">
        <v>1482</v>
      </c>
    </row>
    <row r="1181" spans="1:5" x14ac:dyDescent="0.25">
      <c r="A1181" s="974">
        <v>1180</v>
      </c>
      <c r="B1181" s="974" t="s">
        <v>1517</v>
      </c>
      <c r="C1181" s="1046" t="s">
        <v>2130</v>
      </c>
      <c r="D1181" s="1046" t="s">
        <v>1677</v>
      </c>
      <c r="E1181" s="974" t="s">
        <v>727</v>
      </c>
    </row>
    <row r="1182" spans="1:5" x14ac:dyDescent="0.25">
      <c r="A1182" s="974">
        <v>1181</v>
      </c>
      <c r="B1182" s="974" t="s">
        <v>1517</v>
      </c>
      <c r="C1182" s="1046" t="s">
        <v>2130</v>
      </c>
      <c r="D1182" s="1046" t="s">
        <v>1677</v>
      </c>
      <c r="E1182" s="974" t="s">
        <v>1678</v>
      </c>
    </row>
    <row r="1183" spans="1:5" x14ac:dyDescent="0.25">
      <c r="A1183" s="974">
        <v>1182</v>
      </c>
      <c r="B1183" s="974" t="s">
        <v>1517</v>
      </c>
      <c r="C1183" s="1046" t="s">
        <v>2131</v>
      </c>
      <c r="D1183" s="1046" t="s">
        <v>1677</v>
      </c>
      <c r="E1183" s="974" t="s">
        <v>1482</v>
      </c>
    </row>
    <row r="1184" spans="1:5" x14ac:dyDescent="0.25">
      <c r="A1184" s="974">
        <v>1183</v>
      </c>
      <c r="B1184" s="974" t="s">
        <v>1517</v>
      </c>
      <c r="C1184" s="1046" t="s">
        <v>2131</v>
      </c>
      <c r="D1184" s="1046" t="s">
        <v>1677</v>
      </c>
      <c r="E1184" s="974" t="s">
        <v>727</v>
      </c>
    </row>
    <row r="1185" spans="1:5" x14ac:dyDescent="0.25">
      <c r="A1185" s="974">
        <v>1184</v>
      </c>
      <c r="B1185" s="974" t="s">
        <v>1517</v>
      </c>
      <c r="C1185" s="1046" t="s">
        <v>2131</v>
      </c>
      <c r="D1185" s="1046" t="s">
        <v>1677</v>
      </c>
      <c r="E1185" s="974" t="s">
        <v>1678</v>
      </c>
    </row>
    <row r="1186" spans="1:5" x14ac:dyDescent="0.25">
      <c r="A1186" s="974">
        <v>1185</v>
      </c>
      <c r="B1186" s="974" t="s">
        <v>1517</v>
      </c>
      <c r="C1186" s="1046" t="s">
        <v>2132</v>
      </c>
      <c r="D1186" s="1046" t="s">
        <v>1677</v>
      </c>
      <c r="E1186" s="974" t="s">
        <v>1482</v>
      </c>
    </row>
    <row r="1187" spans="1:5" x14ac:dyDescent="0.25">
      <c r="A1187" s="974">
        <v>1186</v>
      </c>
      <c r="B1187" s="974" t="s">
        <v>1517</v>
      </c>
      <c r="C1187" s="1046" t="s">
        <v>2132</v>
      </c>
      <c r="D1187" s="1046" t="s">
        <v>1677</v>
      </c>
      <c r="E1187" s="974" t="s">
        <v>727</v>
      </c>
    </row>
    <row r="1188" spans="1:5" x14ac:dyDescent="0.25">
      <c r="A1188" s="974">
        <v>1187</v>
      </c>
      <c r="B1188" s="974" t="s">
        <v>1517</v>
      </c>
      <c r="C1188" s="1046" t="s">
        <v>2132</v>
      </c>
      <c r="D1188" s="1046" t="s">
        <v>1677</v>
      </c>
      <c r="E1188" s="974" t="s">
        <v>1678</v>
      </c>
    </row>
    <row r="1189" spans="1:5" x14ac:dyDescent="0.25">
      <c r="A1189" s="974">
        <v>1188</v>
      </c>
      <c r="B1189" s="974" t="s">
        <v>1517</v>
      </c>
      <c r="C1189" s="1046" t="s">
        <v>2133</v>
      </c>
      <c r="D1189" s="1046" t="s">
        <v>1677</v>
      </c>
      <c r="E1189" s="974" t="s">
        <v>1482</v>
      </c>
    </row>
    <row r="1190" spans="1:5" x14ac:dyDescent="0.25">
      <c r="A1190" s="974">
        <v>1189</v>
      </c>
      <c r="B1190" s="974" t="s">
        <v>1517</v>
      </c>
      <c r="C1190" s="1046" t="s">
        <v>2133</v>
      </c>
      <c r="D1190" s="1046" t="s">
        <v>1677</v>
      </c>
      <c r="E1190" s="974" t="s">
        <v>727</v>
      </c>
    </row>
    <row r="1191" spans="1:5" x14ac:dyDescent="0.25">
      <c r="A1191" s="974">
        <v>1190</v>
      </c>
      <c r="B1191" s="974" t="s">
        <v>1517</v>
      </c>
      <c r="C1191" s="1046" t="s">
        <v>2133</v>
      </c>
      <c r="D1191" s="1046" t="s">
        <v>1677</v>
      </c>
      <c r="E1191" s="974" t="s">
        <v>1678</v>
      </c>
    </row>
    <row r="1192" spans="1:5" x14ac:dyDescent="0.25">
      <c r="A1192" s="974">
        <v>1191</v>
      </c>
      <c r="B1192" s="974" t="s">
        <v>1517</v>
      </c>
      <c r="C1192" s="1046" t="s">
        <v>2134</v>
      </c>
      <c r="D1192" s="1046" t="s">
        <v>1677</v>
      </c>
      <c r="E1192" s="974" t="s">
        <v>1482</v>
      </c>
    </row>
    <row r="1193" spans="1:5" x14ac:dyDescent="0.25">
      <c r="A1193" s="974">
        <v>1192</v>
      </c>
      <c r="B1193" s="974" t="s">
        <v>1517</v>
      </c>
      <c r="C1193" s="1046" t="s">
        <v>2134</v>
      </c>
      <c r="D1193" s="1046" t="s">
        <v>1677</v>
      </c>
      <c r="E1193" s="974" t="s">
        <v>727</v>
      </c>
    </row>
    <row r="1194" spans="1:5" x14ac:dyDescent="0.25">
      <c r="A1194" s="974">
        <v>1193</v>
      </c>
      <c r="B1194" s="974" t="s">
        <v>1517</v>
      </c>
      <c r="C1194" s="1046" t="s">
        <v>2134</v>
      </c>
      <c r="D1194" s="1046" t="s">
        <v>1677</v>
      </c>
      <c r="E1194" s="974" t="s">
        <v>1678</v>
      </c>
    </row>
    <row r="1195" spans="1:5" ht="30" x14ac:dyDescent="0.25">
      <c r="A1195" s="974">
        <v>1194</v>
      </c>
      <c r="B1195" s="974" t="s">
        <v>1517</v>
      </c>
      <c r="C1195" s="1046" t="s">
        <v>2135</v>
      </c>
      <c r="D1195" s="1046" t="s">
        <v>1679</v>
      </c>
      <c r="E1195" s="974" t="s">
        <v>1492</v>
      </c>
    </row>
    <row r="1196" spans="1:5" ht="30" x14ac:dyDescent="0.25">
      <c r="A1196" s="974">
        <v>1195</v>
      </c>
      <c r="B1196" s="974" t="s">
        <v>1517</v>
      </c>
      <c r="C1196" s="1046" t="s">
        <v>2135</v>
      </c>
      <c r="D1196" s="1046" t="s">
        <v>1679</v>
      </c>
      <c r="E1196" s="974" t="s">
        <v>1706</v>
      </c>
    </row>
    <row r="1197" spans="1:5" ht="30" x14ac:dyDescent="0.25">
      <c r="A1197" s="974">
        <v>1196</v>
      </c>
      <c r="B1197" s="974" t="s">
        <v>1517</v>
      </c>
      <c r="C1197" s="1046" t="s">
        <v>2135</v>
      </c>
      <c r="D1197" s="1046" t="s">
        <v>1679</v>
      </c>
      <c r="E1197" s="974" t="s">
        <v>1383</v>
      </c>
    </row>
    <row r="1198" spans="1:5" ht="30" x14ac:dyDescent="0.25">
      <c r="A1198" s="974">
        <v>1197</v>
      </c>
      <c r="B1198" s="974" t="s">
        <v>1517</v>
      </c>
      <c r="C1198" s="1046" t="s">
        <v>2135</v>
      </c>
      <c r="D1198" s="1046" t="s">
        <v>1679</v>
      </c>
      <c r="E1198" s="974" t="s">
        <v>1381</v>
      </c>
    </row>
    <row r="1199" spans="1:5" ht="30" x14ac:dyDescent="0.25">
      <c r="A1199" s="974">
        <v>1198</v>
      </c>
      <c r="B1199" s="974" t="s">
        <v>1517</v>
      </c>
      <c r="C1199" s="1046" t="s">
        <v>2135</v>
      </c>
      <c r="D1199" s="1046" t="s">
        <v>1545</v>
      </c>
      <c r="E1199" s="974" t="s">
        <v>1385</v>
      </c>
    </row>
    <row r="1200" spans="1:5" ht="30" x14ac:dyDescent="0.25">
      <c r="A1200" s="974">
        <v>1199</v>
      </c>
      <c r="B1200" s="974" t="s">
        <v>1517</v>
      </c>
      <c r="C1200" s="1046" t="s">
        <v>2135</v>
      </c>
      <c r="D1200" s="1046" t="s">
        <v>1545</v>
      </c>
      <c r="E1200" s="974" t="s">
        <v>1386</v>
      </c>
    </row>
    <row r="1201" spans="1:59" ht="30" x14ac:dyDescent="0.25">
      <c r="A1201" s="974">
        <v>1200</v>
      </c>
      <c r="B1201" s="974" t="s">
        <v>1517</v>
      </c>
      <c r="C1201" s="1046" t="s">
        <v>2135</v>
      </c>
      <c r="D1201" s="1046" t="s">
        <v>1545</v>
      </c>
      <c r="E1201" s="974" t="s">
        <v>1496</v>
      </c>
    </row>
    <row r="1202" spans="1:59" ht="30" x14ac:dyDescent="0.25">
      <c r="A1202" s="974">
        <v>1201</v>
      </c>
      <c r="B1202" s="974" t="s">
        <v>1517</v>
      </c>
      <c r="C1202" s="1046" t="s">
        <v>2135</v>
      </c>
      <c r="D1202" s="1046" t="s">
        <v>1679</v>
      </c>
      <c r="E1202" s="974" t="s">
        <v>1389</v>
      </c>
    </row>
    <row r="1203" spans="1:59" s="1482" customFormat="1" x14ac:dyDescent="0.25">
      <c r="A1203" s="974">
        <v>1202</v>
      </c>
      <c r="B1203" s="1044" t="s">
        <v>1743</v>
      </c>
      <c r="C1203" s="1044" t="s">
        <v>1743</v>
      </c>
      <c r="D1203" s="1045" t="s">
        <v>1769</v>
      </c>
      <c r="E1203" s="1044"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4">
        <v>1203</v>
      </c>
      <c r="B1204" s="1044" t="s">
        <v>1743</v>
      </c>
      <c r="C1204" s="1044" t="s">
        <v>1743</v>
      </c>
      <c r="D1204" s="1044" t="s">
        <v>2053</v>
      </c>
      <c r="E1204" s="1044"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4">
        <v>1204</v>
      </c>
      <c r="B1205" s="974" t="s">
        <v>1517</v>
      </c>
      <c r="C1205" s="1046" t="s">
        <v>2108</v>
      </c>
      <c r="D1205" s="1045" t="s">
        <v>1411</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4">
        <v>1205</v>
      </c>
      <c r="B1206" s="974" t="s">
        <v>1517</v>
      </c>
      <c r="C1206" s="1046" t="s">
        <v>2109</v>
      </c>
      <c r="D1206" s="1045" t="s">
        <v>1411</v>
      </c>
      <c r="E1206" s="1044"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4">
        <v>1206</v>
      </c>
      <c r="B1207" s="974" t="s">
        <v>1517</v>
      </c>
      <c r="C1207" s="1046" t="s">
        <v>2110</v>
      </c>
      <c r="D1207" s="1045" t="s">
        <v>1411</v>
      </c>
      <c r="E1207" s="1044"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4">
        <v>1207</v>
      </c>
      <c r="B1208" s="1324" t="s">
        <v>1351</v>
      </c>
      <c r="C1208" s="1325" t="s">
        <v>2073</v>
      </c>
      <c r="D1208" s="1325" t="s">
        <v>1411</v>
      </c>
      <c r="E1208" s="132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6" t="s">
        <v>2018</v>
      </c>
      <c r="D1209" s="1046" t="s">
        <v>1776</v>
      </c>
      <c r="E1209" s="974" t="s">
        <v>1492</v>
      </c>
    </row>
    <row r="1210" spans="1:59" x14ac:dyDescent="0.25">
      <c r="A1210" s="974">
        <v>1209</v>
      </c>
      <c r="B1210" s="974" t="s">
        <v>1517</v>
      </c>
      <c r="C1210" s="1046" t="s">
        <v>2018</v>
      </c>
      <c r="D1210" s="1046" t="s">
        <v>1411</v>
      </c>
      <c r="E1210" s="974" t="s">
        <v>1706</v>
      </c>
    </row>
    <row r="1211" spans="1:59" x14ac:dyDescent="0.25">
      <c r="A1211" s="974">
        <v>1210</v>
      </c>
      <c r="B1211" s="974" t="s">
        <v>1517</v>
      </c>
      <c r="C1211" s="1046" t="s">
        <v>2018</v>
      </c>
      <c r="D1211" s="1046" t="s">
        <v>1411</v>
      </c>
      <c r="E1211" s="974" t="s">
        <v>1383</v>
      </c>
    </row>
    <row r="1212" spans="1:59" x14ac:dyDescent="0.25">
      <c r="A1212" s="974">
        <v>1211</v>
      </c>
      <c r="B1212" s="974" t="s">
        <v>1517</v>
      </c>
      <c r="C1212" s="1046" t="s">
        <v>2018</v>
      </c>
      <c r="D1212" s="1046" t="s">
        <v>1776</v>
      </c>
      <c r="E1212" s="974" t="s">
        <v>1381</v>
      </c>
    </row>
    <row r="1213" spans="1:59" x14ac:dyDescent="0.25">
      <c r="A1213" s="974">
        <v>1212</v>
      </c>
      <c r="B1213" s="974" t="s">
        <v>1517</v>
      </c>
      <c r="C1213" s="1046" t="s">
        <v>2018</v>
      </c>
      <c r="D1213" s="1046" t="s">
        <v>1411</v>
      </c>
      <c r="E1213" s="974" t="s">
        <v>1382</v>
      </c>
    </row>
    <row r="1214" spans="1:59" ht="30" x14ac:dyDescent="0.25">
      <c r="A1214" s="974">
        <v>1213</v>
      </c>
      <c r="B1214" s="974" t="s">
        <v>1517</v>
      </c>
      <c r="C1214" s="1046" t="s">
        <v>2018</v>
      </c>
      <c r="D1214" s="1046" t="s">
        <v>1545</v>
      </c>
      <c r="E1214" s="974" t="s">
        <v>1385</v>
      </c>
    </row>
    <row r="1215" spans="1:59" ht="30" x14ac:dyDescent="0.25">
      <c r="A1215" s="974">
        <v>1214</v>
      </c>
      <c r="B1215" s="974" t="s">
        <v>1517</v>
      </c>
      <c r="C1215" s="1046" t="s">
        <v>2018</v>
      </c>
      <c r="D1215" s="1046" t="s">
        <v>1545</v>
      </c>
      <c r="E1215" s="974" t="s">
        <v>1386</v>
      </c>
    </row>
    <row r="1216" spans="1:59" x14ac:dyDescent="0.25">
      <c r="A1216" s="974">
        <v>1215</v>
      </c>
      <c r="B1216" s="974" t="s">
        <v>1517</v>
      </c>
      <c r="C1216" s="1046" t="s">
        <v>2018</v>
      </c>
      <c r="D1216" s="1046" t="s">
        <v>1776</v>
      </c>
      <c r="E1216" s="974" t="s">
        <v>1396</v>
      </c>
    </row>
    <row r="1217" spans="1:5" x14ac:dyDescent="0.25">
      <c r="A1217" s="974">
        <v>1216</v>
      </c>
      <c r="B1217" s="974" t="s">
        <v>1517</v>
      </c>
      <c r="C1217" s="1046" t="s">
        <v>2018</v>
      </c>
      <c r="D1217" s="1046" t="s">
        <v>1776</v>
      </c>
      <c r="E1217" s="974" t="s">
        <v>2006</v>
      </c>
    </row>
    <row r="1218" spans="1:5" x14ac:dyDescent="0.25">
      <c r="A1218" s="974">
        <v>1217</v>
      </c>
      <c r="B1218" s="974" t="s">
        <v>1517</v>
      </c>
      <c r="C1218" s="1046" t="s">
        <v>2018</v>
      </c>
      <c r="D1218" s="1046" t="s">
        <v>1776</v>
      </c>
      <c r="E1218" s="974" t="s">
        <v>1483</v>
      </c>
    </row>
    <row r="1219" spans="1:5" x14ac:dyDescent="0.25">
      <c r="A1219" s="974">
        <v>1218</v>
      </c>
      <c r="B1219" s="974" t="s">
        <v>1517</v>
      </c>
      <c r="C1219" s="1046" t="s">
        <v>2018</v>
      </c>
      <c r="D1219" s="1046" t="s">
        <v>1776</v>
      </c>
      <c r="E1219" s="974" t="s">
        <v>1397</v>
      </c>
    </row>
    <row r="1220" spans="1:5" x14ac:dyDescent="0.25">
      <c r="A1220" s="974">
        <v>1219</v>
      </c>
      <c r="B1220" s="974" t="s">
        <v>1517</v>
      </c>
      <c r="C1220" s="1046" t="s">
        <v>2019</v>
      </c>
      <c r="D1220" s="1046" t="s">
        <v>1411</v>
      </c>
      <c r="E1220" s="974" t="s">
        <v>1492</v>
      </c>
    </row>
    <row r="1221" spans="1:5" x14ac:dyDescent="0.25">
      <c r="A1221" s="974">
        <v>1220</v>
      </c>
      <c r="B1221" s="974" t="s">
        <v>1517</v>
      </c>
      <c r="C1221" s="1046" t="s">
        <v>2019</v>
      </c>
      <c r="D1221" s="1046" t="s">
        <v>1411</v>
      </c>
      <c r="E1221" s="974" t="s">
        <v>1706</v>
      </c>
    </row>
    <row r="1222" spans="1:5" x14ac:dyDescent="0.25">
      <c r="A1222" s="974">
        <v>1221</v>
      </c>
      <c r="B1222" s="974" t="s">
        <v>1517</v>
      </c>
      <c r="C1222" s="1046" t="s">
        <v>2019</v>
      </c>
      <c r="D1222" s="1046" t="s">
        <v>1411</v>
      </c>
      <c r="E1222" s="974" t="s">
        <v>1383</v>
      </c>
    </row>
    <row r="1223" spans="1:5" x14ac:dyDescent="0.25">
      <c r="A1223" s="974">
        <v>1222</v>
      </c>
      <c r="B1223" s="974" t="s">
        <v>1517</v>
      </c>
      <c r="C1223" s="1046" t="s">
        <v>2019</v>
      </c>
      <c r="D1223" s="1046" t="s">
        <v>1776</v>
      </c>
      <c r="E1223" s="974" t="s">
        <v>1381</v>
      </c>
    </row>
    <row r="1224" spans="1:5" x14ac:dyDescent="0.25">
      <c r="A1224" s="974">
        <v>1223</v>
      </c>
      <c r="B1224" s="974" t="s">
        <v>1517</v>
      </c>
      <c r="C1224" s="1046" t="s">
        <v>2019</v>
      </c>
      <c r="D1224" s="1046" t="s">
        <v>1411</v>
      </c>
      <c r="E1224" s="974" t="s">
        <v>1382</v>
      </c>
    </row>
    <row r="1225" spans="1:5" ht="30" x14ac:dyDescent="0.25">
      <c r="A1225" s="974">
        <v>1224</v>
      </c>
      <c r="B1225" s="974" t="s">
        <v>1517</v>
      </c>
      <c r="C1225" s="1046" t="s">
        <v>2019</v>
      </c>
      <c r="D1225" s="1046" t="s">
        <v>1545</v>
      </c>
      <c r="E1225" s="974" t="s">
        <v>1385</v>
      </c>
    </row>
    <row r="1226" spans="1:5" ht="30" x14ac:dyDescent="0.25">
      <c r="A1226" s="974">
        <v>1225</v>
      </c>
      <c r="B1226" s="974" t="s">
        <v>1517</v>
      </c>
      <c r="C1226" s="1046" t="s">
        <v>2019</v>
      </c>
      <c r="D1226" s="1046" t="s">
        <v>1545</v>
      </c>
      <c r="E1226" s="974" t="s">
        <v>1386</v>
      </c>
    </row>
    <row r="1227" spans="1:5" x14ac:dyDescent="0.25">
      <c r="A1227" s="974">
        <v>1226</v>
      </c>
      <c r="B1227" s="974" t="s">
        <v>1517</v>
      </c>
      <c r="C1227" s="1046" t="s">
        <v>2019</v>
      </c>
      <c r="D1227" s="1046" t="s">
        <v>1776</v>
      </c>
      <c r="E1227" s="974" t="s">
        <v>1396</v>
      </c>
    </row>
    <row r="1228" spans="1:5" x14ac:dyDescent="0.25">
      <c r="A1228" s="974">
        <v>1227</v>
      </c>
      <c r="B1228" s="974" t="s">
        <v>1517</v>
      </c>
      <c r="C1228" s="1046" t="s">
        <v>2019</v>
      </c>
      <c r="D1228" s="1046" t="s">
        <v>1776</v>
      </c>
      <c r="E1228" s="974" t="s">
        <v>2006</v>
      </c>
    </row>
    <row r="1229" spans="1:5" x14ac:dyDescent="0.25">
      <c r="A1229" s="974">
        <v>1228</v>
      </c>
      <c r="B1229" s="974" t="s">
        <v>1517</v>
      </c>
      <c r="C1229" s="1046" t="s">
        <v>2019</v>
      </c>
      <c r="D1229" s="1046" t="s">
        <v>1776</v>
      </c>
      <c r="E1229" s="974" t="s">
        <v>1483</v>
      </c>
    </row>
    <row r="1230" spans="1:5" x14ac:dyDescent="0.25">
      <c r="A1230" s="974">
        <v>1229</v>
      </c>
      <c r="B1230" s="974" t="s">
        <v>1517</v>
      </c>
      <c r="C1230" s="1046" t="s">
        <v>2019</v>
      </c>
      <c r="D1230" s="1046" t="s">
        <v>1776</v>
      </c>
      <c r="E1230" s="974" t="s">
        <v>1397</v>
      </c>
    </row>
    <row r="1231" spans="1:5" x14ac:dyDescent="0.25">
      <c r="A1231" s="974">
        <v>1230</v>
      </c>
      <c r="B1231" s="974" t="s">
        <v>1517</v>
      </c>
      <c r="C1231" s="1046" t="s">
        <v>2020</v>
      </c>
      <c r="D1231" s="1046" t="s">
        <v>1411</v>
      </c>
      <c r="E1231" s="974" t="s">
        <v>1492</v>
      </c>
    </row>
    <row r="1232" spans="1:5" x14ac:dyDescent="0.25">
      <c r="A1232" s="974">
        <v>1231</v>
      </c>
      <c r="B1232" s="974" t="s">
        <v>1517</v>
      </c>
      <c r="C1232" s="1046" t="s">
        <v>2020</v>
      </c>
      <c r="D1232" s="1046" t="s">
        <v>1411</v>
      </c>
      <c r="E1232" s="974" t="s">
        <v>1706</v>
      </c>
    </row>
    <row r="1233" spans="1:5" x14ac:dyDescent="0.25">
      <c r="A1233" s="974">
        <v>1232</v>
      </c>
      <c r="B1233" s="974" t="s">
        <v>1517</v>
      </c>
      <c r="C1233" s="1046" t="s">
        <v>2020</v>
      </c>
      <c r="D1233" s="1046" t="s">
        <v>1411</v>
      </c>
      <c r="E1233" s="974" t="s">
        <v>1383</v>
      </c>
    </row>
    <row r="1234" spans="1:5" x14ac:dyDescent="0.25">
      <c r="A1234" s="974">
        <v>1233</v>
      </c>
      <c r="B1234" s="974" t="s">
        <v>1517</v>
      </c>
      <c r="C1234" s="1046" t="s">
        <v>2020</v>
      </c>
      <c r="D1234" s="1046" t="s">
        <v>1776</v>
      </c>
      <c r="E1234" s="974" t="s">
        <v>1381</v>
      </c>
    </row>
    <row r="1235" spans="1:5" x14ac:dyDescent="0.25">
      <c r="A1235" s="974">
        <v>1234</v>
      </c>
      <c r="B1235" s="974" t="s">
        <v>1517</v>
      </c>
      <c r="C1235" s="1046" t="s">
        <v>2020</v>
      </c>
      <c r="D1235" s="1046" t="s">
        <v>1411</v>
      </c>
      <c r="E1235" s="974" t="s">
        <v>1382</v>
      </c>
    </row>
    <row r="1236" spans="1:5" ht="30" x14ac:dyDescent="0.25">
      <c r="A1236" s="974">
        <v>1235</v>
      </c>
      <c r="B1236" s="974" t="s">
        <v>1517</v>
      </c>
      <c r="C1236" s="1046" t="s">
        <v>2020</v>
      </c>
      <c r="D1236" s="1046" t="s">
        <v>1545</v>
      </c>
      <c r="E1236" s="974" t="s">
        <v>1385</v>
      </c>
    </row>
    <row r="1237" spans="1:5" ht="30" x14ac:dyDescent="0.25">
      <c r="A1237" s="974">
        <v>1236</v>
      </c>
      <c r="B1237" s="974" t="s">
        <v>1517</v>
      </c>
      <c r="C1237" s="1046" t="s">
        <v>2020</v>
      </c>
      <c r="D1237" s="1046" t="s">
        <v>1545</v>
      </c>
      <c r="E1237" s="974" t="s">
        <v>1386</v>
      </c>
    </row>
    <row r="1238" spans="1:5" x14ac:dyDescent="0.25">
      <c r="A1238" s="974">
        <v>1237</v>
      </c>
      <c r="B1238" s="974" t="s">
        <v>1517</v>
      </c>
      <c r="C1238" s="1046" t="s">
        <v>2020</v>
      </c>
      <c r="D1238" s="1046" t="s">
        <v>1776</v>
      </c>
      <c r="E1238" s="974" t="s">
        <v>1396</v>
      </c>
    </row>
    <row r="1239" spans="1:5" x14ac:dyDescent="0.25">
      <c r="A1239" s="974">
        <v>1238</v>
      </c>
      <c r="B1239" s="974" t="s">
        <v>1517</v>
      </c>
      <c r="C1239" s="1046" t="s">
        <v>2020</v>
      </c>
      <c r="D1239" s="1046" t="s">
        <v>1776</v>
      </c>
      <c r="E1239" s="974" t="s">
        <v>2006</v>
      </c>
    </row>
    <row r="1240" spans="1:5" x14ac:dyDescent="0.25">
      <c r="A1240" s="974">
        <v>1239</v>
      </c>
      <c r="B1240" s="974" t="s">
        <v>1517</v>
      </c>
      <c r="C1240" s="1046" t="s">
        <v>2020</v>
      </c>
      <c r="D1240" s="1046" t="s">
        <v>1776</v>
      </c>
      <c r="E1240" s="974" t="s">
        <v>1483</v>
      </c>
    </row>
    <row r="1241" spans="1:5" x14ac:dyDescent="0.25">
      <c r="A1241" s="974">
        <v>1240</v>
      </c>
      <c r="B1241" s="974" t="s">
        <v>1517</v>
      </c>
      <c r="C1241" s="1046" t="s">
        <v>2020</v>
      </c>
      <c r="D1241" s="1046" t="s">
        <v>1776</v>
      </c>
      <c r="E1241" s="974" t="s">
        <v>1397</v>
      </c>
    </row>
    <row r="1242" spans="1:5" x14ac:dyDescent="0.25">
      <c r="A1242" s="974">
        <v>1241</v>
      </c>
      <c r="B1242" s="974" t="s">
        <v>1517</v>
      </c>
      <c r="C1242" s="1046" t="s">
        <v>2021</v>
      </c>
      <c r="D1242" s="1046" t="s">
        <v>1411</v>
      </c>
      <c r="E1242" s="974" t="s">
        <v>1492</v>
      </c>
    </row>
    <row r="1243" spans="1:5" x14ac:dyDescent="0.25">
      <c r="A1243" s="974">
        <v>1242</v>
      </c>
      <c r="B1243" s="974" t="s">
        <v>1517</v>
      </c>
      <c r="C1243" s="1046" t="s">
        <v>2021</v>
      </c>
      <c r="D1243" s="1046" t="s">
        <v>1411</v>
      </c>
      <c r="E1243" s="974" t="s">
        <v>1706</v>
      </c>
    </row>
    <row r="1244" spans="1:5" x14ac:dyDescent="0.25">
      <c r="A1244" s="974">
        <v>1243</v>
      </c>
      <c r="B1244" s="974" t="s">
        <v>1517</v>
      </c>
      <c r="C1244" s="1046" t="s">
        <v>2021</v>
      </c>
      <c r="D1244" s="1046" t="s">
        <v>1411</v>
      </c>
      <c r="E1244" s="974" t="s">
        <v>1383</v>
      </c>
    </row>
    <row r="1245" spans="1:5" x14ac:dyDescent="0.25">
      <c r="A1245" s="974">
        <v>1244</v>
      </c>
      <c r="B1245" s="974" t="s">
        <v>1517</v>
      </c>
      <c r="C1245" s="1046" t="s">
        <v>2021</v>
      </c>
      <c r="D1245" s="1046" t="s">
        <v>1776</v>
      </c>
      <c r="E1245" s="974" t="s">
        <v>1381</v>
      </c>
    </row>
    <row r="1246" spans="1:5" x14ac:dyDescent="0.25">
      <c r="A1246" s="974">
        <v>1245</v>
      </c>
      <c r="B1246" s="974" t="s">
        <v>1517</v>
      </c>
      <c r="C1246" s="1046" t="s">
        <v>2021</v>
      </c>
      <c r="D1246" s="1046" t="s">
        <v>1411</v>
      </c>
      <c r="E1246" s="974" t="s">
        <v>1382</v>
      </c>
    </row>
    <row r="1247" spans="1:5" ht="30" x14ac:dyDescent="0.25">
      <c r="A1247" s="974">
        <v>1246</v>
      </c>
      <c r="B1247" s="974" t="s">
        <v>1517</v>
      </c>
      <c r="C1247" s="1046" t="s">
        <v>2021</v>
      </c>
      <c r="D1247" s="1046" t="s">
        <v>1545</v>
      </c>
      <c r="E1247" s="974" t="s">
        <v>1385</v>
      </c>
    </row>
    <row r="1248" spans="1:5" ht="30" x14ac:dyDescent="0.25">
      <c r="A1248" s="974">
        <v>1247</v>
      </c>
      <c r="B1248" s="974" t="s">
        <v>1517</v>
      </c>
      <c r="C1248" s="1046" t="s">
        <v>2021</v>
      </c>
      <c r="D1248" s="1046" t="s">
        <v>1545</v>
      </c>
      <c r="E1248" s="974" t="s">
        <v>1386</v>
      </c>
    </row>
    <row r="1249" spans="1:5" x14ac:dyDescent="0.25">
      <c r="A1249" s="974">
        <v>1248</v>
      </c>
      <c r="B1249" s="974" t="s">
        <v>1517</v>
      </c>
      <c r="C1249" s="1046" t="s">
        <v>2021</v>
      </c>
      <c r="D1249" s="1046" t="s">
        <v>1776</v>
      </c>
      <c r="E1249" s="974" t="s">
        <v>1396</v>
      </c>
    </row>
    <row r="1250" spans="1:5" x14ac:dyDescent="0.25">
      <c r="A1250" s="974">
        <v>1249</v>
      </c>
      <c r="B1250" s="974" t="s">
        <v>1517</v>
      </c>
      <c r="C1250" s="1046" t="s">
        <v>2021</v>
      </c>
      <c r="D1250" s="1046" t="s">
        <v>1776</v>
      </c>
      <c r="E1250" s="974" t="s">
        <v>2006</v>
      </c>
    </row>
    <row r="1251" spans="1:5" x14ac:dyDescent="0.25">
      <c r="A1251" s="974">
        <v>1250</v>
      </c>
      <c r="B1251" s="974" t="s">
        <v>1517</v>
      </c>
      <c r="C1251" s="1046" t="s">
        <v>2021</v>
      </c>
      <c r="D1251" s="1046" t="s">
        <v>1776</v>
      </c>
      <c r="E1251" s="974" t="s">
        <v>1483</v>
      </c>
    </row>
    <row r="1252" spans="1:5" x14ac:dyDescent="0.25">
      <c r="A1252" s="974">
        <v>1251</v>
      </c>
      <c r="B1252" s="974" t="s">
        <v>1517</v>
      </c>
      <c r="C1252" s="1046" t="s">
        <v>2021</v>
      </c>
      <c r="D1252" s="1046" t="s">
        <v>1776</v>
      </c>
      <c r="E1252" s="974" t="s">
        <v>1397</v>
      </c>
    </row>
    <row r="1253" spans="1:5" x14ac:dyDescent="0.25">
      <c r="A1253" s="974">
        <v>1252</v>
      </c>
      <c r="B1253" s="974" t="s">
        <v>1517</v>
      </c>
      <c r="C1253" s="1046" t="s">
        <v>2022</v>
      </c>
      <c r="D1253" s="1046" t="s">
        <v>1411</v>
      </c>
      <c r="E1253" s="974" t="s">
        <v>1492</v>
      </c>
    </row>
    <row r="1254" spans="1:5" x14ac:dyDescent="0.25">
      <c r="A1254" s="974">
        <v>1253</v>
      </c>
      <c r="B1254" s="974" t="s">
        <v>1517</v>
      </c>
      <c r="C1254" s="1046" t="s">
        <v>2022</v>
      </c>
      <c r="D1254" s="1046" t="s">
        <v>1411</v>
      </c>
      <c r="E1254" s="974" t="s">
        <v>1706</v>
      </c>
    </row>
    <row r="1255" spans="1:5" x14ac:dyDescent="0.25">
      <c r="A1255" s="974">
        <v>1254</v>
      </c>
      <c r="B1255" s="974" t="s">
        <v>1517</v>
      </c>
      <c r="C1255" s="1046" t="s">
        <v>2022</v>
      </c>
      <c r="D1255" s="1046" t="s">
        <v>1411</v>
      </c>
      <c r="E1255" s="974" t="s">
        <v>1383</v>
      </c>
    </row>
    <row r="1256" spans="1:5" x14ac:dyDescent="0.25">
      <c r="A1256" s="974">
        <v>1255</v>
      </c>
      <c r="B1256" s="974" t="s">
        <v>1517</v>
      </c>
      <c r="C1256" s="1046" t="s">
        <v>2022</v>
      </c>
      <c r="D1256" s="1046" t="s">
        <v>1776</v>
      </c>
      <c r="E1256" s="974" t="s">
        <v>1381</v>
      </c>
    </row>
    <row r="1257" spans="1:5" x14ac:dyDescent="0.25">
      <c r="A1257" s="974">
        <v>1256</v>
      </c>
      <c r="B1257" s="974" t="s">
        <v>1517</v>
      </c>
      <c r="C1257" s="1046" t="s">
        <v>2022</v>
      </c>
      <c r="D1257" s="1046" t="s">
        <v>1411</v>
      </c>
      <c r="E1257" s="974" t="s">
        <v>1382</v>
      </c>
    </row>
    <row r="1258" spans="1:5" ht="30" x14ac:dyDescent="0.25">
      <c r="A1258" s="974">
        <v>1257</v>
      </c>
      <c r="B1258" s="974" t="s">
        <v>1517</v>
      </c>
      <c r="C1258" s="1046" t="s">
        <v>2022</v>
      </c>
      <c r="D1258" s="1046" t="s">
        <v>1545</v>
      </c>
      <c r="E1258" s="974" t="s">
        <v>1385</v>
      </c>
    </row>
    <row r="1259" spans="1:5" ht="30" x14ac:dyDescent="0.25">
      <c r="A1259" s="974">
        <v>1258</v>
      </c>
      <c r="B1259" s="974" t="s">
        <v>1517</v>
      </c>
      <c r="C1259" s="1046" t="s">
        <v>2022</v>
      </c>
      <c r="D1259" s="1046" t="s">
        <v>1545</v>
      </c>
      <c r="E1259" s="974" t="s">
        <v>1386</v>
      </c>
    </row>
    <row r="1260" spans="1:5" x14ac:dyDescent="0.25">
      <c r="A1260" s="974">
        <v>1259</v>
      </c>
      <c r="B1260" s="974" t="s">
        <v>1517</v>
      </c>
      <c r="C1260" s="1046" t="s">
        <v>2022</v>
      </c>
      <c r="D1260" s="1046" t="s">
        <v>1776</v>
      </c>
      <c r="E1260" s="974" t="s">
        <v>1396</v>
      </c>
    </row>
    <row r="1261" spans="1:5" x14ac:dyDescent="0.25">
      <c r="A1261" s="974">
        <v>1260</v>
      </c>
      <c r="B1261" s="974" t="s">
        <v>1517</v>
      </c>
      <c r="C1261" s="1046" t="s">
        <v>2022</v>
      </c>
      <c r="D1261" s="1046" t="s">
        <v>1776</v>
      </c>
      <c r="E1261" s="974" t="s">
        <v>2006</v>
      </c>
    </row>
    <row r="1262" spans="1:5" x14ac:dyDescent="0.25">
      <c r="A1262" s="974">
        <v>1261</v>
      </c>
      <c r="B1262" s="974" t="s">
        <v>1517</v>
      </c>
      <c r="C1262" s="1046" t="s">
        <v>2022</v>
      </c>
      <c r="D1262" s="1046" t="s">
        <v>1776</v>
      </c>
      <c r="E1262" s="974" t="s">
        <v>1483</v>
      </c>
    </row>
    <row r="1263" spans="1:5" x14ac:dyDescent="0.25">
      <c r="A1263" s="974">
        <v>1262</v>
      </c>
      <c r="B1263" s="974" t="s">
        <v>1517</v>
      </c>
      <c r="C1263" s="1046" t="s">
        <v>2022</v>
      </c>
      <c r="D1263" s="1046" t="s">
        <v>1776</v>
      </c>
      <c r="E1263" s="974" t="s">
        <v>1397</v>
      </c>
    </row>
    <row r="1264" spans="1:5" x14ac:dyDescent="0.25">
      <c r="A1264" s="974">
        <v>1263</v>
      </c>
      <c r="B1264" s="974" t="s">
        <v>1517</v>
      </c>
      <c r="C1264" s="1046" t="s">
        <v>2023</v>
      </c>
      <c r="D1264" s="1046" t="s">
        <v>1411</v>
      </c>
      <c r="E1264" s="974" t="s">
        <v>1492</v>
      </c>
    </row>
    <row r="1265" spans="1:5" x14ac:dyDescent="0.25">
      <c r="A1265" s="974">
        <v>1264</v>
      </c>
      <c r="B1265" s="974" t="s">
        <v>1517</v>
      </c>
      <c r="C1265" s="1046" t="s">
        <v>2023</v>
      </c>
      <c r="D1265" s="1046" t="s">
        <v>1411</v>
      </c>
      <c r="E1265" s="974" t="s">
        <v>1706</v>
      </c>
    </row>
    <row r="1266" spans="1:5" x14ac:dyDescent="0.25">
      <c r="A1266" s="974">
        <v>1265</v>
      </c>
      <c r="B1266" s="974" t="s">
        <v>1517</v>
      </c>
      <c r="C1266" s="1046" t="s">
        <v>2023</v>
      </c>
      <c r="D1266" s="1046" t="s">
        <v>1411</v>
      </c>
      <c r="E1266" s="974" t="s">
        <v>1383</v>
      </c>
    </row>
    <row r="1267" spans="1:5" x14ac:dyDescent="0.25">
      <c r="A1267" s="974">
        <v>1266</v>
      </c>
      <c r="B1267" s="974" t="s">
        <v>1517</v>
      </c>
      <c r="C1267" s="1046" t="s">
        <v>2023</v>
      </c>
      <c r="D1267" s="1046" t="s">
        <v>1776</v>
      </c>
      <c r="E1267" s="974" t="s">
        <v>1381</v>
      </c>
    </row>
    <row r="1268" spans="1:5" x14ac:dyDescent="0.25">
      <c r="A1268" s="974">
        <v>1267</v>
      </c>
      <c r="B1268" s="974" t="s">
        <v>1517</v>
      </c>
      <c r="C1268" s="1046" t="s">
        <v>2023</v>
      </c>
      <c r="D1268" s="1046" t="s">
        <v>1411</v>
      </c>
      <c r="E1268" s="974" t="s">
        <v>1382</v>
      </c>
    </row>
    <row r="1269" spans="1:5" ht="30" x14ac:dyDescent="0.25">
      <c r="A1269" s="974">
        <v>1268</v>
      </c>
      <c r="B1269" s="974" t="s">
        <v>1517</v>
      </c>
      <c r="C1269" s="1046" t="s">
        <v>2023</v>
      </c>
      <c r="D1269" s="1046" t="s">
        <v>1545</v>
      </c>
      <c r="E1269" s="974" t="s">
        <v>1385</v>
      </c>
    </row>
    <row r="1270" spans="1:5" ht="30" x14ac:dyDescent="0.25">
      <c r="A1270" s="974">
        <v>1269</v>
      </c>
      <c r="B1270" s="974" t="s">
        <v>1517</v>
      </c>
      <c r="C1270" s="1046" t="s">
        <v>2023</v>
      </c>
      <c r="D1270" s="1046" t="s">
        <v>1545</v>
      </c>
      <c r="E1270" s="974" t="s">
        <v>1386</v>
      </c>
    </row>
    <row r="1271" spans="1:5" x14ac:dyDescent="0.25">
      <c r="A1271" s="974">
        <v>1270</v>
      </c>
      <c r="B1271" s="974" t="s">
        <v>1517</v>
      </c>
      <c r="C1271" s="1046" t="s">
        <v>2023</v>
      </c>
      <c r="D1271" s="1046" t="s">
        <v>1776</v>
      </c>
      <c r="E1271" s="974" t="s">
        <v>1396</v>
      </c>
    </row>
    <row r="1272" spans="1:5" x14ac:dyDescent="0.25">
      <c r="A1272" s="974">
        <v>1271</v>
      </c>
      <c r="B1272" s="974" t="s">
        <v>1517</v>
      </c>
      <c r="C1272" s="1046" t="s">
        <v>2023</v>
      </c>
      <c r="D1272" s="1046" t="s">
        <v>1776</v>
      </c>
      <c r="E1272" s="974" t="s">
        <v>2006</v>
      </c>
    </row>
    <row r="1273" spans="1:5" x14ac:dyDescent="0.25">
      <c r="A1273" s="974">
        <v>1272</v>
      </c>
      <c r="B1273" s="974" t="s">
        <v>1517</v>
      </c>
      <c r="C1273" s="1046" t="s">
        <v>2023</v>
      </c>
      <c r="D1273" s="1046" t="s">
        <v>1776</v>
      </c>
      <c r="E1273" s="974" t="s">
        <v>1483</v>
      </c>
    </row>
    <row r="1274" spans="1:5" x14ac:dyDescent="0.25">
      <c r="A1274" s="974">
        <v>1273</v>
      </c>
      <c r="B1274" s="974" t="s">
        <v>1517</v>
      </c>
      <c r="C1274" s="1046" t="s">
        <v>2023</v>
      </c>
      <c r="D1274" s="1046" t="s">
        <v>1776</v>
      </c>
      <c r="E1274" s="974" t="s">
        <v>1397</v>
      </c>
    </row>
    <row r="1275" spans="1:5" x14ac:dyDescent="0.25">
      <c r="A1275" s="974">
        <v>1274</v>
      </c>
      <c r="B1275" s="974" t="s">
        <v>1517</v>
      </c>
      <c r="C1275" s="1046" t="s">
        <v>2024</v>
      </c>
      <c r="D1275" s="1046" t="s">
        <v>1411</v>
      </c>
      <c r="E1275" s="974" t="s">
        <v>1492</v>
      </c>
    </row>
    <row r="1276" spans="1:5" x14ac:dyDescent="0.25">
      <c r="A1276" s="974">
        <v>1275</v>
      </c>
      <c r="B1276" s="974" t="s">
        <v>1517</v>
      </c>
      <c r="C1276" s="1046" t="s">
        <v>2024</v>
      </c>
      <c r="D1276" s="1046" t="s">
        <v>1411</v>
      </c>
      <c r="E1276" s="974" t="s">
        <v>1706</v>
      </c>
    </row>
    <row r="1277" spans="1:5" x14ac:dyDescent="0.25">
      <c r="A1277" s="974">
        <v>1276</v>
      </c>
      <c r="B1277" s="974" t="s">
        <v>1517</v>
      </c>
      <c r="C1277" s="1046" t="s">
        <v>2024</v>
      </c>
      <c r="D1277" s="1046" t="s">
        <v>1411</v>
      </c>
      <c r="E1277" s="974" t="s">
        <v>1383</v>
      </c>
    </row>
    <row r="1278" spans="1:5" x14ac:dyDescent="0.25">
      <c r="A1278" s="974">
        <v>1277</v>
      </c>
      <c r="B1278" s="974" t="s">
        <v>1517</v>
      </c>
      <c r="C1278" s="1046" t="s">
        <v>2024</v>
      </c>
      <c r="D1278" s="1046" t="s">
        <v>1776</v>
      </c>
      <c r="E1278" s="974" t="s">
        <v>1381</v>
      </c>
    </row>
    <row r="1279" spans="1:5" x14ac:dyDescent="0.25">
      <c r="A1279" s="974">
        <v>1278</v>
      </c>
      <c r="B1279" s="974" t="s">
        <v>1517</v>
      </c>
      <c r="C1279" s="1046" t="s">
        <v>2024</v>
      </c>
      <c r="D1279" s="1046" t="s">
        <v>1411</v>
      </c>
      <c r="E1279" s="974" t="s">
        <v>1382</v>
      </c>
    </row>
    <row r="1280" spans="1:5" ht="30" x14ac:dyDescent="0.25">
      <c r="A1280" s="974">
        <v>1279</v>
      </c>
      <c r="B1280" s="974" t="s">
        <v>1517</v>
      </c>
      <c r="C1280" s="1046" t="s">
        <v>2024</v>
      </c>
      <c r="D1280" s="1046" t="s">
        <v>1545</v>
      </c>
      <c r="E1280" s="974" t="s">
        <v>1385</v>
      </c>
    </row>
    <row r="1281" spans="1:5" ht="30" x14ac:dyDescent="0.25">
      <c r="A1281" s="974">
        <v>1280</v>
      </c>
      <c r="B1281" s="974" t="s">
        <v>1517</v>
      </c>
      <c r="C1281" s="1046" t="s">
        <v>2024</v>
      </c>
      <c r="D1281" s="1046" t="s">
        <v>1545</v>
      </c>
      <c r="E1281" s="974" t="s">
        <v>1386</v>
      </c>
    </row>
    <row r="1282" spans="1:5" x14ac:dyDescent="0.25">
      <c r="A1282" s="974">
        <v>1281</v>
      </c>
      <c r="B1282" s="974" t="s">
        <v>1517</v>
      </c>
      <c r="C1282" s="1046" t="s">
        <v>2024</v>
      </c>
      <c r="D1282" s="1046" t="s">
        <v>1776</v>
      </c>
      <c r="E1282" s="974" t="s">
        <v>1396</v>
      </c>
    </row>
    <row r="1283" spans="1:5" x14ac:dyDescent="0.25">
      <c r="A1283" s="974">
        <v>1282</v>
      </c>
      <c r="B1283" s="974" t="s">
        <v>1517</v>
      </c>
      <c r="C1283" s="1046" t="s">
        <v>2024</v>
      </c>
      <c r="D1283" s="1046" t="s">
        <v>1776</v>
      </c>
      <c r="E1283" s="974" t="s">
        <v>2006</v>
      </c>
    </row>
    <row r="1284" spans="1:5" x14ac:dyDescent="0.25">
      <c r="A1284" s="974">
        <v>1283</v>
      </c>
      <c r="B1284" s="974" t="s">
        <v>1517</v>
      </c>
      <c r="C1284" s="1046" t="s">
        <v>2024</v>
      </c>
      <c r="D1284" s="1046" t="s">
        <v>1776</v>
      </c>
      <c r="E1284" s="974" t="s">
        <v>1483</v>
      </c>
    </row>
    <row r="1285" spans="1:5" x14ac:dyDescent="0.25">
      <c r="A1285" s="974">
        <v>1284</v>
      </c>
      <c r="B1285" s="974" t="s">
        <v>1517</v>
      </c>
      <c r="C1285" s="1046" t="s">
        <v>2024</v>
      </c>
      <c r="D1285" s="1046" t="s">
        <v>1776</v>
      </c>
      <c r="E1285" s="974" t="s">
        <v>1397</v>
      </c>
    </row>
    <row r="1286" spans="1:5" x14ac:dyDescent="0.25">
      <c r="A1286" s="974">
        <v>1285</v>
      </c>
      <c r="B1286" s="974" t="s">
        <v>1517</v>
      </c>
      <c r="C1286" s="1046" t="s">
        <v>2025</v>
      </c>
      <c r="D1286" s="1046" t="s">
        <v>1411</v>
      </c>
      <c r="E1286" s="974" t="s">
        <v>1492</v>
      </c>
    </row>
    <row r="1287" spans="1:5" x14ac:dyDescent="0.25">
      <c r="A1287" s="974">
        <v>1286</v>
      </c>
      <c r="B1287" s="974" t="s">
        <v>1517</v>
      </c>
      <c r="C1287" s="1046" t="s">
        <v>2025</v>
      </c>
      <c r="D1287" s="1046" t="s">
        <v>1411</v>
      </c>
      <c r="E1287" s="974" t="s">
        <v>1706</v>
      </c>
    </row>
    <row r="1288" spans="1:5" x14ac:dyDescent="0.25">
      <c r="A1288" s="974">
        <v>1287</v>
      </c>
      <c r="B1288" s="974" t="s">
        <v>1517</v>
      </c>
      <c r="C1288" s="1046" t="s">
        <v>2025</v>
      </c>
      <c r="D1288" s="1046" t="s">
        <v>1411</v>
      </c>
      <c r="E1288" s="974" t="s">
        <v>1383</v>
      </c>
    </row>
    <row r="1289" spans="1:5" x14ac:dyDescent="0.25">
      <c r="A1289" s="974">
        <v>1288</v>
      </c>
      <c r="B1289" s="974" t="s">
        <v>1517</v>
      </c>
      <c r="C1289" s="1046" t="s">
        <v>2025</v>
      </c>
      <c r="D1289" s="1046" t="s">
        <v>1776</v>
      </c>
      <c r="E1289" s="974" t="s">
        <v>1381</v>
      </c>
    </row>
    <row r="1290" spans="1:5" x14ac:dyDescent="0.25">
      <c r="A1290" s="974">
        <v>1289</v>
      </c>
      <c r="B1290" s="974" t="s">
        <v>1517</v>
      </c>
      <c r="C1290" s="1046" t="s">
        <v>2025</v>
      </c>
      <c r="D1290" s="1046" t="s">
        <v>1411</v>
      </c>
      <c r="E1290" s="974" t="s">
        <v>1382</v>
      </c>
    </row>
    <row r="1291" spans="1:5" ht="30" x14ac:dyDescent="0.25">
      <c r="A1291" s="974">
        <v>1290</v>
      </c>
      <c r="B1291" s="974" t="s">
        <v>1517</v>
      </c>
      <c r="C1291" s="1046" t="s">
        <v>2025</v>
      </c>
      <c r="D1291" s="1046" t="s">
        <v>1545</v>
      </c>
      <c r="E1291" s="974" t="s">
        <v>1385</v>
      </c>
    </row>
    <row r="1292" spans="1:5" ht="30" x14ac:dyDescent="0.25">
      <c r="A1292" s="974">
        <v>1291</v>
      </c>
      <c r="B1292" s="974" t="s">
        <v>1517</v>
      </c>
      <c r="C1292" s="1046" t="s">
        <v>2025</v>
      </c>
      <c r="D1292" s="1046" t="s">
        <v>1545</v>
      </c>
      <c r="E1292" s="974" t="s">
        <v>1386</v>
      </c>
    </row>
    <row r="1293" spans="1:5" x14ac:dyDescent="0.25">
      <c r="A1293" s="974">
        <v>1292</v>
      </c>
      <c r="B1293" s="974" t="s">
        <v>1517</v>
      </c>
      <c r="C1293" s="1046" t="s">
        <v>2025</v>
      </c>
      <c r="D1293" s="1046" t="s">
        <v>1776</v>
      </c>
      <c r="E1293" s="974" t="s">
        <v>1396</v>
      </c>
    </row>
    <row r="1294" spans="1:5" x14ac:dyDescent="0.25">
      <c r="A1294" s="974">
        <v>1293</v>
      </c>
      <c r="B1294" s="974" t="s">
        <v>1517</v>
      </c>
      <c r="C1294" s="1046" t="s">
        <v>2025</v>
      </c>
      <c r="D1294" s="1046" t="s">
        <v>1776</v>
      </c>
      <c r="E1294" s="974" t="s">
        <v>2006</v>
      </c>
    </row>
    <row r="1295" spans="1:5" x14ac:dyDescent="0.25">
      <c r="A1295" s="974">
        <v>1294</v>
      </c>
      <c r="B1295" s="974" t="s">
        <v>1517</v>
      </c>
      <c r="C1295" s="1046" t="s">
        <v>2025</v>
      </c>
      <c r="D1295" s="1046" t="s">
        <v>1776</v>
      </c>
      <c r="E1295" s="974" t="s">
        <v>1483</v>
      </c>
    </row>
    <row r="1296" spans="1:5" x14ac:dyDescent="0.25">
      <c r="A1296" s="974">
        <v>1295</v>
      </c>
      <c r="B1296" s="974" t="s">
        <v>1517</v>
      </c>
      <c r="C1296" s="1046" t="s">
        <v>2025</v>
      </c>
      <c r="D1296" s="1046" t="s">
        <v>1776</v>
      </c>
      <c r="E1296" s="974" t="s">
        <v>1397</v>
      </c>
    </row>
    <row r="1297" spans="1:5" x14ac:dyDescent="0.25">
      <c r="A1297" s="974">
        <v>1296</v>
      </c>
      <c r="B1297" s="974" t="s">
        <v>1517</v>
      </c>
      <c r="C1297" s="1046" t="s">
        <v>2026</v>
      </c>
      <c r="D1297" s="1046" t="s">
        <v>1411</v>
      </c>
      <c r="E1297" s="974" t="s">
        <v>1492</v>
      </c>
    </row>
    <row r="1298" spans="1:5" x14ac:dyDescent="0.25">
      <c r="A1298" s="974">
        <v>1297</v>
      </c>
      <c r="B1298" s="974" t="s">
        <v>1517</v>
      </c>
      <c r="C1298" s="1046" t="s">
        <v>2026</v>
      </c>
      <c r="D1298" s="1046" t="s">
        <v>1411</v>
      </c>
      <c r="E1298" s="974" t="s">
        <v>1706</v>
      </c>
    </row>
    <row r="1299" spans="1:5" x14ac:dyDescent="0.25">
      <c r="A1299" s="974">
        <v>1298</v>
      </c>
      <c r="B1299" s="974" t="s">
        <v>1517</v>
      </c>
      <c r="C1299" s="1046" t="s">
        <v>2026</v>
      </c>
      <c r="D1299" s="1046" t="s">
        <v>1411</v>
      </c>
      <c r="E1299" s="974" t="s">
        <v>1383</v>
      </c>
    </row>
    <row r="1300" spans="1:5" x14ac:dyDescent="0.25">
      <c r="A1300" s="974">
        <v>1299</v>
      </c>
      <c r="B1300" s="974" t="s">
        <v>1517</v>
      </c>
      <c r="C1300" s="1046" t="s">
        <v>2026</v>
      </c>
      <c r="D1300" s="1046" t="s">
        <v>1776</v>
      </c>
      <c r="E1300" s="974" t="s">
        <v>1381</v>
      </c>
    </row>
    <row r="1301" spans="1:5" x14ac:dyDescent="0.25">
      <c r="A1301" s="974">
        <v>1300</v>
      </c>
      <c r="B1301" s="974" t="s">
        <v>1517</v>
      </c>
      <c r="C1301" s="1046" t="s">
        <v>2026</v>
      </c>
      <c r="D1301" s="1046" t="s">
        <v>1411</v>
      </c>
      <c r="E1301" s="974" t="s">
        <v>1382</v>
      </c>
    </row>
    <row r="1302" spans="1:5" ht="30" x14ac:dyDescent="0.25">
      <c r="A1302" s="974">
        <v>1301</v>
      </c>
      <c r="B1302" s="974" t="s">
        <v>1517</v>
      </c>
      <c r="C1302" s="1046" t="s">
        <v>2026</v>
      </c>
      <c r="D1302" s="1046" t="s">
        <v>1545</v>
      </c>
      <c r="E1302" s="974" t="s">
        <v>1385</v>
      </c>
    </row>
    <row r="1303" spans="1:5" ht="30" x14ac:dyDescent="0.25">
      <c r="A1303" s="974">
        <v>1302</v>
      </c>
      <c r="B1303" s="974" t="s">
        <v>1517</v>
      </c>
      <c r="C1303" s="1046" t="s">
        <v>2026</v>
      </c>
      <c r="D1303" s="1046" t="s">
        <v>1545</v>
      </c>
      <c r="E1303" s="974" t="s">
        <v>1386</v>
      </c>
    </row>
    <row r="1304" spans="1:5" x14ac:dyDescent="0.25">
      <c r="A1304" s="974">
        <v>1303</v>
      </c>
      <c r="B1304" s="974" t="s">
        <v>1517</v>
      </c>
      <c r="C1304" s="1046" t="s">
        <v>2026</v>
      </c>
      <c r="D1304" s="1046" t="s">
        <v>1776</v>
      </c>
      <c r="E1304" s="974" t="s">
        <v>1396</v>
      </c>
    </row>
    <row r="1305" spans="1:5" x14ac:dyDescent="0.25">
      <c r="A1305" s="974">
        <v>1304</v>
      </c>
      <c r="B1305" s="974" t="s">
        <v>1517</v>
      </c>
      <c r="C1305" s="1046" t="s">
        <v>2026</v>
      </c>
      <c r="D1305" s="1046" t="s">
        <v>1776</v>
      </c>
      <c r="E1305" s="974" t="s">
        <v>2006</v>
      </c>
    </row>
    <row r="1306" spans="1:5" x14ac:dyDescent="0.25">
      <c r="A1306" s="974">
        <v>1305</v>
      </c>
      <c r="B1306" s="974" t="s">
        <v>1517</v>
      </c>
      <c r="C1306" s="1046" t="s">
        <v>2026</v>
      </c>
      <c r="D1306" s="1046" t="s">
        <v>1776</v>
      </c>
      <c r="E1306" s="974" t="s">
        <v>1483</v>
      </c>
    </row>
    <row r="1307" spans="1:5" x14ac:dyDescent="0.25">
      <c r="A1307" s="974">
        <v>1306</v>
      </c>
      <c r="B1307" s="974" t="s">
        <v>1517</v>
      </c>
      <c r="C1307" s="1046" t="s">
        <v>2026</v>
      </c>
      <c r="D1307" s="1046" t="s">
        <v>1776</v>
      </c>
      <c r="E1307" s="974" t="s">
        <v>1397</v>
      </c>
    </row>
    <row r="1308" spans="1:5" x14ac:dyDescent="0.25">
      <c r="A1308" s="1324">
        <v>1307</v>
      </c>
      <c r="B1308" s="1324" t="s">
        <v>1743</v>
      </c>
      <c r="C1308" s="1324" t="s">
        <v>1743</v>
      </c>
      <c r="D1308" s="1325" t="s">
        <v>1411</v>
      </c>
      <c r="E1308" s="1325" t="s">
        <v>1927</v>
      </c>
    </row>
    <row r="1309" spans="1:5" x14ac:dyDescent="0.25">
      <c r="A1309" s="1324">
        <v>1308</v>
      </c>
      <c r="B1309" s="974" t="s">
        <v>1517</v>
      </c>
      <c r="C1309" s="1591" t="s">
        <v>1711</v>
      </c>
      <c r="D1309" s="1592" t="s">
        <v>1544</v>
      </c>
      <c r="E1309" s="1325" t="s">
        <v>2103</v>
      </c>
    </row>
    <row r="1310" spans="1:5" x14ac:dyDescent="0.25">
      <c r="A1310" s="1324">
        <v>1309</v>
      </c>
      <c r="B1310" s="974" t="s">
        <v>1517</v>
      </c>
      <c r="C1310" s="1591" t="s">
        <v>1712</v>
      </c>
      <c r="D1310" s="1593" t="s">
        <v>1544</v>
      </c>
      <c r="E1310" s="1325" t="s">
        <v>2103</v>
      </c>
    </row>
    <row r="1311" spans="1:5" x14ac:dyDescent="0.25">
      <c r="A1311" s="1324">
        <v>1310</v>
      </c>
      <c r="B1311" s="974" t="s">
        <v>1517</v>
      </c>
      <c r="C1311" s="1591" t="s">
        <v>1547</v>
      </c>
      <c r="D1311" s="1593" t="s">
        <v>1501</v>
      </c>
      <c r="E1311" s="1325" t="s">
        <v>2103</v>
      </c>
    </row>
    <row r="1312" spans="1:5" x14ac:dyDescent="0.25">
      <c r="A1312" s="1324">
        <v>1311</v>
      </c>
      <c r="B1312" s="974" t="s">
        <v>1517</v>
      </c>
      <c r="C1312" s="1591" t="s">
        <v>1549</v>
      </c>
      <c r="D1312" s="1593" t="s">
        <v>1501</v>
      </c>
      <c r="E1312" s="1325" t="s">
        <v>2103</v>
      </c>
    </row>
    <row r="1313" spans="1:5" x14ac:dyDescent="0.25">
      <c r="A1313" s="1324">
        <v>1312</v>
      </c>
      <c r="B1313" s="974" t="s">
        <v>1517</v>
      </c>
      <c r="C1313" s="1591" t="s">
        <v>1551</v>
      </c>
      <c r="D1313" s="1593" t="s">
        <v>1514</v>
      </c>
      <c r="E1313" s="1325" t="s">
        <v>2103</v>
      </c>
    </row>
    <row r="1314" spans="1:5" x14ac:dyDescent="0.25">
      <c r="A1314" s="1324">
        <v>1313</v>
      </c>
      <c r="B1314" s="974" t="s">
        <v>1517</v>
      </c>
      <c r="C1314" s="1591" t="s">
        <v>1557</v>
      </c>
      <c r="D1314" s="1593" t="s">
        <v>1514</v>
      </c>
      <c r="E1314" s="1325" t="s">
        <v>2103</v>
      </c>
    </row>
    <row r="1315" spans="1:5" x14ac:dyDescent="0.25">
      <c r="A1315" s="1324">
        <v>1314</v>
      </c>
      <c r="B1315" s="974" t="s">
        <v>1517</v>
      </c>
      <c r="C1315" s="1591" t="s">
        <v>1563</v>
      </c>
      <c r="D1315" s="1593" t="s">
        <v>1523</v>
      </c>
      <c r="E1315" s="1325" t="s">
        <v>2103</v>
      </c>
    </row>
    <row r="1316" spans="1:5" x14ac:dyDescent="0.25">
      <c r="A1316" s="1324">
        <v>1315</v>
      </c>
      <c r="B1316" s="974" t="s">
        <v>1517</v>
      </c>
      <c r="C1316" s="1591" t="s">
        <v>1565</v>
      </c>
      <c r="D1316" s="1593" t="s">
        <v>1523</v>
      </c>
      <c r="E1316" s="1325" t="s">
        <v>2103</v>
      </c>
    </row>
    <row r="1317" spans="1:5" x14ac:dyDescent="0.25">
      <c r="A1317" s="1324">
        <v>1316</v>
      </c>
      <c r="B1317" s="974" t="s">
        <v>1517</v>
      </c>
      <c r="C1317" s="1591" t="s">
        <v>1567</v>
      </c>
      <c r="D1317" s="1593" t="s">
        <v>1524</v>
      </c>
      <c r="E1317" s="1325" t="s">
        <v>2103</v>
      </c>
    </row>
    <row r="1318" spans="1:5" x14ac:dyDescent="0.25">
      <c r="A1318" s="1324">
        <v>1317</v>
      </c>
      <c r="B1318" s="974" t="s">
        <v>1517</v>
      </c>
      <c r="C1318" s="1591" t="s">
        <v>1573</v>
      </c>
      <c r="D1318" s="1593" t="s">
        <v>1524</v>
      </c>
      <c r="E1318" s="1325" t="s">
        <v>2103</v>
      </c>
    </row>
    <row r="1319" spans="1:5" x14ac:dyDescent="0.25">
      <c r="A1319" s="1324">
        <v>1318</v>
      </c>
      <c r="B1319" s="974" t="s">
        <v>1517</v>
      </c>
      <c r="C1319" s="1591" t="s">
        <v>1713</v>
      </c>
      <c r="D1319" s="1591" t="s">
        <v>1531</v>
      </c>
      <c r="E1319" s="1325" t="s">
        <v>2103</v>
      </c>
    </row>
    <row r="1320" spans="1:5" x14ac:dyDescent="0.25">
      <c r="A1320" s="1324">
        <v>1319</v>
      </c>
      <c r="B1320" s="974" t="s">
        <v>1517</v>
      </c>
      <c r="C1320" s="1591" t="s">
        <v>1714</v>
      </c>
      <c r="D1320" s="1591" t="s">
        <v>1531</v>
      </c>
      <c r="E1320" s="1325" t="s">
        <v>2103</v>
      </c>
    </row>
    <row r="1321" spans="1:5" x14ac:dyDescent="0.25">
      <c r="A1321" s="1324">
        <v>1320</v>
      </c>
      <c r="B1321" s="974" t="s">
        <v>1517</v>
      </c>
      <c r="C1321" s="1591" t="s">
        <v>1581</v>
      </c>
      <c r="D1321" s="1593" t="s">
        <v>1535</v>
      </c>
      <c r="E1321" s="1325" t="s">
        <v>2103</v>
      </c>
    </row>
    <row r="1322" spans="1:5" x14ac:dyDescent="0.25">
      <c r="A1322" s="1324">
        <v>1321</v>
      </c>
      <c r="B1322" s="974" t="s">
        <v>1517</v>
      </c>
      <c r="C1322" s="1591" t="s">
        <v>1583</v>
      </c>
      <c r="D1322" s="1593" t="s">
        <v>1535</v>
      </c>
      <c r="E1322" s="1325" t="s">
        <v>2103</v>
      </c>
    </row>
    <row r="1323" spans="1:5" x14ac:dyDescent="0.25">
      <c r="A1323" s="1324">
        <v>1322</v>
      </c>
      <c r="B1323" s="974" t="s">
        <v>1517</v>
      </c>
      <c r="C1323" s="1591" t="s">
        <v>1585</v>
      </c>
      <c r="D1323" s="1593" t="s">
        <v>1538</v>
      </c>
      <c r="E1323" s="1325" t="s">
        <v>2103</v>
      </c>
    </row>
    <row r="1324" spans="1:5" x14ac:dyDescent="0.25">
      <c r="A1324" s="1324">
        <v>1323</v>
      </c>
      <c r="B1324" s="974" t="s">
        <v>1517</v>
      </c>
      <c r="C1324" s="1591" t="s">
        <v>1591</v>
      </c>
      <c r="D1324" s="1593" t="s">
        <v>1538</v>
      </c>
      <c r="E1324" s="1325" t="s">
        <v>2103</v>
      </c>
    </row>
    <row r="1325" spans="1:5" x14ac:dyDescent="0.25">
      <c r="A1325" s="1324">
        <v>1324</v>
      </c>
      <c r="B1325" s="974" t="s">
        <v>1517</v>
      </c>
      <c r="C1325" s="1591" t="s">
        <v>1598</v>
      </c>
      <c r="D1325" s="1593" t="s">
        <v>1597</v>
      </c>
      <c r="E1325" s="1325" t="s">
        <v>2103</v>
      </c>
    </row>
    <row r="1326" spans="1:5" x14ac:dyDescent="0.25">
      <c r="A1326" s="1324">
        <v>1325</v>
      </c>
      <c r="B1326" s="974" t="s">
        <v>1517</v>
      </c>
      <c r="C1326" s="1591" t="s">
        <v>1715</v>
      </c>
      <c r="D1326" s="1593" t="s">
        <v>1597</v>
      </c>
      <c r="E1326" s="1325" t="s">
        <v>2103</v>
      </c>
    </row>
    <row r="1327" spans="1:5" x14ac:dyDescent="0.25">
      <c r="A1327" s="1324">
        <v>1326</v>
      </c>
      <c r="B1327" s="974" t="s">
        <v>1517</v>
      </c>
      <c r="C1327" s="1591" t="s">
        <v>1717</v>
      </c>
      <c r="D1327" s="1593" t="s">
        <v>1597</v>
      </c>
      <c r="E1327" s="1325" t="s">
        <v>2103</v>
      </c>
    </row>
    <row r="1328" spans="1:5" x14ac:dyDescent="0.25">
      <c r="A1328" s="1324">
        <v>1327</v>
      </c>
      <c r="B1328" s="974" t="s">
        <v>1517</v>
      </c>
      <c r="C1328" s="1591" t="s">
        <v>1719</v>
      </c>
      <c r="D1328" s="1593" t="s">
        <v>1597</v>
      </c>
      <c r="E1328" s="1325" t="s">
        <v>2103</v>
      </c>
    </row>
    <row r="1329" spans="1:5" x14ac:dyDescent="0.25">
      <c r="A1329" s="1324">
        <v>1328</v>
      </c>
      <c r="B1329" s="974" t="s">
        <v>1517</v>
      </c>
      <c r="C1329" s="1591" t="s">
        <v>1721</v>
      </c>
      <c r="D1329" s="1593" t="s">
        <v>1597</v>
      </c>
      <c r="E1329" s="1325" t="s">
        <v>2103</v>
      </c>
    </row>
    <row r="1330" spans="1:5" x14ac:dyDescent="0.25">
      <c r="A1330" s="1324">
        <v>1329</v>
      </c>
      <c r="B1330" s="974" t="s">
        <v>1517</v>
      </c>
      <c r="C1330" s="1591" t="s">
        <v>1665</v>
      </c>
      <c r="D1330" s="1593" t="s">
        <v>1541</v>
      </c>
      <c r="E1330" s="1325" t="s">
        <v>2103</v>
      </c>
    </row>
    <row r="1331" spans="1:5" x14ac:dyDescent="0.25">
      <c r="A1331" s="1324">
        <v>1330</v>
      </c>
      <c r="B1331" s="974" t="s">
        <v>1517</v>
      </c>
      <c r="C1331" s="1591" t="s">
        <v>2104</v>
      </c>
      <c r="D1331" s="1593" t="s">
        <v>1676</v>
      </c>
      <c r="E1331" s="1325" t="s">
        <v>2103</v>
      </c>
    </row>
    <row r="1332" spans="1:5" x14ac:dyDescent="0.25">
      <c r="A1332" s="1324">
        <v>1331</v>
      </c>
      <c r="B1332" s="974" t="s">
        <v>1517</v>
      </c>
      <c r="C1332" s="1591" t="s">
        <v>2105</v>
      </c>
      <c r="D1332" s="1593" t="s">
        <v>1676</v>
      </c>
      <c r="E1332" s="1325" t="s">
        <v>2103</v>
      </c>
    </row>
    <row r="1333" spans="1:5" x14ac:dyDescent="0.25">
      <c r="A1333" s="1324">
        <v>1332</v>
      </c>
      <c r="B1333" s="974" t="s">
        <v>1517</v>
      </c>
      <c r="C1333" s="1046" t="s">
        <v>2018</v>
      </c>
      <c r="D1333" s="1325" t="s">
        <v>1411</v>
      </c>
      <c r="E1333" s="1325" t="s">
        <v>2136</v>
      </c>
    </row>
    <row r="1334" spans="1:5" x14ac:dyDescent="0.25">
      <c r="A1334" s="1324">
        <v>1333</v>
      </c>
      <c r="B1334" s="974" t="s">
        <v>1517</v>
      </c>
      <c r="C1334" s="1046" t="s">
        <v>2019</v>
      </c>
      <c r="D1334" s="1325" t="s">
        <v>1411</v>
      </c>
      <c r="E1334" s="1325" t="s">
        <v>2136</v>
      </c>
    </row>
    <row r="1335" spans="1:5" x14ac:dyDescent="0.25">
      <c r="A1335" s="1324">
        <v>1334</v>
      </c>
      <c r="B1335" s="974" t="s">
        <v>1517</v>
      </c>
      <c r="C1335" s="1046" t="s">
        <v>2020</v>
      </c>
      <c r="D1335" s="1325" t="s">
        <v>1411</v>
      </c>
      <c r="E1335" s="1325" t="s">
        <v>2136</v>
      </c>
    </row>
    <row r="1336" spans="1:5" x14ac:dyDescent="0.25">
      <c r="A1336" s="1324">
        <v>1335</v>
      </c>
      <c r="B1336" s="974" t="s">
        <v>1517</v>
      </c>
      <c r="C1336" s="1046" t="s">
        <v>2021</v>
      </c>
      <c r="D1336" s="1325" t="s">
        <v>1411</v>
      </c>
      <c r="E1336" s="1325" t="s">
        <v>2136</v>
      </c>
    </row>
    <row r="1337" spans="1:5" x14ac:dyDescent="0.25">
      <c r="A1337" s="1324">
        <v>1336</v>
      </c>
      <c r="B1337" s="974" t="s">
        <v>1517</v>
      </c>
      <c r="C1337" s="1046" t="s">
        <v>2022</v>
      </c>
      <c r="D1337" s="1325" t="s">
        <v>1411</v>
      </c>
      <c r="E1337" s="1325" t="s">
        <v>2136</v>
      </c>
    </row>
    <row r="1338" spans="1:5" x14ac:dyDescent="0.25">
      <c r="A1338" s="1324">
        <v>1337</v>
      </c>
      <c r="B1338" s="974" t="s">
        <v>1517</v>
      </c>
      <c r="C1338" s="1046" t="s">
        <v>2023</v>
      </c>
      <c r="D1338" s="1325" t="s">
        <v>1411</v>
      </c>
      <c r="E1338" s="1325" t="s">
        <v>2136</v>
      </c>
    </row>
    <row r="1339" spans="1:5" x14ac:dyDescent="0.25">
      <c r="A1339" s="1324">
        <v>1338</v>
      </c>
      <c r="B1339" s="974" t="s">
        <v>1517</v>
      </c>
      <c r="C1339" s="1046" t="s">
        <v>2024</v>
      </c>
      <c r="D1339" s="1325" t="s">
        <v>1411</v>
      </c>
      <c r="E1339" s="1325" t="s">
        <v>2136</v>
      </c>
    </row>
    <row r="1340" spans="1:5" x14ac:dyDescent="0.25">
      <c r="A1340" s="1324">
        <v>1339</v>
      </c>
      <c r="B1340" s="974" t="s">
        <v>1517</v>
      </c>
      <c r="C1340" s="1046" t="s">
        <v>2025</v>
      </c>
      <c r="D1340" s="1325" t="s">
        <v>1411</v>
      </c>
      <c r="E1340" s="1325" t="s">
        <v>2136</v>
      </c>
    </row>
    <row r="1341" spans="1:5" x14ac:dyDescent="0.25">
      <c r="A1341" s="1324">
        <v>1340</v>
      </c>
      <c r="B1341" s="974" t="s">
        <v>1517</v>
      </c>
      <c r="C1341" s="1046" t="s">
        <v>2026</v>
      </c>
      <c r="D1341" s="1325" t="s">
        <v>1411</v>
      </c>
      <c r="E1341" s="1325" t="s">
        <v>2136</v>
      </c>
    </row>
    <row r="1342" spans="1:5" x14ac:dyDescent="0.25">
      <c r="A1342" s="1324">
        <v>1341</v>
      </c>
      <c r="B1342" s="974" t="s">
        <v>1517</v>
      </c>
      <c r="C1342" s="1046" t="s">
        <v>2145</v>
      </c>
      <c r="D1342" s="1046" t="s">
        <v>2146</v>
      </c>
      <c r="E1342" s="1042" t="s">
        <v>1492</v>
      </c>
    </row>
    <row r="1343" spans="1:5" x14ac:dyDescent="0.25">
      <c r="A1343" s="1324">
        <v>1342</v>
      </c>
      <c r="B1343" s="974" t="s">
        <v>1517</v>
      </c>
      <c r="C1343" s="1046" t="s">
        <v>2145</v>
      </c>
      <c r="D1343" s="1046" t="s">
        <v>1411</v>
      </c>
      <c r="E1343" s="1042" t="s">
        <v>1706</v>
      </c>
    </row>
    <row r="1344" spans="1:5" x14ac:dyDescent="0.25">
      <c r="A1344" s="1324">
        <v>1343</v>
      </c>
      <c r="B1344" s="974" t="s">
        <v>1517</v>
      </c>
      <c r="C1344" s="1046" t="s">
        <v>2145</v>
      </c>
      <c r="D1344" s="1046" t="s">
        <v>2146</v>
      </c>
      <c r="E1344" s="1042" t="s">
        <v>1383</v>
      </c>
    </row>
    <row r="1345" spans="1:5" x14ac:dyDescent="0.25">
      <c r="A1345" s="1324">
        <v>1344</v>
      </c>
      <c r="B1345" s="974" t="s">
        <v>1517</v>
      </c>
      <c r="C1345" s="1046" t="s">
        <v>2145</v>
      </c>
      <c r="D1345" s="1046" t="s">
        <v>2146</v>
      </c>
      <c r="E1345" s="1042" t="s">
        <v>1380</v>
      </c>
    </row>
    <row r="1346" spans="1:5" x14ac:dyDescent="0.25">
      <c r="A1346" s="1324">
        <v>1345</v>
      </c>
      <c r="B1346" s="974" t="s">
        <v>1517</v>
      </c>
      <c r="C1346" s="1046" t="s">
        <v>2145</v>
      </c>
      <c r="D1346" s="1046" t="s">
        <v>2146</v>
      </c>
      <c r="E1346" s="1042" t="s">
        <v>1381</v>
      </c>
    </row>
    <row r="1347" spans="1:5" x14ac:dyDescent="0.25">
      <c r="A1347" s="1324">
        <v>1346</v>
      </c>
      <c r="B1347" s="974" t="s">
        <v>1517</v>
      </c>
      <c r="C1347" s="1046" t="s">
        <v>2145</v>
      </c>
      <c r="D1347" s="1046" t="s">
        <v>2146</v>
      </c>
      <c r="E1347" s="1042" t="s">
        <v>1397</v>
      </c>
    </row>
    <row r="1348" spans="1:5" x14ac:dyDescent="0.25">
      <c r="A1348" s="1324">
        <v>1347</v>
      </c>
      <c r="B1348" s="974" t="s">
        <v>1517</v>
      </c>
      <c r="C1348" s="1046" t="s">
        <v>2145</v>
      </c>
      <c r="D1348" s="1046" t="s">
        <v>1411</v>
      </c>
      <c r="E1348" s="1042" t="s">
        <v>1382</v>
      </c>
    </row>
    <row r="1349" spans="1:5" x14ac:dyDescent="0.25">
      <c r="A1349" s="1324">
        <v>1348</v>
      </c>
      <c r="B1349" s="974" t="s">
        <v>1517</v>
      </c>
      <c r="C1349" s="1046" t="s">
        <v>2145</v>
      </c>
      <c r="D1349" s="1046" t="s">
        <v>2146</v>
      </c>
      <c r="E1349" s="1042" t="s">
        <v>1488</v>
      </c>
    </row>
    <row r="1350" spans="1:5" x14ac:dyDescent="0.25">
      <c r="A1350" s="1324">
        <v>1349</v>
      </c>
      <c r="B1350" s="974" t="s">
        <v>1517</v>
      </c>
      <c r="C1350" s="1046" t="s">
        <v>2145</v>
      </c>
      <c r="D1350" s="1046" t="s">
        <v>1411</v>
      </c>
      <c r="E1350" s="1042" t="s">
        <v>1489</v>
      </c>
    </row>
    <row r="1351" spans="1:5" ht="30" x14ac:dyDescent="0.25">
      <c r="A1351" s="1324">
        <v>1350</v>
      </c>
      <c r="B1351" s="974" t="s">
        <v>1517</v>
      </c>
      <c r="C1351" s="1046" t="s">
        <v>2145</v>
      </c>
      <c r="D1351" s="1046" t="s">
        <v>1545</v>
      </c>
      <c r="E1351" s="1042" t="s">
        <v>1385</v>
      </c>
    </row>
    <row r="1352" spans="1:5" ht="30" x14ac:dyDescent="0.25">
      <c r="A1352" s="1324">
        <v>1351</v>
      </c>
      <c r="B1352" s="974" t="s">
        <v>1517</v>
      </c>
      <c r="C1352" s="1046" t="s">
        <v>2145</v>
      </c>
      <c r="D1352" s="1046" t="s">
        <v>1545</v>
      </c>
      <c r="E1352" s="1042" t="s">
        <v>1386</v>
      </c>
    </row>
    <row r="1353" spans="1:5" ht="30" x14ac:dyDescent="0.25">
      <c r="A1353" s="1324">
        <v>1352</v>
      </c>
      <c r="B1353" s="974" t="s">
        <v>1517</v>
      </c>
      <c r="C1353" s="1046" t="s">
        <v>2145</v>
      </c>
      <c r="D1353" s="1046" t="s">
        <v>1545</v>
      </c>
      <c r="E1353" s="1042" t="s">
        <v>1496</v>
      </c>
    </row>
    <row r="1354" spans="1:5" x14ac:dyDescent="0.25">
      <c r="A1354" s="1324">
        <v>1353</v>
      </c>
      <c r="B1354" s="974" t="s">
        <v>1517</v>
      </c>
      <c r="C1354" s="1046" t="s">
        <v>2145</v>
      </c>
      <c r="D1354" s="1046" t="s">
        <v>2146</v>
      </c>
      <c r="E1354" s="1042" t="s">
        <v>1389</v>
      </c>
    </row>
  </sheetData>
  <sheetProtection algorithmName="SHA-512" hashValue="B2efbx96YyW2qR477qjZ4RwpItWIeDBJ4VlKyIMmykLqAnmKHssEXlsVdmvIlMhM0pbeV2MIt0ubqr4HohjF/g==" saltValue="iT63xryz8WqzY/BlDagWEg==" spinCount="100000" sheet="1" objects="1" scenarios="1"/>
  <autoFilter ref="A1:BG1354"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306"/>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02" t="s">
        <v>1341</v>
      </c>
      <c r="B1" s="2102"/>
      <c r="C1" s="2102"/>
      <c r="D1" s="2102"/>
      <c r="E1" s="2102"/>
      <c r="F1" s="2102" t="s">
        <v>1342</v>
      </c>
      <c r="G1" s="2102"/>
      <c r="H1" s="2102"/>
      <c r="I1" s="2102" t="s">
        <v>1343</v>
      </c>
      <c r="J1" s="2102"/>
      <c r="K1" s="2102"/>
      <c r="L1" s="2102" t="s">
        <v>1344</v>
      </c>
      <c r="M1" s="2103"/>
      <c r="N1" s="2102"/>
      <c r="O1" s="134">
        <v>0</v>
      </c>
      <c r="P1" s="1077">
        <v>6</v>
      </c>
      <c r="Q1" s="1077" t="str">
        <f>IFERROR(SUBSTITUTE(ADDRESS(1,P1,4),"1",""),"")</f>
        <v>F</v>
      </c>
      <c r="R1" s="1351"/>
      <c r="S1" s="1348"/>
      <c r="T1" s="1348"/>
      <c r="U1" s="1348"/>
      <c r="V1" s="1348"/>
      <c r="W1" s="1348"/>
      <c r="X1" s="1348"/>
      <c r="Y1" s="1348"/>
      <c r="Z1" s="134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8" t="s">
        <v>1471</v>
      </c>
      <c r="N2" s="815" t="s">
        <v>1348</v>
      </c>
      <c r="O2" s="134"/>
      <c r="P2" s="1077">
        <v>0</v>
      </c>
      <c r="Q2" s="1077" t="str">
        <f>IFERROR(SUBSTITUTE(ADDRESS(1,P2,4),"1",""),"")</f>
        <v/>
      </c>
      <c r="R2" s="1351"/>
      <c r="S2" s="1348"/>
      <c r="T2" s="1348"/>
      <c r="U2" s="1348"/>
      <c r="V2" s="1348"/>
      <c r="W2" s="1348"/>
      <c r="X2" s="1348"/>
      <c r="Y2" s="1348"/>
      <c r="Z2" s="134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7" t="str">
        <f t="shared" si="3"/>
        <v>Minimum Percentage of Purchases to be Directed to USF</v>
      </c>
      <c r="J12" s="1351" t="str">
        <f t="shared" ref="J12:J62" si="5">IF(M12&lt;&gt;"",Q$1&amp;M12,"")</f>
        <v>F9</v>
      </c>
      <c r="K12" s="1351" t="str">
        <f t="shared" si="4"/>
        <v>Agreement Worksheet</v>
      </c>
      <c r="L12" s="817" t="s">
        <v>1214</v>
      </c>
      <c r="M12" s="1351">
        <v>9</v>
      </c>
      <c r="N12" s="1351"/>
      <c r="O12" s="1348"/>
      <c r="P12" s="1348"/>
      <c r="Q12" s="1348"/>
      <c r="R12" s="1348"/>
      <c r="S12" s="1348"/>
      <c r="T12" s="1348"/>
      <c r="U12" s="1348"/>
      <c r="V12" s="1348"/>
      <c r="W12" s="1348"/>
      <c r="X12" s="1348"/>
      <c r="Y12" s="1348"/>
      <c r="Z12" s="134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7" t="str">
        <f t="shared" si="3"/>
        <v>Maximum Distance From USF DC to Shipping Locations (miles)</v>
      </c>
      <c r="J18" s="1351" t="str">
        <f t="shared" si="5"/>
        <v>F10</v>
      </c>
      <c r="K18" s="1351" t="str">
        <f t="shared" si="4"/>
        <v>Agreement Worksheet</v>
      </c>
      <c r="L18" s="817" t="s">
        <v>1215</v>
      </c>
      <c r="M18" s="1351">
        <v>10</v>
      </c>
      <c r="N18" s="1351"/>
      <c r="O18" s="1348"/>
      <c r="P18" s="1348"/>
      <c r="Q18" s="1348"/>
      <c r="R18" s="1348"/>
      <c r="S18" s="1348"/>
      <c r="T18" s="1348"/>
      <c r="U18" s="1348"/>
      <c r="V18" s="1348"/>
      <c r="W18" s="1348"/>
      <c r="X18" s="1348"/>
      <c r="Y18" s="1348"/>
      <c r="Z18" s="134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7" t="str">
        <f t="shared" si="3"/>
        <v>Split Case Surcharge Amount</v>
      </c>
      <c r="J21" s="1351" t="str">
        <f t="shared" si="5"/>
        <v>F13</v>
      </c>
      <c r="K21" s="1351" t="str">
        <f t="shared" si="4"/>
        <v>Agreement Worksheet</v>
      </c>
      <c r="L21" s="817" t="s">
        <v>1227</v>
      </c>
      <c r="M21" s="1351">
        <v>13</v>
      </c>
      <c r="N21" s="1351"/>
      <c r="O21" s="1348"/>
      <c r="P21" s="1348"/>
      <c r="Q21" s="1348"/>
      <c r="R21" s="1348"/>
      <c r="S21" s="1348"/>
      <c r="T21" s="1348"/>
      <c r="U21" s="1348"/>
      <c r="V21" s="1348"/>
      <c r="W21" s="1348"/>
      <c r="X21" s="1348"/>
      <c r="Y21" s="1348"/>
      <c r="Z21" s="134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7" t="str">
        <f t="shared" si="3"/>
        <v>Split Case Per</v>
      </c>
      <c r="J22" s="1351" t="str">
        <f t="shared" si="5"/>
        <v>F14</v>
      </c>
      <c r="K22" s="1351" t="str">
        <f t="shared" si="4"/>
        <v>Agreement Worksheet</v>
      </c>
      <c r="L22" s="817" t="s">
        <v>1228</v>
      </c>
      <c r="M22" s="1351">
        <v>14</v>
      </c>
      <c r="N22" s="1351"/>
      <c r="O22" s="1348"/>
      <c r="P22" s="1348"/>
      <c r="Q22" s="1348"/>
      <c r="R22" s="1348"/>
      <c r="S22" s="1348"/>
      <c r="T22" s="1348"/>
      <c r="U22" s="1348"/>
      <c r="V22" s="1348"/>
      <c r="W22" s="1348"/>
      <c r="X22" s="1348"/>
      <c r="Y22" s="1348"/>
      <c r="Z22" s="134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7" t="str">
        <f t="shared" si="3"/>
        <v>Minimum per Case Markup</v>
      </c>
      <c r="J23" s="1351" t="str">
        <f t="shared" si="5"/>
        <v>F15</v>
      </c>
      <c r="K23" s="1351" t="str">
        <f t="shared" si="4"/>
        <v>Agreement Worksheet</v>
      </c>
      <c r="L23" s="817" t="s">
        <v>1371</v>
      </c>
      <c r="M23" s="1351">
        <v>15</v>
      </c>
      <c r="N23" s="1351"/>
      <c r="O23" s="1348"/>
      <c r="P23" s="1348"/>
      <c r="Q23" s="1348"/>
      <c r="R23" s="1348"/>
      <c r="S23" s="1348"/>
      <c r="T23" s="1348"/>
      <c r="U23" s="1348"/>
      <c r="V23" s="1348"/>
      <c r="W23" s="1348"/>
      <c r="X23" s="1348"/>
      <c r="Y23" s="1348"/>
      <c r="Z23" s="134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7" t="str">
        <f t="shared" si="3"/>
        <v>Special Order Product Surcharge Amount</v>
      </c>
      <c r="J24" s="1351" t="str">
        <f t="shared" si="5"/>
        <v>F16</v>
      </c>
      <c r="K24" s="1351" t="str">
        <f t="shared" si="4"/>
        <v>Agreement Worksheet</v>
      </c>
      <c r="L24" s="817" t="s">
        <v>1231</v>
      </c>
      <c r="M24" s="1351">
        <v>16</v>
      </c>
      <c r="N24" s="1351"/>
      <c r="O24" s="1348"/>
      <c r="P24" s="1348"/>
      <c r="Q24" s="1348"/>
      <c r="R24" s="1348"/>
      <c r="S24" s="1348"/>
      <c r="T24" s="1348"/>
      <c r="U24" s="1348"/>
      <c r="V24" s="1348"/>
      <c r="W24" s="1348"/>
      <c r="X24" s="1348"/>
      <c r="Y24" s="1348"/>
      <c r="Z24" s="134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7" t="str">
        <f t="shared" si="3"/>
        <v>Special Order Products Surcharge Amount Type Code</v>
      </c>
      <c r="J25" s="1351" t="str">
        <f t="shared" si="5"/>
        <v>F17</v>
      </c>
      <c r="K25" s="1351" t="str">
        <f t="shared" si="4"/>
        <v>Agreement Worksheet</v>
      </c>
      <c r="L25" s="817" t="s">
        <v>1232</v>
      </c>
      <c r="M25" s="1351">
        <v>17</v>
      </c>
      <c r="N25" s="1351"/>
      <c r="O25" s="1348"/>
      <c r="P25" s="1348"/>
      <c r="Q25" s="1348"/>
      <c r="R25" s="1348"/>
      <c r="S25" s="1348"/>
      <c r="T25" s="1348"/>
      <c r="U25" s="1348"/>
      <c r="V25" s="1348"/>
      <c r="W25" s="1348"/>
      <c r="X25" s="1348"/>
      <c r="Y25" s="1348"/>
      <c r="Z25" s="134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7" t="str">
        <f t="shared" si="3"/>
        <v>Primary Form of Payment</v>
      </c>
      <c r="J26" s="1351" t="str">
        <f t="shared" si="5"/>
        <v>F11</v>
      </c>
      <c r="K26" s="1351" t="str">
        <f t="shared" si="4"/>
        <v>Agreement Worksheet</v>
      </c>
      <c r="L26" s="817" t="s">
        <v>1219</v>
      </c>
      <c r="M26" s="1351">
        <v>11</v>
      </c>
      <c r="N26" s="1351"/>
      <c r="O26" s="1348"/>
      <c r="P26" s="1348"/>
      <c r="Q26" s="1348"/>
      <c r="R26" s="1348"/>
      <c r="S26" s="1348"/>
      <c r="T26" s="1348"/>
      <c r="U26" s="1348"/>
      <c r="V26" s="1348"/>
      <c r="W26" s="1348"/>
      <c r="X26" s="1348"/>
      <c r="Y26" s="1348"/>
      <c r="Z26" s="134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7" t="str">
        <f t="shared" si="3"/>
        <v xml:space="preserve">Cost Basis </v>
      </c>
      <c r="J28" s="1351" t="str">
        <f t="shared" si="5"/>
        <v>F244</v>
      </c>
      <c r="K28" s="1351" t="str">
        <f t="shared" si="4"/>
        <v>Pricing Schedule</v>
      </c>
      <c r="L28" s="852" t="s">
        <v>1441</v>
      </c>
      <c r="M28" s="1351">
        <v>244</v>
      </c>
      <c r="N28" s="1351"/>
      <c r="O28" s="1348"/>
      <c r="P28" s="1348"/>
      <c r="Q28" s="1348"/>
      <c r="R28" s="1348"/>
      <c r="S28" s="1348"/>
      <c r="T28" s="1348"/>
      <c r="U28" s="1348"/>
      <c r="V28" s="1348"/>
      <c r="W28" s="1348"/>
      <c r="X28" s="1348"/>
      <c r="Y28" s="1348"/>
      <c r="Z28" s="134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7" t="str">
        <f t="shared" si="3"/>
        <v>Margin Basis Code</v>
      </c>
      <c r="J29" s="1351" t="str">
        <f t="shared" si="5"/>
        <v>F245</v>
      </c>
      <c r="K29" s="1351" t="str">
        <f t="shared" si="4"/>
        <v>Pricing Schedule</v>
      </c>
      <c r="L29" s="852" t="s">
        <v>1377</v>
      </c>
      <c r="M29" s="1351">
        <v>245</v>
      </c>
      <c r="N29" s="1351"/>
      <c r="O29" s="1348"/>
      <c r="P29" s="1348"/>
      <c r="Q29" s="1348"/>
      <c r="R29" s="1348"/>
      <c r="S29" s="1348"/>
      <c r="T29" s="1348"/>
      <c r="U29" s="1348"/>
      <c r="V29" s="1348"/>
      <c r="W29" s="1348"/>
      <c r="X29" s="1348"/>
      <c r="Y29" s="1348"/>
      <c r="Z29" s="134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7" t="str">
        <f t="shared" si="3"/>
        <v>Margin Calculation Code</v>
      </c>
      <c r="J30" s="1351" t="str">
        <f t="shared" si="5"/>
        <v>F246</v>
      </c>
      <c r="K30" s="1351" t="str">
        <f t="shared" si="4"/>
        <v>Pricing Schedule</v>
      </c>
      <c r="L30" s="852" t="s">
        <v>1267</v>
      </c>
      <c r="M30" s="1351">
        <v>246</v>
      </c>
      <c r="N30" s="1351"/>
      <c r="O30" s="1348"/>
      <c r="P30" s="1348"/>
      <c r="Q30" s="1348"/>
      <c r="R30" s="1348"/>
      <c r="S30" s="1348"/>
      <c r="T30" s="1348"/>
      <c r="U30" s="1348"/>
      <c r="V30" s="1348"/>
      <c r="W30" s="1348"/>
      <c r="X30" s="1348"/>
      <c r="Y30" s="1348"/>
      <c r="Z30" s="134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07" t="str">
        <f t="shared" si="3"/>
        <v>Proprietary Slots Additional Markup:</v>
      </c>
      <c r="J31" s="1351" t="str">
        <f t="shared" si="5"/>
        <v>F28</v>
      </c>
      <c r="K31" s="1351" t="str">
        <f t="shared" si="4"/>
        <v>Welcome</v>
      </c>
      <c r="L31" s="1351" t="s">
        <v>1426</v>
      </c>
      <c r="M31" s="1351">
        <v>28</v>
      </c>
      <c r="N31" s="1351"/>
      <c r="O31" s="1348"/>
      <c r="P31" s="1348"/>
      <c r="Q31" s="1348"/>
      <c r="R31" s="1348"/>
      <c r="S31" s="1348"/>
      <c r="T31" s="1348"/>
      <c r="U31" s="1348"/>
      <c r="V31" s="1348"/>
      <c r="W31" s="1348"/>
      <c r="X31" s="1348"/>
      <c r="Y31" s="1348"/>
      <c r="Z31" s="134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7" t="s">
        <v>1468</v>
      </c>
      <c r="B42" s="1307" t="str">
        <f>IFERROR(_xlfn.CONCAT("C",MATCH(A42,Welcome!C$1:C$60,0)),"")</f>
        <v>C18</v>
      </c>
      <c r="C42" s="1307" t="str">
        <f>IFERROR(_xlfn.CONCAT("D",MATCH(A42,Welcome!C$1:C$61,0)),"")</f>
        <v>D18</v>
      </c>
      <c r="D42" s="817" t="s">
        <v>1350</v>
      </c>
      <c r="E42" s="817" t="s">
        <v>1374</v>
      </c>
      <c r="F42" s="817" t="s">
        <v>1970</v>
      </c>
      <c r="G42" s="817" t="s">
        <v>1971</v>
      </c>
      <c r="H42" s="817" t="s">
        <v>1928</v>
      </c>
      <c r="I42" s="1307" t="str">
        <f t="shared" si="3"/>
        <v># of Locations:</v>
      </c>
      <c r="J42" s="1351" t="str">
        <f t="shared" si="5"/>
        <v>F33</v>
      </c>
      <c r="K42" s="1351" t="str">
        <f t="shared" si="4"/>
        <v>Welcome</v>
      </c>
      <c r="L42" s="1351" t="s">
        <v>1472</v>
      </c>
      <c r="M42" s="1351">
        <v>33</v>
      </c>
      <c r="N42" s="1351"/>
      <c r="O42" s="1348"/>
      <c r="P42" s="1348"/>
      <c r="Q42" s="1348"/>
      <c r="R42" s="1348"/>
      <c r="S42" s="1348"/>
      <c r="T42" s="1348"/>
      <c r="U42" s="1348"/>
      <c r="V42" s="1348"/>
      <c r="W42" s="1348"/>
      <c r="X42" s="1348"/>
      <c r="Y42" s="1348"/>
      <c r="Z42" s="134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7" t="str">
        <f t="shared" si="3"/>
        <v>Pyramid Segment</v>
      </c>
      <c r="J43" s="1351" t="str">
        <f>IF(AND(P1221="",M43&lt;&gt;""),Q$1&amp;M43,"")</f>
        <v>F35</v>
      </c>
      <c r="K43" s="1351" t="str">
        <f t="shared" si="4"/>
        <v>Customer Inputs</v>
      </c>
      <c r="L43" s="817" t="s">
        <v>1182</v>
      </c>
      <c r="M43" s="1351">
        <v>35</v>
      </c>
      <c r="N43" s="817"/>
      <c r="O43" s="1348"/>
      <c r="P43" s="1348"/>
      <c r="Q43" s="1348"/>
      <c r="R43" s="1348"/>
      <c r="S43" s="1348"/>
      <c r="T43" s="1348"/>
      <c r="U43" s="1348"/>
      <c r="V43" s="1348"/>
      <c r="W43" s="1348"/>
      <c r="X43" s="1348"/>
      <c r="Y43" s="1348"/>
      <c r="Z43" s="134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7" t="str">
        <f t="shared" si="3"/>
        <v>Agreement Annual Purchase Commitment</v>
      </c>
      <c r="J44" s="1351" t="str">
        <f>Q$1&amp;IF(Q44&lt;&gt;"",M44,M46)</f>
        <v>F39</v>
      </c>
      <c r="K44" s="1351" t="str">
        <f t="shared" si="4"/>
        <v>Customer Inputs</v>
      </c>
      <c r="L44" s="52" t="s">
        <v>1262</v>
      </c>
      <c r="M44" s="1351">
        <v>37</v>
      </c>
      <c r="N44" s="817"/>
      <c r="O44" s="1348"/>
      <c r="P44" s="1348"/>
      <c r="Q44" s="1348"/>
      <c r="R44" s="1348"/>
      <c r="S44" s="1348"/>
      <c r="T44" s="1348"/>
      <c r="U44" s="1348"/>
      <c r="V44" s="1348"/>
      <c r="W44" s="1348"/>
      <c r="X44" s="1348"/>
      <c r="Y44" s="1348"/>
      <c r="Z44" s="134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7" t="str">
        <f t="shared" si="3"/>
        <v>Agreement Deliveries Per Customer Unit Per Week</v>
      </c>
      <c r="J45" s="1351" t="str">
        <f>Q$1&amp;IF(Q45&lt;&gt;"",M45,M47)</f>
        <v>F40</v>
      </c>
      <c r="K45" s="1351" t="str">
        <f t="shared" si="4"/>
        <v>Customer Inputs</v>
      </c>
      <c r="L45" s="817" t="s">
        <v>1263</v>
      </c>
      <c r="M45" s="1351">
        <v>38</v>
      </c>
      <c r="N45" s="817"/>
      <c r="O45" s="1348"/>
      <c r="P45" s="1348"/>
      <c r="Q45" s="1348"/>
      <c r="R45" s="1348"/>
      <c r="S45" s="1348"/>
      <c r="T45" s="1348"/>
      <c r="U45" s="1348"/>
      <c r="V45" s="1348"/>
      <c r="W45" s="1348"/>
      <c r="X45" s="1348"/>
      <c r="Y45" s="1348"/>
      <c r="Z45" s="134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7" t="str">
        <f t="shared" si="3"/>
        <v/>
      </c>
      <c r="J46" s="1351"/>
      <c r="K46" s="1351" t="str">
        <f t="shared" si="4"/>
        <v/>
      </c>
      <c r="L46" s="817" t="s">
        <v>1185</v>
      </c>
      <c r="M46" s="1351">
        <v>39</v>
      </c>
      <c r="N46" s="817"/>
      <c r="O46" s="1348" t="s">
        <v>868</v>
      </c>
      <c r="P46" s="1348"/>
      <c r="Q46" s="1348"/>
      <c r="R46" s="1348"/>
      <c r="S46" s="1348"/>
      <c r="T46" s="1348"/>
      <c r="U46" s="1348"/>
      <c r="V46" s="1348"/>
      <c r="W46" s="1348"/>
      <c r="X46" s="1348"/>
      <c r="Y46" s="1348"/>
      <c r="Z46" s="134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7" t="str">
        <f t="shared" si="3"/>
        <v/>
      </c>
      <c r="J47" s="1351"/>
      <c r="K47" s="1351" t="str">
        <f t="shared" si="4"/>
        <v/>
      </c>
      <c r="L47" s="851" t="s">
        <v>1186</v>
      </c>
      <c r="M47" s="1351">
        <v>40</v>
      </c>
      <c r="N47" s="817"/>
      <c r="O47" s="1348" t="s">
        <v>1183</v>
      </c>
      <c r="P47" s="1348"/>
      <c r="Q47" s="1348"/>
      <c r="R47" s="1348"/>
      <c r="S47" s="1348"/>
      <c r="T47" s="1348"/>
      <c r="U47" s="1348"/>
      <c r="V47" s="1348"/>
      <c r="W47" s="1348"/>
      <c r="X47" s="1348"/>
      <c r="Y47" s="1348"/>
      <c r="Z47" s="134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7" t="str">
        <f t="shared" ref="I48" si="8">IF(J48&lt;&gt;"",A48,"")</f>
        <v/>
      </c>
      <c r="J48" s="1532"/>
      <c r="K48" s="1532" t="str">
        <f t="shared" ref="K48" si="9">IF(J48&lt;&gt;"",E48,"")</f>
        <v/>
      </c>
      <c r="L48" s="851" t="s">
        <v>1187</v>
      </c>
      <c r="M48" s="1351">
        <v>41</v>
      </c>
      <c r="N48" s="817"/>
      <c r="O48" s="1348" t="s">
        <v>1190</v>
      </c>
      <c r="P48" s="1348"/>
      <c r="Q48" s="1348"/>
      <c r="R48" s="1348"/>
      <c r="S48" s="1348"/>
      <c r="T48" s="1348"/>
      <c r="U48" s="1348"/>
      <c r="V48" s="1348"/>
      <c r="W48" s="1348"/>
      <c r="X48" s="1348"/>
      <c r="Y48" s="1348"/>
      <c r="Z48" s="134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7" t="str">
        <f t="shared" si="3"/>
        <v/>
      </c>
      <c r="J49" s="1351"/>
      <c r="K49" s="1351" t="str">
        <f t="shared" si="4"/>
        <v/>
      </c>
      <c r="L49" s="851" t="s">
        <v>1188</v>
      </c>
      <c r="M49" s="1351">
        <v>42</v>
      </c>
      <c r="N49" s="817"/>
      <c r="O49" s="1348" t="s">
        <v>1184</v>
      </c>
      <c r="P49" s="1348"/>
      <c r="Q49" s="1348"/>
      <c r="R49" s="1348"/>
      <c r="S49" s="1348"/>
      <c r="T49" s="1348"/>
      <c r="U49" s="1348"/>
      <c r="V49" s="1348"/>
      <c r="W49" s="1348"/>
      <c r="X49" s="1348"/>
      <c r="Y49" s="1348"/>
      <c r="Z49" s="134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7" t="str">
        <f t="shared" si="3"/>
        <v/>
      </c>
      <c r="J50" s="1351"/>
      <c r="K50" s="1351" t="str">
        <f t="shared" si="4"/>
        <v/>
      </c>
      <c r="L50" s="851" t="s">
        <v>1189</v>
      </c>
      <c r="M50" s="1351">
        <v>43</v>
      </c>
      <c r="N50" s="817"/>
      <c r="O50" s="1348"/>
      <c r="P50" s="1348"/>
      <c r="Q50" s="1348"/>
      <c r="R50" s="1348"/>
      <c r="S50" s="1348"/>
      <c r="T50" s="1348"/>
      <c r="U50" s="1348"/>
      <c r="V50" s="1348"/>
      <c r="W50" s="1348"/>
      <c r="X50" s="1348"/>
      <c r="Y50" s="1348"/>
      <c r="Z50" s="134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7" t="str">
        <f t="shared" si="3"/>
        <v/>
      </c>
      <c r="J51" s="1351"/>
      <c r="K51" s="1351" t="str">
        <f t="shared" si="4"/>
        <v/>
      </c>
      <c r="L51" s="851" t="s">
        <v>1429</v>
      </c>
      <c r="M51" s="1351">
        <v>44</v>
      </c>
      <c r="N51" s="817"/>
      <c r="O51" s="1348"/>
      <c r="P51" s="1348"/>
      <c r="Q51" s="1348"/>
      <c r="R51" s="1348"/>
      <c r="S51" s="1348"/>
      <c r="T51" s="1348"/>
      <c r="U51" s="1348"/>
      <c r="V51" s="1348"/>
      <c r="W51" s="1348"/>
      <c r="X51" s="1348"/>
      <c r="Y51" s="1348"/>
      <c r="Z51" s="134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7" t="str">
        <f t="shared" si="3"/>
        <v>Add or End Customer</v>
      </c>
      <c r="J52" s="1351" t="str">
        <f t="shared" si="5"/>
        <v>F45</v>
      </c>
      <c r="K52" s="1351" t="str">
        <f t="shared" si="4"/>
        <v>Customer Inputs</v>
      </c>
      <c r="L52" s="851" t="s">
        <v>1632</v>
      </c>
      <c r="M52" s="1351">
        <v>45</v>
      </c>
      <c r="N52" s="817"/>
      <c r="O52" s="1348"/>
      <c r="P52" s="1348"/>
      <c r="Q52" s="1348"/>
      <c r="R52" s="1348"/>
      <c r="S52" s="1348"/>
      <c r="T52" s="1348"/>
      <c r="U52" s="1348"/>
      <c r="V52" s="1348"/>
      <c r="W52" s="1348"/>
      <c r="X52" s="1348"/>
      <c r="Y52" s="1348"/>
      <c r="Z52" s="134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7" t="str">
        <f t="shared" si="3"/>
        <v>Pyramid Segment</v>
      </c>
      <c r="J53" s="1351" t="str">
        <f>IF(AND(P1222="",M53&lt;&gt;""),Q$1&amp;M53,"")</f>
        <v>F56</v>
      </c>
      <c r="K53" s="1351" t="str">
        <f t="shared" si="4"/>
        <v>Customer Inputs</v>
      </c>
      <c r="L53" s="817" t="s">
        <v>1182</v>
      </c>
      <c r="M53" s="1351">
        <v>56</v>
      </c>
      <c r="N53" s="817"/>
      <c r="O53" s="1348"/>
      <c r="P53" s="1348"/>
      <c r="Q53" s="1348"/>
      <c r="R53" s="1348"/>
      <c r="S53" s="1348"/>
      <c r="T53" s="1348"/>
      <c r="U53" s="1348"/>
      <c r="V53" s="1348"/>
      <c r="W53" s="1348"/>
      <c r="X53" s="1348"/>
      <c r="Y53" s="1348"/>
      <c r="Z53" s="134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7" t="str">
        <f t="shared" si="3"/>
        <v>Agreement Annual Purchase Commitment</v>
      </c>
      <c r="J54" s="1351" t="str">
        <f>Q$1&amp;IF(Q54&lt;&gt;"",M54,M56)</f>
        <v>F60</v>
      </c>
      <c r="K54" s="1351" t="str">
        <f t="shared" si="4"/>
        <v>Customer Inputs</v>
      </c>
      <c r="L54" s="52" t="s">
        <v>1262</v>
      </c>
      <c r="M54" s="1351">
        <v>58</v>
      </c>
      <c r="N54" s="817"/>
      <c r="O54" s="1348"/>
      <c r="P54" s="1348"/>
      <c r="Q54" s="1348"/>
      <c r="R54" s="1348"/>
      <c r="S54" s="1348"/>
      <c r="T54" s="1348"/>
      <c r="U54" s="1348"/>
      <c r="V54" s="1348"/>
      <c r="W54" s="1348"/>
      <c r="X54" s="1348"/>
      <c r="Y54" s="1348"/>
      <c r="Z54" s="1348"/>
    </row>
    <row r="55" spans="1:26" ht="30" x14ac:dyDescent="0.25">
      <c r="A55" s="864" t="s">
        <v>1263</v>
      </c>
      <c r="B55" s="817" t="str">
        <f t="shared" ca="1" si="11"/>
        <v>J7</v>
      </c>
      <c r="C55" s="817" t="str">
        <f t="shared" ca="1" si="10"/>
        <v>J</v>
      </c>
      <c r="D55" s="817" t="s">
        <v>1357</v>
      </c>
      <c r="E55" s="817" t="s">
        <v>870</v>
      </c>
      <c r="F55" s="817"/>
      <c r="G55" s="817"/>
      <c r="H55" s="817"/>
      <c r="I55" s="1307" t="str">
        <f t="shared" si="3"/>
        <v>Agreement Deliveries Per Customer Unit Per Week</v>
      </c>
      <c r="J55" s="1351" t="str">
        <f>Q$1&amp;IF(Q55&lt;&gt;"",M55,M57)</f>
        <v>F61</v>
      </c>
      <c r="K55" s="1351" t="str">
        <f t="shared" si="4"/>
        <v>Customer Inputs</v>
      </c>
      <c r="L55" s="817" t="s">
        <v>1263</v>
      </c>
      <c r="M55" s="1351">
        <v>59</v>
      </c>
      <c r="N55" s="817"/>
      <c r="O55" s="1348"/>
      <c r="P55" s="1348"/>
      <c r="Q55" s="1348"/>
      <c r="R55" s="1348"/>
      <c r="S55" s="1348"/>
      <c r="T55" s="1348"/>
      <c r="U55" s="1348"/>
      <c r="V55" s="1348"/>
      <c r="W55" s="1348"/>
      <c r="X55" s="1348"/>
      <c r="Y55" s="1348"/>
      <c r="Z55" s="134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7" t="str">
        <f t="shared" si="3"/>
        <v/>
      </c>
      <c r="J56" s="1351"/>
      <c r="K56" s="1351" t="str">
        <f t="shared" si="4"/>
        <v/>
      </c>
      <c r="L56" s="817" t="s">
        <v>1185</v>
      </c>
      <c r="M56" s="1351">
        <v>60</v>
      </c>
      <c r="N56" s="817"/>
      <c r="O56" s="1348" t="s">
        <v>868</v>
      </c>
      <c r="P56" s="1348"/>
      <c r="Q56" s="1348"/>
      <c r="R56" s="1348"/>
      <c r="S56" s="1348"/>
      <c r="T56" s="1348"/>
      <c r="U56" s="1348"/>
      <c r="V56" s="1348"/>
      <c r="W56" s="1348"/>
      <c r="X56" s="1348"/>
      <c r="Y56" s="1348"/>
      <c r="Z56" s="134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7" t="str">
        <f t="shared" si="3"/>
        <v/>
      </c>
      <c r="J57" s="1351"/>
      <c r="K57" s="1351" t="str">
        <f t="shared" si="4"/>
        <v/>
      </c>
      <c r="L57" s="851" t="s">
        <v>1186</v>
      </c>
      <c r="M57" s="1351">
        <v>61</v>
      </c>
      <c r="N57" s="817"/>
      <c r="O57" s="1348" t="s">
        <v>1183</v>
      </c>
      <c r="P57" s="1348"/>
      <c r="Q57" s="1348"/>
      <c r="R57" s="1348"/>
      <c r="S57" s="1348"/>
      <c r="T57" s="1348"/>
      <c r="U57" s="1348"/>
      <c r="V57" s="1348"/>
      <c r="W57" s="1348"/>
      <c r="X57" s="1348"/>
      <c r="Y57" s="1348"/>
      <c r="Z57" s="134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7" t="str">
        <f t="shared" si="3"/>
        <v/>
      </c>
      <c r="J58" s="1532"/>
      <c r="K58" s="1351" t="str">
        <f t="shared" si="4"/>
        <v/>
      </c>
      <c r="L58" s="851" t="s">
        <v>1187</v>
      </c>
      <c r="M58" s="1351">
        <v>62</v>
      </c>
      <c r="N58" s="817"/>
      <c r="O58" s="1348" t="s">
        <v>1190</v>
      </c>
      <c r="P58" s="1348"/>
      <c r="Q58" s="1348"/>
      <c r="R58" s="1348"/>
      <c r="S58" s="1348"/>
      <c r="T58" s="1348"/>
      <c r="U58" s="1348"/>
      <c r="V58" s="1348"/>
      <c r="W58" s="1348"/>
      <c r="X58" s="1348"/>
      <c r="Y58" s="1348"/>
      <c r="Z58" s="134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7" t="str">
        <f t="shared" si="3"/>
        <v/>
      </c>
      <c r="J59" s="1351"/>
      <c r="K59" s="1351" t="str">
        <f t="shared" si="4"/>
        <v/>
      </c>
      <c r="L59" s="851" t="s">
        <v>1188</v>
      </c>
      <c r="M59" s="1351">
        <v>63</v>
      </c>
      <c r="N59" s="817"/>
      <c r="O59" s="1348" t="s">
        <v>1184</v>
      </c>
      <c r="P59" s="1348"/>
      <c r="Q59" s="1348"/>
      <c r="R59" s="1348"/>
      <c r="S59" s="1348"/>
      <c r="T59" s="1348"/>
      <c r="U59" s="1348"/>
      <c r="V59" s="1348"/>
      <c r="W59" s="1348"/>
      <c r="X59" s="1348"/>
      <c r="Y59" s="1348"/>
      <c r="Z59" s="1348"/>
    </row>
    <row r="60" spans="1:26" x14ac:dyDescent="0.25">
      <c r="A60" s="866" t="s">
        <v>1189</v>
      </c>
      <c r="B60" s="817" t="str">
        <f t="shared" ca="1" si="11"/>
        <v>U7</v>
      </c>
      <c r="C60" s="817" t="str">
        <f t="shared" ca="1" si="10"/>
        <v>U</v>
      </c>
      <c r="D60" s="817" t="s">
        <v>1357</v>
      </c>
      <c r="E60" s="817" t="s">
        <v>870</v>
      </c>
      <c r="F60" s="817"/>
      <c r="G60" s="817"/>
      <c r="H60" s="817"/>
      <c r="I60" s="1307" t="str">
        <f t="shared" si="3"/>
        <v/>
      </c>
      <c r="J60" s="1351"/>
      <c r="K60" s="1351" t="str">
        <f t="shared" si="4"/>
        <v/>
      </c>
      <c r="L60" s="851" t="s">
        <v>1189</v>
      </c>
      <c r="M60" s="1351">
        <v>64</v>
      </c>
      <c r="N60" s="817"/>
      <c r="O60" s="1348"/>
      <c r="P60" s="1348"/>
      <c r="Q60" s="1348"/>
      <c r="R60" s="1348"/>
      <c r="S60" s="1348"/>
      <c r="T60" s="1348"/>
      <c r="U60" s="1348"/>
      <c r="V60" s="1348"/>
      <c r="W60" s="1348"/>
      <c r="X60" s="1348"/>
      <c r="Y60" s="1348"/>
      <c r="Z60" s="1348"/>
    </row>
    <row r="61" spans="1:26" x14ac:dyDescent="0.25">
      <c r="A61" s="866" t="s">
        <v>1339</v>
      </c>
      <c r="B61" s="817" t="str">
        <f t="shared" ca="1" si="11"/>
        <v>V7</v>
      </c>
      <c r="C61" s="817" t="str">
        <f t="shared" ca="1" si="10"/>
        <v>V</v>
      </c>
      <c r="D61" s="817" t="s">
        <v>1357</v>
      </c>
      <c r="E61" s="817" t="s">
        <v>870</v>
      </c>
      <c r="F61" s="817"/>
      <c r="G61" s="817"/>
      <c r="H61" s="817"/>
      <c r="I61" s="1307" t="str">
        <f t="shared" si="3"/>
        <v/>
      </c>
      <c r="J61" s="1351"/>
      <c r="K61" s="1351" t="str">
        <f t="shared" si="4"/>
        <v/>
      </c>
      <c r="L61" s="851" t="s">
        <v>1429</v>
      </c>
      <c r="M61" s="1351">
        <v>65</v>
      </c>
      <c r="N61" s="817"/>
      <c r="O61" s="1348"/>
      <c r="P61" s="1348"/>
      <c r="Q61" s="1348"/>
      <c r="R61" s="1348"/>
      <c r="S61" s="1348"/>
      <c r="T61" s="1348"/>
      <c r="U61" s="1348"/>
      <c r="V61" s="1348"/>
      <c r="W61" s="1348"/>
      <c r="X61" s="1348"/>
      <c r="Y61" s="1348"/>
      <c r="Z61" s="1348"/>
    </row>
    <row r="62" spans="1:26" x14ac:dyDescent="0.25">
      <c r="A62" s="866" t="s">
        <v>1632</v>
      </c>
      <c r="B62" s="817" t="str">
        <f t="shared" ca="1" si="11"/>
        <v>W7</v>
      </c>
      <c r="C62" s="817" t="str">
        <f t="shared" ca="1" si="10"/>
        <v>W</v>
      </c>
      <c r="D62" s="817" t="s">
        <v>1357</v>
      </c>
      <c r="E62" s="817" t="s">
        <v>870</v>
      </c>
      <c r="F62" s="817"/>
      <c r="G62" s="817"/>
      <c r="H62" s="817"/>
      <c r="I62" s="1307" t="str">
        <f t="shared" si="3"/>
        <v>Add or End Customer</v>
      </c>
      <c r="J62" s="1351" t="str">
        <f t="shared" si="5"/>
        <v>F66</v>
      </c>
      <c r="K62" s="1351" t="str">
        <f t="shared" si="4"/>
        <v>Customer Inputs</v>
      </c>
      <c r="L62" s="851" t="s">
        <v>1632</v>
      </c>
      <c r="M62" s="1351">
        <v>66</v>
      </c>
      <c r="N62" s="817"/>
      <c r="O62" s="1348"/>
      <c r="P62" s="1348"/>
      <c r="Q62" s="1348"/>
      <c r="R62" s="1348"/>
      <c r="S62" s="1348"/>
      <c r="T62" s="1348"/>
      <c r="U62" s="1348"/>
      <c r="V62" s="1348"/>
      <c r="W62" s="1348"/>
      <c r="X62" s="1348"/>
      <c r="Y62" s="1348"/>
      <c r="Z62" s="134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7" t="str">
        <f t="shared" si="3"/>
        <v>Pyramid Segment</v>
      </c>
      <c r="J63" s="1351" t="str">
        <f>IF(AND(P1223="",M63&lt;&gt;""),Q$1&amp;M63,"")</f>
        <v>F77</v>
      </c>
      <c r="K63" s="1351" t="str">
        <f t="shared" si="4"/>
        <v>Customer Inputs</v>
      </c>
      <c r="L63" s="817" t="s">
        <v>1182</v>
      </c>
      <c r="M63" s="1351">
        <v>77</v>
      </c>
      <c r="N63" s="817"/>
      <c r="O63" s="1348"/>
      <c r="P63" s="1348"/>
      <c r="Q63" s="1348"/>
      <c r="R63" s="1348"/>
      <c r="S63" s="1348"/>
      <c r="T63" s="1348"/>
      <c r="U63" s="1348"/>
      <c r="V63" s="1348"/>
      <c r="W63" s="1348"/>
      <c r="X63" s="1348"/>
      <c r="Y63" s="1348"/>
      <c r="Z63" s="134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7" t="str">
        <f t="shared" si="3"/>
        <v>Agreement Annual Purchase Commitment</v>
      </c>
      <c r="J64" s="1351" t="str">
        <f>Q$1&amp;IF(Q64&lt;&gt;"",M64,M66)</f>
        <v>F81</v>
      </c>
      <c r="K64" s="1351" t="str">
        <f t="shared" si="4"/>
        <v>Customer Inputs</v>
      </c>
      <c r="L64" s="52" t="s">
        <v>1262</v>
      </c>
      <c r="M64" s="1351">
        <v>79</v>
      </c>
      <c r="N64" s="817"/>
      <c r="O64" s="1348"/>
      <c r="P64" s="1348"/>
      <c r="Q64" s="1348"/>
      <c r="R64" s="1348"/>
      <c r="S64" s="1348"/>
      <c r="T64" s="1348"/>
      <c r="U64" s="1348"/>
      <c r="V64" s="1348"/>
      <c r="W64" s="1348"/>
      <c r="X64" s="1348"/>
      <c r="Y64" s="1348"/>
      <c r="Z64" s="1348"/>
    </row>
    <row r="65" spans="1:26" ht="30" x14ac:dyDescent="0.25">
      <c r="A65" s="861" t="s">
        <v>1263</v>
      </c>
      <c r="B65" s="817" t="str">
        <f t="shared" ca="1" si="12"/>
        <v>J8</v>
      </c>
      <c r="C65" s="817" t="str">
        <f t="shared" ca="1" si="10"/>
        <v>J</v>
      </c>
      <c r="D65" s="817" t="s">
        <v>1357</v>
      </c>
      <c r="E65" s="817" t="s">
        <v>870</v>
      </c>
      <c r="F65" s="817"/>
      <c r="G65" s="817"/>
      <c r="H65" s="817"/>
      <c r="I65" s="1307" t="str">
        <f t="shared" si="3"/>
        <v>Agreement Deliveries Per Customer Unit Per Week</v>
      </c>
      <c r="J65" s="1351" t="str">
        <f>Q$1&amp;IF(Q65&lt;&gt;"",M65,M67)</f>
        <v>F82</v>
      </c>
      <c r="K65" s="1351" t="str">
        <f t="shared" si="4"/>
        <v>Customer Inputs</v>
      </c>
      <c r="L65" s="817" t="s">
        <v>1263</v>
      </c>
      <c r="M65" s="1351">
        <v>80</v>
      </c>
      <c r="N65" s="817"/>
      <c r="O65" s="1348"/>
      <c r="P65" s="1348"/>
      <c r="Q65" s="1348"/>
      <c r="R65" s="1348"/>
      <c r="S65" s="1348"/>
      <c r="T65" s="1348"/>
      <c r="U65" s="1348"/>
      <c r="V65" s="1348"/>
      <c r="W65" s="1348"/>
      <c r="X65" s="1348"/>
      <c r="Y65" s="1348"/>
      <c r="Z65" s="134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7" t="str">
        <f t="shared" si="3"/>
        <v/>
      </c>
      <c r="J66" s="1351"/>
      <c r="K66" s="1351" t="str">
        <f t="shared" si="4"/>
        <v/>
      </c>
      <c r="L66" s="817" t="s">
        <v>1185</v>
      </c>
      <c r="M66" s="1351">
        <v>81</v>
      </c>
      <c r="N66" s="817"/>
      <c r="O66" s="1348" t="s">
        <v>868</v>
      </c>
      <c r="P66" s="1348"/>
      <c r="Q66" s="1348"/>
      <c r="R66" s="1348"/>
      <c r="S66" s="1348"/>
      <c r="T66" s="1348"/>
      <c r="U66" s="1348"/>
      <c r="V66" s="1348"/>
      <c r="W66" s="1348"/>
      <c r="X66" s="1348"/>
      <c r="Y66" s="1348"/>
      <c r="Z66" s="134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7" t="str">
        <f t="shared" si="3"/>
        <v/>
      </c>
      <c r="J67" s="1351"/>
      <c r="K67" s="1351" t="str">
        <f t="shared" si="4"/>
        <v/>
      </c>
      <c r="L67" s="851" t="s">
        <v>1186</v>
      </c>
      <c r="M67" s="1351">
        <v>82</v>
      </c>
      <c r="N67" s="817"/>
      <c r="O67" s="1348" t="s">
        <v>1183</v>
      </c>
      <c r="P67" s="1348"/>
      <c r="Q67" s="1348"/>
      <c r="R67" s="1348"/>
      <c r="S67" s="1348"/>
      <c r="T67" s="1348"/>
      <c r="U67" s="1348"/>
      <c r="V67" s="1348"/>
      <c r="W67" s="1348"/>
      <c r="X67" s="1348"/>
      <c r="Y67" s="1348"/>
      <c r="Z67" s="134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7" t="str">
        <f t="shared" ref="I68:I131" si="13">IF(J68&lt;&gt;"",A68,"")</f>
        <v/>
      </c>
      <c r="J68" s="1532"/>
      <c r="K68" s="1351" t="str">
        <f t="shared" ref="K68:K131" si="14">IF(J68&lt;&gt;"",E68,"")</f>
        <v/>
      </c>
      <c r="L68" s="851" t="s">
        <v>1187</v>
      </c>
      <c r="M68" s="1351">
        <v>83</v>
      </c>
      <c r="N68" s="817"/>
      <c r="O68" s="1348" t="s">
        <v>1190</v>
      </c>
      <c r="P68" s="1348"/>
      <c r="Q68" s="1348"/>
      <c r="R68" s="1348"/>
      <c r="S68" s="1348"/>
      <c r="T68" s="1348"/>
      <c r="U68" s="1348"/>
      <c r="V68" s="1348"/>
      <c r="W68" s="1348"/>
      <c r="X68" s="1348"/>
      <c r="Y68" s="1348"/>
      <c r="Z68" s="134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7" t="str">
        <f t="shared" si="13"/>
        <v/>
      </c>
      <c r="J69" s="1351"/>
      <c r="K69" s="1351" t="str">
        <f t="shared" si="14"/>
        <v/>
      </c>
      <c r="L69" s="851" t="s">
        <v>1188</v>
      </c>
      <c r="M69" s="1351">
        <v>84</v>
      </c>
      <c r="N69" s="817"/>
      <c r="O69" s="1348" t="s">
        <v>1184</v>
      </c>
      <c r="P69" s="1348"/>
      <c r="Q69" s="1348"/>
      <c r="R69" s="1348"/>
      <c r="S69" s="1348"/>
      <c r="T69" s="1348"/>
      <c r="U69" s="1348"/>
      <c r="V69" s="1348"/>
      <c r="W69" s="1348"/>
      <c r="X69" s="1348"/>
      <c r="Y69" s="1348"/>
      <c r="Z69" s="1348"/>
    </row>
    <row r="70" spans="1:26" x14ac:dyDescent="0.25">
      <c r="A70" s="863" t="s">
        <v>1189</v>
      </c>
      <c r="B70" s="817" t="str">
        <f t="shared" ca="1" si="12"/>
        <v>U8</v>
      </c>
      <c r="C70" s="817" t="str">
        <f t="shared" ca="1" si="10"/>
        <v>U</v>
      </c>
      <c r="D70" s="817" t="s">
        <v>1357</v>
      </c>
      <c r="E70" s="817" t="s">
        <v>870</v>
      </c>
      <c r="F70" s="817"/>
      <c r="G70" s="817"/>
      <c r="H70" s="817"/>
      <c r="I70" s="1307" t="str">
        <f t="shared" si="13"/>
        <v/>
      </c>
      <c r="J70" s="1351"/>
      <c r="K70" s="1351" t="str">
        <f t="shared" si="14"/>
        <v/>
      </c>
      <c r="L70" s="851" t="s">
        <v>1189</v>
      </c>
      <c r="M70" s="1351">
        <v>85</v>
      </c>
      <c r="N70" s="817"/>
      <c r="O70" s="1348"/>
      <c r="P70" s="1348"/>
      <c r="Q70" s="1348"/>
      <c r="R70" s="1348"/>
      <c r="S70" s="1348"/>
      <c r="T70" s="1348"/>
      <c r="U70" s="1348"/>
      <c r="V70" s="1348"/>
      <c r="W70" s="1348"/>
      <c r="X70" s="1348"/>
      <c r="Y70" s="1348"/>
      <c r="Z70" s="1348"/>
    </row>
    <row r="71" spans="1:26" x14ac:dyDescent="0.25">
      <c r="A71" s="863" t="s">
        <v>1339</v>
      </c>
      <c r="B71" s="817" t="str">
        <f t="shared" ca="1" si="12"/>
        <v>V8</v>
      </c>
      <c r="C71" s="817" t="str">
        <f t="shared" ca="1" si="10"/>
        <v>V</v>
      </c>
      <c r="D71" s="817" t="s">
        <v>1357</v>
      </c>
      <c r="E71" s="817" t="s">
        <v>870</v>
      </c>
      <c r="F71" s="817"/>
      <c r="G71" s="817"/>
      <c r="H71" s="817"/>
      <c r="I71" s="1307" t="str">
        <f t="shared" si="13"/>
        <v/>
      </c>
      <c r="J71" s="1351"/>
      <c r="K71" s="1351" t="str">
        <f t="shared" si="14"/>
        <v/>
      </c>
      <c r="L71" s="851" t="s">
        <v>1429</v>
      </c>
      <c r="M71" s="1351">
        <v>86</v>
      </c>
      <c r="N71" s="817"/>
      <c r="O71" s="1348"/>
      <c r="P71" s="1348"/>
      <c r="Q71" s="1348"/>
      <c r="R71" s="1348"/>
      <c r="S71" s="1348"/>
      <c r="T71" s="1348"/>
      <c r="U71" s="1348"/>
      <c r="V71" s="1348"/>
      <c r="W71" s="1348"/>
      <c r="X71" s="1348"/>
      <c r="Y71" s="1348"/>
      <c r="Z71" s="1348"/>
    </row>
    <row r="72" spans="1:26" x14ac:dyDescent="0.25">
      <c r="A72" s="863" t="s">
        <v>1632</v>
      </c>
      <c r="B72" s="817" t="str">
        <f t="shared" ca="1" si="12"/>
        <v>W8</v>
      </c>
      <c r="C72" s="817" t="str">
        <f t="shared" ca="1" si="10"/>
        <v>W</v>
      </c>
      <c r="D72" s="817" t="s">
        <v>1357</v>
      </c>
      <c r="E72" s="817" t="s">
        <v>870</v>
      </c>
      <c r="F72" s="817"/>
      <c r="G72" s="817"/>
      <c r="H72" s="817"/>
      <c r="I72" s="1307" t="str">
        <f t="shared" si="13"/>
        <v>Add or End Customer</v>
      </c>
      <c r="J72" s="1351" t="str">
        <f>IF(M72&lt;&gt;"",Q$1&amp;M72,"")</f>
        <v>F87</v>
      </c>
      <c r="K72" s="1351" t="str">
        <f t="shared" si="14"/>
        <v>Customer Inputs</v>
      </c>
      <c r="L72" s="851" t="s">
        <v>1632</v>
      </c>
      <c r="M72" s="1351">
        <v>87</v>
      </c>
      <c r="N72" s="817"/>
      <c r="O72" s="1348"/>
      <c r="P72" s="1348"/>
      <c r="Q72" s="1348"/>
      <c r="R72" s="1348"/>
      <c r="S72" s="1348"/>
      <c r="T72" s="1348"/>
      <c r="U72" s="1348"/>
      <c r="V72" s="1348"/>
      <c r="W72" s="1348"/>
      <c r="X72" s="1348"/>
      <c r="Y72" s="1348"/>
      <c r="Z72" s="134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7" t="str">
        <f t="shared" si="13"/>
        <v>Pyramid Segment</v>
      </c>
      <c r="J73" s="1351" t="str">
        <f>IF(AND(P1224="",M73&lt;&gt;""),Q$1&amp;M73,"")</f>
        <v>F98</v>
      </c>
      <c r="K73" s="1351" t="str">
        <f t="shared" si="14"/>
        <v>Customer Inputs</v>
      </c>
      <c r="L73" s="817" t="s">
        <v>1182</v>
      </c>
      <c r="M73" s="1351">
        <v>98</v>
      </c>
      <c r="N73" s="817"/>
      <c r="O73" s="1348"/>
      <c r="P73" s="1348"/>
      <c r="Q73" s="1348"/>
      <c r="R73" s="1348"/>
      <c r="S73" s="1348"/>
      <c r="T73" s="1348"/>
      <c r="U73" s="1348"/>
      <c r="V73" s="1348"/>
      <c r="W73" s="1348"/>
      <c r="X73" s="1348"/>
      <c r="Y73" s="1348"/>
      <c r="Z73" s="134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7" t="str">
        <f t="shared" si="13"/>
        <v>Agreement Annual Purchase Commitment</v>
      </c>
      <c r="J74" s="1351" t="str">
        <f>Q$1&amp;IF(Q74&lt;&gt;"",M74,M76)</f>
        <v>F102</v>
      </c>
      <c r="K74" s="1351" t="str">
        <f t="shared" si="14"/>
        <v>Customer Inputs</v>
      </c>
      <c r="L74" s="52" t="s">
        <v>1262</v>
      </c>
      <c r="M74" s="1351">
        <v>100</v>
      </c>
      <c r="N74" s="817"/>
      <c r="O74" s="1348"/>
      <c r="P74" s="1348"/>
      <c r="Q74" s="1348"/>
      <c r="R74" s="1348"/>
      <c r="S74" s="1348"/>
      <c r="T74" s="1348"/>
      <c r="U74" s="1348"/>
      <c r="V74" s="1348"/>
      <c r="W74" s="1348"/>
      <c r="X74" s="1348"/>
      <c r="Y74" s="1348"/>
      <c r="Z74" s="1348"/>
    </row>
    <row r="75" spans="1:26" ht="30" x14ac:dyDescent="0.25">
      <c r="A75" s="864" t="s">
        <v>1263</v>
      </c>
      <c r="B75" s="817" t="str">
        <f t="shared" ca="1" si="15"/>
        <v>J9</v>
      </c>
      <c r="C75" s="817" t="str">
        <f t="shared" ca="1" si="10"/>
        <v>J</v>
      </c>
      <c r="D75" s="817" t="s">
        <v>1357</v>
      </c>
      <c r="E75" s="817" t="s">
        <v>870</v>
      </c>
      <c r="F75" s="817"/>
      <c r="G75" s="817"/>
      <c r="H75" s="817"/>
      <c r="I75" s="1307" t="str">
        <f t="shared" si="13"/>
        <v>Agreement Deliveries Per Customer Unit Per Week</v>
      </c>
      <c r="J75" s="1351" t="str">
        <f>Q$1&amp;IF(Q75&lt;&gt;"",M75,M77)</f>
        <v>F103</v>
      </c>
      <c r="K75" s="1351" t="str">
        <f t="shared" si="14"/>
        <v>Customer Inputs</v>
      </c>
      <c r="L75" s="817" t="s">
        <v>1263</v>
      </c>
      <c r="M75" s="1351">
        <v>101</v>
      </c>
      <c r="N75" s="817"/>
      <c r="O75" s="1348"/>
      <c r="P75" s="1348"/>
      <c r="Q75" s="1348"/>
      <c r="R75" s="1348"/>
      <c r="S75" s="1348"/>
      <c r="T75" s="1348"/>
      <c r="U75" s="1348"/>
      <c r="V75" s="1348"/>
      <c r="W75" s="1348"/>
      <c r="X75" s="1348"/>
      <c r="Y75" s="1348"/>
      <c r="Z75" s="134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7" t="str">
        <f t="shared" si="13"/>
        <v/>
      </c>
      <c r="J76" s="1351"/>
      <c r="K76" s="1351" t="str">
        <f t="shared" si="14"/>
        <v/>
      </c>
      <c r="L76" s="817" t="s">
        <v>1185</v>
      </c>
      <c r="M76" s="1351">
        <v>102</v>
      </c>
      <c r="N76" s="817"/>
      <c r="O76" s="1348" t="s">
        <v>868</v>
      </c>
      <c r="P76" s="1348"/>
      <c r="Q76" s="1348"/>
      <c r="R76" s="1348"/>
      <c r="S76" s="1348"/>
      <c r="T76" s="1348"/>
      <c r="U76" s="1348"/>
      <c r="V76" s="1348"/>
      <c r="W76" s="1348"/>
      <c r="X76" s="1348"/>
      <c r="Y76" s="1348"/>
      <c r="Z76" s="134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7" t="str">
        <f t="shared" si="13"/>
        <v/>
      </c>
      <c r="J77" s="1351"/>
      <c r="K77" s="1351" t="str">
        <f t="shared" si="14"/>
        <v/>
      </c>
      <c r="L77" s="851" t="s">
        <v>1186</v>
      </c>
      <c r="M77" s="1351">
        <v>103</v>
      </c>
      <c r="N77" s="817"/>
      <c r="O77" s="1348" t="s">
        <v>1183</v>
      </c>
      <c r="P77" s="1348"/>
      <c r="Q77" s="1348"/>
      <c r="R77" s="1348"/>
      <c r="S77" s="1348"/>
      <c r="T77" s="1348"/>
      <c r="U77" s="1348"/>
      <c r="V77" s="1348"/>
      <c r="W77" s="1348"/>
      <c r="X77" s="1348"/>
      <c r="Y77" s="1348"/>
      <c r="Z77" s="134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7" t="str">
        <f t="shared" si="13"/>
        <v/>
      </c>
      <c r="J78" s="1532"/>
      <c r="K78" s="1351" t="str">
        <f t="shared" si="14"/>
        <v/>
      </c>
      <c r="L78" s="851" t="s">
        <v>1187</v>
      </c>
      <c r="M78" s="1351">
        <v>104</v>
      </c>
      <c r="N78" s="817"/>
      <c r="O78" s="1348" t="s">
        <v>1190</v>
      </c>
      <c r="P78" s="1348"/>
      <c r="Q78" s="1348"/>
      <c r="R78" s="1348"/>
      <c r="S78" s="1348"/>
      <c r="T78" s="1348"/>
      <c r="U78" s="1348"/>
      <c r="V78" s="1348"/>
      <c r="W78" s="1348"/>
      <c r="X78" s="1348"/>
      <c r="Y78" s="1348"/>
      <c r="Z78" s="134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7" t="str">
        <f t="shared" si="13"/>
        <v/>
      </c>
      <c r="J79" s="1351"/>
      <c r="K79" s="1351" t="str">
        <f t="shared" si="14"/>
        <v/>
      </c>
      <c r="L79" s="851" t="s">
        <v>1188</v>
      </c>
      <c r="M79" s="1351">
        <v>105</v>
      </c>
      <c r="N79" s="817"/>
      <c r="O79" s="1348" t="s">
        <v>1184</v>
      </c>
      <c r="P79" s="1348"/>
      <c r="Q79" s="1348"/>
      <c r="R79" s="1348"/>
      <c r="S79" s="1348"/>
      <c r="T79" s="1348"/>
      <c r="U79" s="1348"/>
      <c r="V79" s="1348"/>
      <c r="W79" s="1348"/>
      <c r="X79" s="1348"/>
      <c r="Y79" s="1348"/>
      <c r="Z79" s="1348"/>
    </row>
    <row r="80" spans="1:26" x14ac:dyDescent="0.25">
      <c r="A80" s="866" t="s">
        <v>1189</v>
      </c>
      <c r="B80" s="817" t="str">
        <f t="shared" ca="1" si="15"/>
        <v>U9</v>
      </c>
      <c r="C80" s="817" t="str">
        <f t="shared" ca="1" si="10"/>
        <v>U</v>
      </c>
      <c r="D80" s="817" t="s">
        <v>1357</v>
      </c>
      <c r="E80" s="817" t="s">
        <v>870</v>
      </c>
      <c r="F80" s="817"/>
      <c r="G80" s="817"/>
      <c r="H80" s="817"/>
      <c r="I80" s="1307" t="str">
        <f t="shared" si="13"/>
        <v/>
      </c>
      <c r="J80" s="1351"/>
      <c r="K80" s="1351" t="str">
        <f t="shared" si="14"/>
        <v/>
      </c>
      <c r="L80" s="851" t="s">
        <v>1189</v>
      </c>
      <c r="M80" s="1351">
        <v>106</v>
      </c>
      <c r="N80" s="817"/>
      <c r="O80" s="1348"/>
      <c r="P80" s="1348"/>
      <c r="Q80" s="1348"/>
      <c r="R80" s="1348"/>
      <c r="S80" s="1348"/>
      <c r="T80" s="1348"/>
      <c r="U80" s="1348"/>
      <c r="V80" s="1348"/>
      <c r="W80" s="1348"/>
      <c r="X80" s="1348"/>
      <c r="Y80" s="1348"/>
      <c r="Z80" s="1348"/>
    </row>
    <row r="81" spans="1:26" x14ac:dyDescent="0.25">
      <c r="A81" s="866" t="s">
        <v>1339</v>
      </c>
      <c r="B81" s="817" t="str">
        <f t="shared" ca="1" si="15"/>
        <v>V9</v>
      </c>
      <c r="C81" s="817" t="str">
        <f t="shared" ca="1" si="10"/>
        <v>V</v>
      </c>
      <c r="D81" s="817" t="s">
        <v>1357</v>
      </c>
      <c r="E81" s="817" t="s">
        <v>870</v>
      </c>
      <c r="F81" s="817"/>
      <c r="G81" s="817"/>
      <c r="H81" s="817"/>
      <c r="I81" s="1307" t="str">
        <f t="shared" si="13"/>
        <v/>
      </c>
      <c r="J81" s="1351"/>
      <c r="K81" s="1351" t="str">
        <f t="shared" si="14"/>
        <v/>
      </c>
      <c r="L81" s="851" t="s">
        <v>1429</v>
      </c>
      <c r="M81" s="1351">
        <v>107</v>
      </c>
      <c r="N81" s="817"/>
      <c r="O81" s="1348"/>
      <c r="P81" s="1348"/>
      <c r="Q81" s="1348"/>
      <c r="R81" s="1348"/>
      <c r="S81" s="1348"/>
      <c r="T81" s="1348"/>
      <c r="U81" s="1348"/>
      <c r="V81" s="1348"/>
      <c r="W81" s="1348"/>
      <c r="X81" s="1348"/>
      <c r="Y81" s="1348"/>
      <c r="Z81" s="1348"/>
    </row>
    <row r="82" spans="1:26" x14ac:dyDescent="0.25">
      <c r="A82" s="866" t="s">
        <v>1632</v>
      </c>
      <c r="B82" s="817" t="str">
        <f t="shared" ca="1" si="15"/>
        <v>W9</v>
      </c>
      <c r="C82" s="817" t="str">
        <f t="shared" ca="1" si="10"/>
        <v>W</v>
      </c>
      <c r="D82" s="817" t="s">
        <v>1357</v>
      </c>
      <c r="E82" s="817" t="s">
        <v>870</v>
      </c>
      <c r="F82" s="817"/>
      <c r="G82" s="817"/>
      <c r="H82" s="817"/>
      <c r="I82" s="1307" t="str">
        <f t="shared" si="13"/>
        <v>Add or End Customer</v>
      </c>
      <c r="J82" s="1351" t="str">
        <f>IF(M82&lt;&gt;"",Q$1&amp;M82,"")</f>
        <v>F108</v>
      </c>
      <c r="K82" s="1351" t="str">
        <f t="shared" si="14"/>
        <v>Customer Inputs</v>
      </c>
      <c r="L82" s="851" t="s">
        <v>1632</v>
      </c>
      <c r="M82" s="1351">
        <v>108</v>
      </c>
      <c r="N82" s="817"/>
      <c r="O82" s="1348"/>
      <c r="P82" s="1348"/>
      <c r="Q82" s="1348"/>
      <c r="R82" s="1348"/>
      <c r="S82" s="1348"/>
      <c r="T82" s="1348"/>
      <c r="U82" s="1348"/>
      <c r="V82" s="1348"/>
      <c r="W82" s="1348"/>
      <c r="X82" s="1348"/>
      <c r="Y82" s="1348"/>
      <c r="Z82" s="134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7" t="str">
        <f t="shared" si="13"/>
        <v>Pyramid Segment</v>
      </c>
      <c r="J83" s="1351" t="str">
        <f>IF(AND(P1225="",M83&lt;&gt;""),Q$1&amp;M83,"")</f>
        <v>F119</v>
      </c>
      <c r="K83" s="1351" t="str">
        <f t="shared" si="14"/>
        <v>Customer Inputs</v>
      </c>
      <c r="L83" s="817" t="s">
        <v>1182</v>
      </c>
      <c r="M83" s="1351">
        <v>119</v>
      </c>
      <c r="N83" s="817"/>
      <c r="O83" s="1348"/>
      <c r="P83" s="1348"/>
      <c r="Q83" s="1348"/>
      <c r="R83" s="1348"/>
      <c r="S83" s="1348"/>
      <c r="T83" s="1348"/>
      <c r="U83" s="1348"/>
      <c r="V83" s="1348"/>
      <c r="W83" s="1348"/>
      <c r="X83" s="1348"/>
      <c r="Y83" s="1348"/>
      <c r="Z83" s="134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7" t="str">
        <f t="shared" si="13"/>
        <v>Agreement Annual Purchase Commitment</v>
      </c>
      <c r="J84" s="1351" t="str">
        <f>Q$1&amp;IF(Q84&lt;&gt;"",M84,M86)</f>
        <v>F123</v>
      </c>
      <c r="K84" s="1351" t="str">
        <f t="shared" si="14"/>
        <v>Customer Inputs</v>
      </c>
      <c r="L84" s="52" t="s">
        <v>1262</v>
      </c>
      <c r="M84" s="1351">
        <v>121</v>
      </c>
      <c r="N84" s="817"/>
      <c r="O84" s="1348"/>
      <c r="P84" s="1348"/>
      <c r="Q84" s="1348"/>
      <c r="R84" s="1348"/>
      <c r="S84" s="1348"/>
      <c r="T84" s="1348"/>
      <c r="U84" s="1348"/>
      <c r="V84" s="1348"/>
      <c r="W84" s="1348"/>
      <c r="X84" s="1348"/>
      <c r="Y84" s="1348"/>
      <c r="Z84" s="1348"/>
    </row>
    <row r="85" spans="1:26" ht="30" x14ac:dyDescent="0.25">
      <c r="A85" s="861" t="s">
        <v>1263</v>
      </c>
      <c r="B85" s="817" t="str">
        <f t="shared" ca="1" si="16"/>
        <v>J10</v>
      </c>
      <c r="C85" s="817" t="str">
        <f t="shared" ca="1" si="10"/>
        <v>J</v>
      </c>
      <c r="D85" s="817" t="s">
        <v>1357</v>
      </c>
      <c r="E85" s="817" t="s">
        <v>870</v>
      </c>
      <c r="F85" s="817"/>
      <c r="G85" s="817"/>
      <c r="H85" s="817"/>
      <c r="I85" s="1307" t="str">
        <f t="shared" si="13"/>
        <v>Agreement Deliveries Per Customer Unit Per Week</v>
      </c>
      <c r="J85" s="1351" t="str">
        <f>Q$1&amp;IF(Q85&lt;&gt;"",M85,M87)</f>
        <v>F124</v>
      </c>
      <c r="K85" s="1351" t="str">
        <f t="shared" si="14"/>
        <v>Customer Inputs</v>
      </c>
      <c r="L85" s="817" t="s">
        <v>1263</v>
      </c>
      <c r="M85" s="1351">
        <v>122</v>
      </c>
      <c r="N85" s="817"/>
      <c r="O85" s="1348"/>
      <c r="P85" s="1348"/>
      <c r="Q85" s="1348"/>
      <c r="R85" s="1348"/>
      <c r="S85" s="1348"/>
      <c r="T85" s="1348"/>
      <c r="U85" s="1348"/>
      <c r="V85" s="1348"/>
      <c r="W85" s="1348"/>
      <c r="X85" s="1348"/>
      <c r="Y85" s="1348"/>
      <c r="Z85" s="134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7" t="str">
        <f t="shared" si="13"/>
        <v/>
      </c>
      <c r="J86" s="1351"/>
      <c r="K86" s="1351" t="str">
        <f t="shared" si="14"/>
        <v/>
      </c>
      <c r="L86" s="817" t="s">
        <v>1185</v>
      </c>
      <c r="M86" s="1351">
        <v>123</v>
      </c>
      <c r="N86" s="817"/>
      <c r="O86" s="1348" t="s">
        <v>868</v>
      </c>
      <c r="P86" s="1348"/>
      <c r="Q86" s="1348"/>
      <c r="R86" s="1348"/>
      <c r="S86" s="1348"/>
      <c r="T86" s="1348"/>
      <c r="U86" s="1348"/>
      <c r="V86" s="1348"/>
      <c r="W86" s="1348"/>
      <c r="X86" s="1348"/>
      <c r="Y86" s="1348"/>
      <c r="Z86" s="134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7" t="str">
        <f t="shared" si="13"/>
        <v/>
      </c>
      <c r="J87" s="1351"/>
      <c r="K87" s="1351" t="str">
        <f t="shared" si="14"/>
        <v/>
      </c>
      <c r="L87" s="851" t="s">
        <v>1186</v>
      </c>
      <c r="M87" s="1351">
        <v>124</v>
      </c>
      <c r="N87" s="817"/>
      <c r="O87" s="1348" t="s">
        <v>1183</v>
      </c>
      <c r="P87" s="1348"/>
      <c r="Q87" s="1348"/>
      <c r="R87" s="1348"/>
      <c r="S87" s="1348"/>
      <c r="T87" s="1348"/>
      <c r="U87" s="1348"/>
      <c r="V87" s="1348"/>
      <c r="W87" s="1348"/>
      <c r="X87" s="1348"/>
      <c r="Y87" s="1348"/>
      <c r="Z87" s="134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7" t="str">
        <f t="shared" si="13"/>
        <v/>
      </c>
      <c r="J88" s="1532"/>
      <c r="K88" s="1351" t="str">
        <f t="shared" si="14"/>
        <v/>
      </c>
      <c r="L88" s="851" t="s">
        <v>1187</v>
      </c>
      <c r="M88" s="1351">
        <v>125</v>
      </c>
      <c r="N88" s="817"/>
      <c r="O88" s="1348" t="s">
        <v>1190</v>
      </c>
      <c r="P88" s="1348"/>
      <c r="Q88" s="1348"/>
      <c r="R88" s="1348"/>
      <c r="S88" s="1348"/>
      <c r="T88" s="1348"/>
      <c r="U88" s="1348"/>
      <c r="V88" s="1348"/>
      <c r="W88" s="1348"/>
      <c r="X88" s="1348"/>
      <c r="Y88" s="1348"/>
      <c r="Z88" s="134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7" t="str">
        <f t="shared" si="13"/>
        <v/>
      </c>
      <c r="J89" s="1351"/>
      <c r="K89" s="1351" t="str">
        <f t="shared" si="14"/>
        <v/>
      </c>
      <c r="L89" s="851" t="s">
        <v>1188</v>
      </c>
      <c r="M89" s="1351">
        <v>126</v>
      </c>
      <c r="N89" s="817"/>
      <c r="O89" s="1348" t="s">
        <v>1184</v>
      </c>
      <c r="P89" s="1348"/>
      <c r="Q89" s="1348"/>
      <c r="R89" s="1348"/>
      <c r="S89" s="1348"/>
      <c r="T89" s="1348"/>
      <c r="U89" s="1348"/>
      <c r="V89" s="1348"/>
      <c r="W89" s="1348"/>
      <c r="X89" s="1348"/>
      <c r="Y89" s="1348"/>
      <c r="Z89" s="1348"/>
    </row>
    <row r="90" spans="1:26" x14ac:dyDescent="0.25">
      <c r="A90" s="863" t="s">
        <v>1189</v>
      </c>
      <c r="B90" s="817" t="str">
        <f t="shared" ca="1" si="16"/>
        <v>U10</v>
      </c>
      <c r="C90" s="817" t="str">
        <f t="shared" ca="1" si="10"/>
        <v>U</v>
      </c>
      <c r="D90" s="817" t="s">
        <v>1357</v>
      </c>
      <c r="E90" s="817" t="s">
        <v>870</v>
      </c>
      <c r="F90" s="817"/>
      <c r="G90" s="817"/>
      <c r="H90" s="817"/>
      <c r="I90" s="1307" t="str">
        <f t="shared" si="13"/>
        <v/>
      </c>
      <c r="J90" s="1351"/>
      <c r="K90" s="1351" t="str">
        <f t="shared" si="14"/>
        <v/>
      </c>
      <c r="L90" s="851" t="s">
        <v>1189</v>
      </c>
      <c r="M90" s="1351">
        <v>127</v>
      </c>
      <c r="N90" s="817"/>
      <c r="O90" s="1348"/>
      <c r="P90" s="1348"/>
      <c r="Q90" s="1348"/>
      <c r="R90" s="1348"/>
      <c r="S90" s="1348"/>
      <c r="T90" s="1348"/>
      <c r="U90" s="1348"/>
      <c r="V90" s="1348"/>
      <c r="W90" s="1348"/>
      <c r="X90" s="1348"/>
      <c r="Y90" s="1348"/>
      <c r="Z90" s="1348"/>
    </row>
    <row r="91" spans="1:26" x14ac:dyDescent="0.25">
      <c r="A91" s="863" t="s">
        <v>1339</v>
      </c>
      <c r="B91" s="817" t="str">
        <f t="shared" ca="1" si="16"/>
        <v>V10</v>
      </c>
      <c r="C91" s="817" t="str">
        <f t="shared" ca="1" si="10"/>
        <v>V</v>
      </c>
      <c r="D91" s="817" t="s">
        <v>1357</v>
      </c>
      <c r="E91" s="817" t="s">
        <v>870</v>
      </c>
      <c r="F91" s="817"/>
      <c r="G91" s="817"/>
      <c r="H91" s="817"/>
      <c r="I91" s="1307" t="str">
        <f t="shared" si="13"/>
        <v/>
      </c>
      <c r="J91" s="1351"/>
      <c r="K91" s="1351" t="str">
        <f t="shared" si="14"/>
        <v/>
      </c>
      <c r="L91" s="851" t="s">
        <v>1429</v>
      </c>
      <c r="M91" s="1351">
        <v>128</v>
      </c>
      <c r="N91" s="817"/>
      <c r="O91" s="1348"/>
      <c r="P91" s="1348"/>
      <c r="Q91" s="1348"/>
      <c r="R91" s="1348"/>
      <c r="S91" s="1348"/>
      <c r="T91" s="1348"/>
      <c r="U91" s="1348"/>
      <c r="V91" s="1348"/>
      <c r="W91" s="1348"/>
      <c r="X91" s="1348"/>
      <c r="Y91" s="1348"/>
      <c r="Z91" s="1348"/>
    </row>
    <row r="92" spans="1:26" x14ac:dyDescent="0.25">
      <c r="A92" s="863" t="s">
        <v>1632</v>
      </c>
      <c r="B92" s="817" t="str">
        <f t="shared" ca="1" si="16"/>
        <v>W10</v>
      </c>
      <c r="C92" s="817" t="str">
        <f t="shared" ca="1" si="10"/>
        <v>W</v>
      </c>
      <c r="D92" s="817" t="s">
        <v>1357</v>
      </c>
      <c r="E92" s="817" t="s">
        <v>870</v>
      </c>
      <c r="F92" s="817"/>
      <c r="G92" s="817"/>
      <c r="H92" s="817"/>
      <c r="I92" s="1307" t="str">
        <f t="shared" si="13"/>
        <v>Add or End Customer</v>
      </c>
      <c r="J92" s="1351" t="str">
        <f>IF(M92&lt;&gt;"",Q$1&amp;M92,"")</f>
        <v>F129</v>
      </c>
      <c r="K92" s="1351" t="str">
        <f t="shared" si="14"/>
        <v>Customer Inputs</v>
      </c>
      <c r="L92" s="851" t="s">
        <v>1632</v>
      </c>
      <c r="M92" s="1351">
        <v>129</v>
      </c>
      <c r="N92" s="817"/>
      <c r="O92" s="1348"/>
      <c r="P92" s="1348"/>
      <c r="Q92" s="1348"/>
      <c r="R92" s="1348"/>
      <c r="S92" s="1348"/>
      <c r="T92" s="1348"/>
      <c r="U92" s="1348"/>
      <c r="V92" s="1348"/>
      <c r="W92" s="1348"/>
      <c r="X92" s="1348"/>
      <c r="Y92" s="1348"/>
      <c r="Z92" s="134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7" t="str">
        <f t="shared" si="13"/>
        <v>Pyramid Segment</v>
      </c>
      <c r="J93" s="1351" t="str">
        <f>IF(AND(P1226="",M93&lt;&gt;""),Q$1&amp;M93,"")</f>
        <v>F140</v>
      </c>
      <c r="K93" s="1351" t="str">
        <f t="shared" si="14"/>
        <v>Customer Inputs</v>
      </c>
      <c r="L93" s="817" t="s">
        <v>1182</v>
      </c>
      <c r="M93" s="1351">
        <v>140</v>
      </c>
      <c r="N93" s="817"/>
      <c r="O93" s="1348"/>
      <c r="P93" s="1348"/>
      <c r="Q93" s="1348"/>
      <c r="R93" s="1348"/>
      <c r="S93" s="1348"/>
      <c r="T93" s="1348"/>
      <c r="U93" s="1348"/>
      <c r="V93" s="1348"/>
      <c r="W93" s="1348"/>
      <c r="X93" s="1348"/>
      <c r="Y93" s="1348"/>
      <c r="Z93" s="134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7" t="str">
        <f t="shared" si="13"/>
        <v>Agreement Annual Purchase Commitment</v>
      </c>
      <c r="J94" s="1351" t="str">
        <f>Q$1&amp;IF(Q94&lt;&gt;"",M94,M96)</f>
        <v>F144</v>
      </c>
      <c r="K94" s="1351" t="str">
        <f t="shared" si="14"/>
        <v>Customer Inputs</v>
      </c>
      <c r="L94" s="52" t="s">
        <v>1262</v>
      </c>
      <c r="M94" s="1351">
        <v>142</v>
      </c>
      <c r="N94" s="817"/>
      <c r="O94" s="1348"/>
      <c r="P94" s="1348"/>
      <c r="Q94" s="1348"/>
      <c r="R94" s="1348"/>
      <c r="S94" s="1348"/>
      <c r="T94" s="1348"/>
      <c r="U94" s="1348"/>
      <c r="V94" s="1348"/>
      <c r="W94" s="1348"/>
      <c r="X94" s="1348"/>
      <c r="Y94" s="1348"/>
      <c r="Z94" s="1348"/>
    </row>
    <row r="95" spans="1:26" ht="30" x14ac:dyDescent="0.25">
      <c r="A95" s="864" t="s">
        <v>1263</v>
      </c>
      <c r="B95" s="817" t="str">
        <f t="shared" ca="1" si="17"/>
        <v>J11</v>
      </c>
      <c r="C95" s="817" t="str">
        <f t="shared" ca="1" si="10"/>
        <v>J</v>
      </c>
      <c r="D95" s="817" t="s">
        <v>1357</v>
      </c>
      <c r="E95" s="817" t="s">
        <v>870</v>
      </c>
      <c r="F95" s="817"/>
      <c r="G95" s="817"/>
      <c r="H95" s="817"/>
      <c r="I95" s="1307" t="str">
        <f t="shared" si="13"/>
        <v>Agreement Deliveries Per Customer Unit Per Week</v>
      </c>
      <c r="J95" s="1351" t="str">
        <f>Q$1&amp;IF(Q95&lt;&gt;"",M95,M97)</f>
        <v>F145</v>
      </c>
      <c r="K95" s="1351" t="str">
        <f t="shared" si="14"/>
        <v>Customer Inputs</v>
      </c>
      <c r="L95" s="817" t="s">
        <v>1263</v>
      </c>
      <c r="M95" s="1351">
        <v>143</v>
      </c>
      <c r="N95" s="817"/>
      <c r="O95" s="1348"/>
      <c r="P95" s="1348"/>
      <c r="Q95" s="1348"/>
      <c r="R95" s="1348"/>
      <c r="S95" s="1348"/>
      <c r="T95" s="1348"/>
      <c r="U95" s="1348"/>
      <c r="V95" s="1348"/>
      <c r="W95" s="1348"/>
      <c r="X95" s="1348"/>
      <c r="Y95" s="1348"/>
      <c r="Z95" s="134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7" t="str">
        <f t="shared" si="13"/>
        <v/>
      </c>
      <c r="J96" s="1351"/>
      <c r="K96" s="1351" t="str">
        <f t="shared" si="14"/>
        <v/>
      </c>
      <c r="L96" s="817" t="s">
        <v>1185</v>
      </c>
      <c r="M96" s="1351">
        <v>144</v>
      </c>
      <c r="N96" s="817"/>
      <c r="O96" s="1348" t="s">
        <v>868</v>
      </c>
      <c r="P96" s="1348"/>
      <c r="Q96" s="1348"/>
      <c r="R96" s="1348"/>
      <c r="S96" s="1348"/>
      <c r="T96" s="1348"/>
      <c r="U96" s="1348"/>
      <c r="V96" s="1348"/>
      <c r="W96" s="1348"/>
      <c r="X96" s="1348"/>
      <c r="Y96" s="1348"/>
      <c r="Z96" s="134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7" t="str">
        <f t="shared" si="13"/>
        <v/>
      </c>
      <c r="J97" s="1351"/>
      <c r="K97" s="1351" t="str">
        <f t="shared" si="14"/>
        <v/>
      </c>
      <c r="L97" s="851" t="s">
        <v>1186</v>
      </c>
      <c r="M97" s="1351">
        <v>145</v>
      </c>
      <c r="N97" s="817"/>
      <c r="O97" s="1348" t="s">
        <v>1183</v>
      </c>
      <c r="P97" s="1348"/>
      <c r="Q97" s="1348"/>
      <c r="R97" s="1348"/>
      <c r="S97" s="1348"/>
      <c r="T97" s="1348"/>
      <c r="U97" s="1348"/>
      <c r="V97" s="1348"/>
      <c r="W97" s="1348"/>
      <c r="X97" s="1348"/>
      <c r="Y97" s="1348"/>
      <c r="Z97" s="134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7" t="str">
        <f t="shared" si="13"/>
        <v/>
      </c>
      <c r="J98" s="1532"/>
      <c r="K98" s="1351" t="str">
        <f t="shared" si="14"/>
        <v/>
      </c>
      <c r="L98" s="851" t="s">
        <v>1187</v>
      </c>
      <c r="M98" s="1351">
        <v>146</v>
      </c>
      <c r="N98" s="817"/>
      <c r="O98" s="1348" t="s">
        <v>1190</v>
      </c>
      <c r="P98" s="1348"/>
      <c r="Q98" s="1348"/>
      <c r="R98" s="1348"/>
      <c r="S98" s="1348"/>
      <c r="T98" s="1348"/>
      <c r="U98" s="1348"/>
      <c r="V98" s="1348"/>
      <c r="W98" s="1348"/>
      <c r="X98" s="1348"/>
      <c r="Y98" s="1348"/>
      <c r="Z98" s="134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1"/>
      <c r="G99" s="1351"/>
      <c r="H99" s="1351"/>
      <c r="I99" s="1307" t="str">
        <f t="shared" si="13"/>
        <v/>
      </c>
      <c r="J99" s="1351"/>
      <c r="K99" s="1351" t="str">
        <f t="shared" si="14"/>
        <v/>
      </c>
      <c r="L99" s="851" t="s">
        <v>1188</v>
      </c>
      <c r="M99" s="1351">
        <v>147</v>
      </c>
      <c r="N99" s="1351"/>
      <c r="O99" s="1348" t="s">
        <v>1184</v>
      </c>
      <c r="P99" s="1348"/>
      <c r="Q99" s="1348"/>
      <c r="R99" s="1348"/>
      <c r="S99" s="1348"/>
      <c r="T99" s="1348"/>
      <c r="U99" s="1348"/>
      <c r="V99" s="1348"/>
      <c r="W99" s="1348"/>
      <c r="X99" s="1348"/>
      <c r="Y99" s="1348"/>
      <c r="Z99" s="1348"/>
    </row>
    <row r="100" spans="1:26" x14ac:dyDescent="0.25">
      <c r="A100" s="866" t="s">
        <v>1189</v>
      </c>
      <c r="B100" s="817" t="str">
        <f t="shared" ca="1" si="17"/>
        <v>U11</v>
      </c>
      <c r="C100" s="817" t="str">
        <f t="shared" ca="1" si="10"/>
        <v>U</v>
      </c>
      <c r="D100" s="817" t="s">
        <v>1357</v>
      </c>
      <c r="E100" s="817" t="s">
        <v>870</v>
      </c>
      <c r="F100" s="1351"/>
      <c r="G100" s="1351"/>
      <c r="H100" s="1351"/>
      <c r="I100" s="1307" t="str">
        <f t="shared" si="13"/>
        <v/>
      </c>
      <c r="J100" s="1351"/>
      <c r="K100" s="1351" t="str">
        <f t="shared" si="14"/>
        <v/>
      </c>
      <c r="L100" s="851" t="s">
        <v>1189</v>
      </c>
      <c r="M100" s="1351">
        <v>148</v>
      </c>
      <c r="N100" s="1351"/>
      <c r="O100" s="1348"/>
      <c r="P100" s="1348"/>
      <c r="Q100" s="1348"/>
      <c r="R100" s="1348"/>
      <c r="S100" s="1348"/>
      <c r="T100" s="1348"/>
      <c r="U100" s="1348"/>
      <c r="V100" s="1348"/>
      <c r="W100" s="1348"/>
      <c r="X100" s="1348"/>
      <c r="Y100" s="1348"/>
      <c r="Z100" s="1348"/>
    </row>
    <row r="101" spans="1:26" x14ac:dyDescent="0.25">
      <c r="A101" s="866" t="s">
        <v>1339</v>
      </c>
      <c r="B101" s="817" t="str">
        <f t="shared" ca="1" si="17"/>
        <v>V11</v>
      </c>
      <c r="C101" s="817" t="str">
        <f t="shared" ca="1" si="10"/>
        <v>V</v>
      </c>
      <c r="D101" s="817" t="s">
        <v>1357</v>
      </c>
      <c r="E101" s="817" t="s">
        <v>870</v>
      </c>
      <c r="F101" s="1351"/>
      <c r="G101" s="1351"/>
      <c r="H101" s="1351"/>
      <c r="I101" s="1307" t="str">
        <f t="shared" si="13"/>
        <v/>
      </c>
      <c r="J101" s="1351"/>
      <c r="K101" s="1351" t="str">
        <f t="shared" si="14"/>
        <v/>
      </c>
      <c r="L101" s="851" t="s">
        <v>1429</v>
      </c>
      <c r="M101" s="1351">
        <v>149</v>
      </c>
      <c r="N101" s="1351"/>
      <c r="O101" s="1348"/>
      <c r="P101" s="1348"/>
      <c r="Q101" s="1348"/>
      <c r="R101" s="1348"/>
      <c r="S101" s="1348"/>
      <c r="T101" s="1348"/>
      <c r="U101" s="1348"/>
      <c r="V101" s="1348"/>
      <c r="W101" s="1348"/>
      <c r="X101" s="1348"/>
      <c r="Y101" s="1348"/>
      <c r="Z101" s="1348"/>
    </row>
    <row r="102" spans="1:26" x14ac:dyDescent="0.25">
      <c r="A102" s="866" t="s">
        <v>1632</v>
      </c>
      <c r="B102" s="817" t="str">
        <f t="shared" ca="1" si="17"/>
        <v>W11</v>
      </c>
      <c r="C102" s="817" t="str">
        <f t="shared" ca="1" si="10"/>
        <v>W</v>
      </c>
      <c r="D102" s="817" t="s">
        <v>1357</v>
      </c>
      <c r="E102" s="817" t="s">
        <v>870</v>
      </c>
      <c r="F102" s="1351"/>
      <c r="G102" s="1351"/>
      <c r="H102" s="1351"/>
      <c r="I102" s="1307" t="str">
        <f t="shared" si="13"/>
        <v>Add or End Customer</v>
      </c>
      <c r="J102" s="1351" t="str">
        <f>IF(M102&lt;&gt;"",Q$1&amp;M102,"")</f>
        <v>F150</v>
      </c>
      <c r="K102" s="1351" t="str">
        <f t="shared" si="14"/>
        <v>Customer Inputs</v>
      </c>
      <c r="L102" s="851" t="s">
        <v>1632</v>
      </c>
      <c r="M102" s="1351">
        <v>150</v>
      </c>
      <c r="N102" s="1351"/>
      <c r="O102" s="1348"/>
      <c r="P102" s="1348"/>
      <c r="Q102" s="1348"/>
      <c r="R102" s="1348"/>
      <c r="S102" s="1348"/>
      <c r="T102" s="1348"/>
      <c r="U102" s="1348"/>
      <c r="V102" s="1348"/>
      <c r="W102" s="1348"/>
      <c r="X102" s="1348"/>
      <c r="Y102" s="1348"/>
      <c r="Z102" s="134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1"/>
      <c r="G103" s="1351"/>
      <c r="H103" s="1351"/>
      <c r="I103" s="1307" t="str">
        <f t="shared" si="13"/>
        <v>Pyramid Segment</v>
      </c>
      <c r="J103" s="1351" t="str">
        <f>IF(AND(P1227="",M103&lt;&gt;""),Q$1&amp;M103,"")</f>
        <v>F161</v>
      </c>
      <c r="K103" s="1351" t="str">
        <f t="shared" si="14"/>
        <v>Customer Inputs</v>
      </c>
      <c r="L103" s="817" t="s">
        <v>1182</v>
      </c>
      <c r="M103" s="1351">
        <v>161</v>
      </c>
      <c r="N103" s="1351"/>
      <c r="O103" s="1348"/>
      <c r="P103" s="1348"/>
      <c r="Q103" s="1348"/>
      <c r="R103" s="1348"/>
      <c r="S103" s="1348"/>
      <c r="T103" s="1348"/>
      <c r="U103" s="1348"/>
      <c r="V103" s="1348"/>
      <c r="W103" s="1348"/>
      <c r="X103" s="1348"/>
      <c r="Y103" s="1348"/>
      <c r="Z103" s="134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1" t="s">
        <v>1263</v>
      </c>
      <c r="B105" s="817" t="str">
        <f t="shared" ca="1" si="18"/>
        <v>J12</v>
      </c>
      <c r="C105" s="817" t="str">
        <f t="shared" ca="1" si="10"/>
        <v>J</v>
      </c>
      <c r="D105" s="817" t="s">
        <v>1357</v>
      </c>
      <c r="E105" s="817" t="s">
        <v>870</v>
      </c>
      <c r="F105" s="1351"/>
      <c r="G105" s="1351"/>
      <c r="H105" s="1351"/>
      <c r="I105" s="1307" t="str">
        <f t="shared" si="13"/>
        <v>Agreement Deliveries Per Customer Unit Per Week</v>
      </c>
      <c r="J105" s="1351" t="str">
        <f>Q$1&amp;IF(Q105&lt;&gt;"",M105,M107)</f>
        <v>F166</v>
      </c>
      <c r="K105" s="1351" t="str">
        <f t="shared" si="14"/>
        <v>Customer Inputs</v>
      </c>
      <c r="L105" s="817" t="s">
        <v>1263</v>
      </c>
      <c r="M105" s="1351">
        <v>164</v>
      </c>
      <c r="N105" s="1351"/>
      <c r="O105" s="1348"/>
      <c r="P105" s="1348"/>
      <c r="Q105" s="1348"/>
      <c r="R105" s="1348"/>
      <c r="S105" s="1348"/>
      <c r="T105" s="1348"/>
      <c r="U105" s="1348"/>
      <c r="V105" s="1348"/>
      <c r="W105" s="1348"/>
      <c r="X105" s="1348"/>
      <c r="Y105" s="1348"/>
      <c r="Z105" s="134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1"/>
      <c r="G106" s="1351"/>
      <c r="H106" s="1351"/>
      <c r="I106" s="1307" t="str">
        <f t="shared" si="13"/>
        <v/>
      </c>
      <c r="J106" s="1351"/>
      <c r="K106" s="1351" t="str">
        <f t="shared" si="14"/>
        <v/>
      </c>
      <c r="L106" s="817" t="s">
        <v>1185</v>
      </c>
      <c r="M106" s="1351">
        <v>165</v>
      </c>
      <c r="N106" s="1351"/>
      <c r="O106" s="1348" t="s">
        <v>868</v>
      </c>
      <c r="P106" s="1348"/>
      <c r="Q106" s="1348"/>
      <c r="R106" s="1348"/>
      <c r="S106" s="1348"/>
      <c r="T106" s="1348"/>
      <c r="U106" s="1348"/>
      <c r="V106" s="1348"/>
      <c r="W106" s="1348"/>
      <c r="X106" s="1348"/>
      <c r="Y106" s="1348"/>
      <c r="Z106" s="134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1"/>
      <c r="G107" s="1351"/>
      <c r="H107" s="1351"/>
      <c r="I107" s="1307" t="str">
        <f t="shared" si="13"/>
        <v/>
      </c>
      <c r="J107" s="1351"/>
      <c r="K107" s="1351" t="str">
        <f t="shared" si="14"/>
        <v/>
      </c>
      <c r="L107" s="851"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1"/>
      <c r="G108" s="1351"/>
      <c r="H108" s="1351"/>
      <c r="I108" s="1307" t="str">
        <f t="shared" si="13"/>
        <v/>
      </c>
      <c r="J108" s="1532"/>
      <c r="K108" s="1351" t="str">
        <f t="shared" si="14"/>
        <v/>
      </c>
      <c r="L108" s="851"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1"/>
      <c r="G109" s="1351"/>
      <c r="H109" s="1351"/>
      <c r="I109" s="1307" t="str">
        <f t="shared" si="13"/>
        <v/>
      </c>
      <c r="J109" s="1351"/>
      <c r="K109" s="1351" t="str">
        <f t="shared" si="14"/>
        <v/>
      </c>
      <c r="L109" s="851"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3" t="s">
        <v>1189</v>
      </c>
      <c r="B110" s="817" t="str">
        <f t="shared" ca="1" si="18"/>
        <v>U12</v>
      </c>
      <c r="C110" s="817" t="str">
        <f t="shared" ca="1" si="10"/>
        <v>U</v>
      </c>
      <c r="D110" s="817" t="s">
        <v>1357</v>
      </c>
      <c r="E110" s="817" t="s">
        <v>870</v>
      </c>
      <c r="F110" s="1351"/>
      <c r="G110" s="1351"/>
      <c r="H110" s="1351"/>
      <c r="I110" s="1307" t="str">
        <f t="shared" si="13"/>
        <v/>
      </c>
      <c r="J110" s="1351"/>
      <c r="K110" s="1351" t="str">
        <f t="shared" si="14"/>
        <v/>
      </c>
      <c r="L110" s="851" t="s">
        <v>1189</v>
      </c>
      <c r="M110" s="1351">
        <v>169</v>
      </c>
      <c r="N110" s="1351"/>
      <c r="O110" s="1348"/>
      <c r="P110" s="1348"/>
      <c r="Q110" s="1348"/>
      <c r="R110" s="1348"/>
      <c r="S110" s="1348"/>
      <c r="T110" s="1348"/>
      <c r="U110" s="1348"/>
      <c r="V110" s="1348"/>
      <c r="W110" s="1348"/>
      <c r="X110" s="1348"/>
      <c r="Y110" s="1348"/>
      <c r="Z110" s="1348"/>
    </row>
    <row r="111" spans="1:26" x14ac:dyDescent="0.25">
      <c r="A111" s="863" t="s">
        <v>1339</v>
      </c>
      <c r="B111" s="817" t="str">
        <f t="shared" ca="1" si="18"/>
        <v>V12</v>
      </c>
      <c r="C111" s="817" t="str">
        <f t="shared" ca="1" si="10"/>
        <v>V</v>
      </c>
      <c r="D111" s="817" t="s">
        <v>1357</v>
      </c>
      <c r="E111" s="817" t="s">
        <v>870</v>
      </c>
      <c r="F111" s="1351"/>
      <c r="G111" s="1351"/>
      <c r="H111" s="1351"/>
      <c r="I111" s="1307" t="str">
        <f t="shared" si="13"/>
        <v/>
      </c>
      <c r="J111" s="1351"/>
      <c r="K111" s="1351" t="str">
        <f t="shared" si="14"/>
        <v/>
      </c>
      <c r="L111" s="851" t="s">
        <v>1429</v>
      </c>
      <c r="M111" s="1351">
        <v>170</v>
      </c>
      <c r="N111" s="1351"/>
      <c r="O111" s="1348"/>
      <c r="P111" s="1348"/>
      <c r="Q111" s="1348"/>
      <c r="R111" s="1348"/>
      <c r="S111" s="1348"/>
      <c r="T111" s="1348"/>
      <c r="U111" s="1348"/>
      <c r="V111" s="1348"/>
      <c r="W111" s="1348"/>
      <c r="X111" s="1348"/>
      <c r="Y111" s="1348"/>
      <c r="Z111" s="1348"/>
    </row>
    <row r="112" spans="1:26" x14ac:dyDescent="0.25">
      <c r="A112" s="863" t="s">
        <v>1632</v>
      </c>
      <c r="B112" s="817" t="str">
        <f t="shared" ca="1" si="18"/>
        <v>W12</v>
      </c>
      <c r="C112" s="817" t="str">
        <f t="shared" ca="1" si="10"/>
        <v>W</v>
      </c>
      <c r="D112" s="817" t="s">
        <v>1357</v>
      </c>
      <c r="E112" s="817" t="s">
        <v>870</v>
      </c>
      <c r="F112" s="1351"/>
      <c r="G112" s="1351"/>
      <c r="H112" s="1351"/>
      <c r="I112" s="1307" t="str">
        <f t="shared" si="13"/>
        <v>Add or End Customer</v>
      </c>
      <c r="J112" s="1351" t="str">
        <f>IF(M112&lt;&gt;"",Q$1&amp;M112,"")</f>
        <v>F171</v>
      </c>
      <c r="K112" s="1351" t="str">
        <f t="shared" si="14"/>
        <v>Customer Inputs</v>
      </c>
      <c r="L112" s="851" t="s">
        <v>1632</v>
      </c>
      <c r="M112" s="1351">
        <v>171</v>
      </c>
      <c r="N112" s="1351"/>
      <c r="O112" s="1348"/>
      <c r="P112" s="1348"/>
      <c r="Q112" s="1348"/>
      <c r="R112" s="1348"/>
      <c r="S112" s="1348"/>
      <c r="T112" s="1348"/>
      <c r="U112" s="1348"/>
      <c r="V112" s="1348"/>
      <c r="W112" s="1348"/>
      <c r="X112" s="1348"/>
      <c r="Y112" s="1348"/>
      <c r="Z112" s="134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1"/>
      <c r="G113" s="1351"/>
      <c r="H113" s="1351"/>
      <c r="I113" s="1307" t="str">
        <f t="shared" si="13"/>
        <v>Pyramid Segment</v>
      </c>
      <c r="J113" s="1351" t="str">
        <f>IF(AND(P1228="",M113&lt;&gt;""),Q$1&amp;M113,"")</f>
        <v>F182</v>
      </c>
      <c r="K113" s="1351" t="str">
        <f t="shared" si="14"/>
        <v>Customer Inputs</v>
      </c>
      <c r="L113" s="817" t="s">
        <v>1182</v>
      </c>
      <c r="M113" s="1351">
        <v>182</v>
      </c>
      <c r="N113" s="1351"/>
      <c r="O113" s="1348"/>
      <c r="P113" s="1348"/>
      <c r="Q113" s="1348"/>
      <c r="R113" s="1348"/>
      <c r="S113" s="1348"/>
      <c r="T113" s="1348"/>
      <c r="U113" s="1348"/>
      <c r="V113" s="1348"/>
      <c r="W113" s="1348"/>
      <c r="X113" s="1348"/>
      <c r="Y113" s="1348"/>
      <c r="Z113" s="134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4" t="s">
        <v>1263</v>
      </c>
      <c r="B115" s="817" t="str">
        <f t="shared" ca="1" si="19"/>
        <v>J13</v>
      </c>
      <c r="C115" s="817" t="str">
        <f t="shared" ca="1" si="10"/>
        <v>J</v>
      </c>
      <c r="D115" s="817" t="s">
        <v>1357</v>
      </c>
      <c r="E115" s="817" t="s">
        <v>870</v>
      </c>
      <c r="F115" s="1351"/>
      <c r="G115" s="1351"/>
      <c r="H115" s="1351"/>
      <c r="I115" s="1307" t="str">
        <f t="shared" si="13"/>
        <v>Agreement Deliveries Per Customer Unit Per Week</v>
      </c>
      <c r="J115" s="1351" t="str">
        <f>Q$1&amp;IF(Q115&lt;&gt;"",M115,M117)</f>
        <v>F187</v>
      </c>
      <c r="K115" s="1351" t="str">
        <f t="shared" si="14"/>
        <v>Customer Inputs</v>
      </c>
      <c r="L115" s="817" t="s">
        <v>1263</v>
      </c>
      <c r="M115" s="1351">
        <v>185</v>
      </c>
      <c r="N115" s="1351"/>
      <c r="O115" s="1348"/>
      <c r="P115" s="1348"/>
      <c r="Q115" s="1348"/>
      <c r="R115" s="1348"/>
      <c r="S115" s="1348"/>
      <c r="T115" s="1348"/>
      <c r="U115" s="1348"/>
      <c r="V115" s="1348"/>
      <c r="W115" s="1348"/>
      <c r="X115" s="1348"/>
      <c r="Y115" s="1348"/>
      <c r="Z115" s="134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1"/>
      <c r="G116" s="1351"/>
      <c r="H116" s="1351"/>
      <c r="I116" s="1307" t="str">
        <f t="shared" si="13"/>
        <v/>
      </c>
      <c r="J116" s="1351"/>
      <c r="K116" s="1351" t="str">
        <f t="shared" si="14"/>
        <v/>
      </c>
      <c r="L116" s="817" t="s">
        <v>1185</v>
      </c>
      <c r="M116" s="1351">
        <v>186</v>
      </c>
      <c r="N116" s="1351"/>
      <c r="O116" s="1348" t="s">
        <v>868</v>
      </c>
      <c r="P116" s="1348"/>
      <c r="Q116" s="1348"/>
      <c r="R116" s="1348"/>
      <c r="S116" s="1348"/>
      <c r="T116" s="1348"/>
      <c r="U116" s="1348"/>
      <c r="V116" s="1348"/>
      <c r="W116" s="1348"/>
      <c r="X116" s="1348"/>
      <c r="Y116" s="1348"/>
      <c r="Z116" s="134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1"/>
      <c r="G117" s="1351"/>
      <c r="H117" s="1351"/>
      <c r="I117" s="1307" t="str">
        <f t="shared" si="13"/>
        <v/>
      </c>
      <c r="J117" s="1351"/>
      <c r="K117" s="1351" t="str">
        <f t="shared" si="14"/>
        <v/>
      </c>
      <c r="L117" s="851"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1"/>
      <c r="G118" s="1351"/>
      <c r="H118" s="1351"/>
      <c r="I118" s="1307" t="str">
        <f t="shared" si="13"/>
        <v/>
      </c>
      <c r="J118" s="1532"/>
      <c r="K118" s="1351" t="str">
        <f t="shared" si="14"/>
        <v/>
      </c>
      <c r="L118" s="851"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1"/>
      <c r="G119" s="1351"/>
      <c r="H119" s="1351"/>
      <c r="I119" s="1307" t="str">
        <f t="shared" si="13"/>
        <v/>
      </c>
      <c r="J119" s="1351"/>
      <c r="K119" s="1351" t="str">
        <f t="shared" si="14"/>
        <v/>
      </c>
      <c r="L119" s="851"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1"/>
      <c r="G120" s="1351"/>
      <c r="H120" s="1351"/>
      <c r="I120" s="1307" t="str">
        <f t="shared" si="13"/>
        <v/>
      </c>
      <c r="J120" s="1351"/>
      <c r="K120" s="1351" t="str">
        <f t="shared" si="14"/>
        <v/>
      </c>
      <c r="L120" s="851" t="s">
        <v>1189</v>
      </c>
      <c r="M120" s="1351">
        <v>190</v>
      </c>
      <c r="N120" s="1351"/>
      <c r="O120" s="1348"/>
      <c r="P120" s="1348"/>
      <c r="Q120" s="1348"/>
      <c r="R120" s="1348"/>
      <c r="S120" s="1348"/>
      <c r="T120" s="1348"/>
      <c r="U120" s="1348"/>
      <c r="V120" s="1348"/>
      <c r="W120" s="1348"/>
      <c r="X120" s="1348"/>
      <c r="Y120" s="1348"/>
      <c r="Z120" s="1348"/>
    </row>
    <row r="121" spans="1:26" x14ac:dyDescent="0.25">
      <c r="A121" s="866" t="s">
        <v>1339</v>
      </c>
      <c r="B121" s="817" t="str">
        <f t="shared" ca="1" si="19"/>
        <v>V13</v>
      </c>
      <c r="C121" s="817" t="str">
        <f t="shared" ca="1" si="20"/>
        <v>V</v>
      </c>
      <c r="D121" s="817" t="s">
        <v>1357</v>
      </c>
      <c r="E121" s="817" t="s">
        <v>870</v>
      </c>
      <c r="F121" s="1351"/>
      <c r="G121" s="1351"/>
      <c r="H121" s="1351"/>
      <c r="I121" s="1307" t="str">
        <f t="shared" si="13"/>
        <v/>
      </c>
      <c r="J121" s="1351"/>
      <c r="K121" s="1351" t="str">
        <f t="shared" si="14"/>
        <v/>
      </c>
      <c r="L121" s="851" t="s">
        <v>1429</v>
      </c>
      <c r="M121" s="1351">
        <v>191</v>
      </c>
      <c r="N121" s="1351"/>
      <c r="O121" s="1348"/>
      <c r="P121" s="1348"/>
      <c r="Q121" s="1348"/>
      <c r="R121" s="1348"/>
      <c r="S121" s="1348"/>
      <c r="T121" s="1348"/>
      <c r="U121" s="1348"/>
      <c r="V121" s="1348"/>
      <c r="W121" s="1348"/>
      <c r="X121" s="1348"/>
      <c r="Y121" s="1348"/>
      <c r="Z121" s="1348"/>
    </row>
    <row r="122" spans="1:26" x14ac:dyDescent="0.25">
      <c r="A122" s="866" t="s">
        <v>1632</v>
      </c>
      <c r="B122" s="817" t="str">
        <f t="shared" ca="1" si="19"/>
        <v>W13</v>
      </c>
      <c r="C122" s="817" t="str">
        <f t="shared" ca="1" si="20"/>
        <v>W</v>
      </c>
      <c r="D122" s="817" t="s">
        <v>1357</v>
      </c>
      <c r="E122" s="817" t="s">
        <v>870</v>
      </c>
      <c r="F122" s="1351"/>
      <c r="G122" s="1351"/>
      <c r="H122" s="1351"/>
      <c r="I122" s="1307" t="str">
        <f t="shared" si="13"/>
        <v>Add or End Customer</v>
      </c>
      <c r="J122" s="1351" t="str">
        <f>IF(M122&lt;&gt;"",Q$1&amp;M122,"")</f>
        <v>F192</v>
      </c>
      <c r="K122" s="1351" t="str">
        <f t="shared" si="14"/>
        <v>Customer Inputs</v>
      </c>
      <c r="L122" s="851" t="s">
        <v>1632</v>
      </c>
      <c r="M122" s="1351">
        <v>192</v>
      </c>
      <c r="N122" s="1351"/>
      <c r="O122" s="1348"/>
      <c r="P122" s="1348"/>
      <c r="Q122" s="1348"/>
      <c r="R122" s="1348"/>
      <c r="S122" s="1348"/>
      <c r="T122" s="1348"/>
      <c r="U122" s="1348"/>
      <c r="V122" s="1348"/>
      <c r="W122" s="1348"/>
      <c r="X122" s="1348"/>
      <c r="Y122" s="1348"/>
      <c r="Z122" s="134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1"/>
      <c r="G123" s="1351"/>
      <c r="H123" s="1351"/>
      <c r="I123" s="1307" t="str">
        <f t="shared" si="13"/>
        <v>Pyramid Segment</v>
      </c>
      <c r="J123" s="1351" t="str">
        <f>IF(AND(P1229="",M123&lt;&gt;""),Q$1&amp;M123,"")</f>
        <v>F203</v>
      </c>
      <c r="K123" s="1351" t="str">
        <f t="shared" si="14"/>
        <v>Customer Inputs</v>
      </c>
      <c r="L123" s="817" t="s">
        <v>1182</v>
      </c>
      <c r="M123" s="1351">
        <v>203</v>
      </c>
      <c r="N123" s="1351"/>
      <c r="O123" s="1348"/>
      <c r="P123" s="1348"/>
      <c r="Q123" s="1348"/>
      <c r="R123" s="1348"/>
      <c r="S123" s="1348"/>
      <c r="T123" s="1348"/>
      <c r="U123" s="1348"/>
      <c r="V123" s="1348"/>
      <c r="W123" s="1348"/>
      <c r="X123" s="1348"/>
      <c r="Y123" s="1348"/>
      <c r="Z123" s="134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1" t="s">
        <v>1263</v>
      </c>
      <c r="B125" s="817" t="str">
        <f t="shared" ca="1" si="21"/>
        <v>J14</v>
      </c>
      <c r="C125" s="817" t="str">
        <f t="shared" ca="1" si="20"/>
        <v>J</v>
      </c>
      <c r="D125" s="817" t="s">
        <v>1357</v>
      </c>
      <c r="E125" s="817" t="s">
        <v>870</v>
      </c>
      <c r="F125" s="1351"/>
      <c r="G125" s="1351"/>
      <c r="H125" s="1351"/>
      <c r="I125" s="1307" t="str">
        <f t="shared" si="13"/>
        <v>Agreement Deliveries Per Customer Unit Per Week</v>
      </c>
      <c r="J125" s="1351" t="str">
        <f>Q$1&amp;IF(Q125&lt;&gt;"",M125,M127)</f>
        <v>F208</v>
      </c>
      <c r="K125" s="1351" t="str">
        <f t="shared" si="14"/>
        <v>Customer Inputs</v>
      </c>
      <c r="L125" s="817" t="s">
        <v>1263</v>
      </c>
      <c r="M125" s="1351">
        <v>206</v>
      </c>
      <c r="N125" s="1351"/>
      <c r="O125" s="1348"/>
      <c r="P125" s="1348"/>
      <c r="Q125" s="1348"/>
      <c r="R125" s="1348"/>
      <c r="S125" s="1348"/>
      <c r="T125" s="1348"/>
      <c r="U125" s="1348"/>
      <c r="V125" s="1348"/>
      <c r="W125" s="1348"/>
      <c r="X125" s="1348"/>
      <c r="Y125" s="1348"/>
      <c r="Z125" s="134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1"/>
      <c r="G126" s="1351"/>
      <c r="H126" s="1351"/>
      <c r="I126" s="1307" t="str">
        <f t="shared" si="13"/>
        <v/>
      </c>
      <c r="J126" s="1351"/>
      <c r="K126" s="1351" t="str">
        <f t="shared" si="14"/>
        <v/>
      </c>
      <c r="L126" s="817" t="s">
        <v>1185</v>
      </c>
      <c r="M126" s="1351">
        <v>207</v>
      </c>
      <c r="N126" s="1351"/>
      <c r="O126" s="1348" t="s">
        <v>868</v>
      </c>
      <c r="P126" s="1348"/>
      <c r="Q126" s="1348"/>
      <c r="R126" s="1348"/>
      <c r="S126" s="1348"/>
      <c r="T126" s="1348"/>
      <c r="U126" s="1348"/>
      <c r="V126" s="1348"/>
      <c r="W126" s="1348"/>
      <c r="X126" s="1348"/>
      <c r="Y126" s="1348"/>
      <c r="Z126" s="134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1"/>
      <c r="G127" s="1351"/>
      <c r="H127" s="1351"/>
      <c r="I127" s="1307" t="str">
        <f t="shared" si="13"/>
        <v/>
      </c>
      <c r="J127" s="1351"/>
      <c r="K127" s="1351" t="str">
        <f t="shared" si="14"/>
        <v/>
      </c>
      <c r="L127" s="851"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1"/>
      <c r="G128" s="1351"/>
      <c r="H128" s="1351"/>
      <c r="I128" s="1307" t="str">
        <f t="shared" si="13"/>
        <v/>
      </c>
      <c r="J128" s="1532"/>
      <c r="K128" s="1351" t="str">
        <f t="shared" si="14"/>
        <v/>
      </c>
      <c r="L128" s="851"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1"/>
      <c r="G129" s="1351"/>
      <c r="H129" s="1351"/>
      <c r="I129" s="1307" t="str">
        <f t="shared" si="13"/>
        <v/>
      </c>
      <c r="J129" s="1351"/>
      <c r="K129" s="1351" t="str">
        <f t="shared" si="14"/>
        <v/>
      </c>
      <c r="L129" s="851"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3" t="s">
        <v>1189</v>
      </c>
      <c r="B130" s="817" t="str">
        <f t="shared" ca="1" si="21"/>
        <v>U14</v>
      </c>
      <c r="C130" s="817" t="str">
        <f t="shared" ca="1" si="20"/>
        <v>U</v>
      </c>
      <c r="D130" s="817" t="s">
        <v>1357</v>
      </c>
      <c r="E130" s="817" t="s">
        <v>870</v>
      </c>
      <c r="F130" s="1351"/>
      <c r="G130" s="1351"/>
      <c r="H130" s="1351"/>
      <c r="I130" s="1307" t="str">
        <f t="shared" si="13"/>
        <v/>
      </c>
      <c r="J130" s="1351"/>
      <c r="K130" s="1351" t="str">
        <f t="shared" si="14"/>
        <v/>
      </c>
      <c r="L130" s="851" t="s">
        <v>1189</v>
      </c>
      <c r="M130" s="1351">
        <v>211</v>
      </c>
      <c r="N130" s="1351"/>
      <c r="O130" s="1348"/>
      <c r="P130" s="1348"/>
      <c r="Q130" s="1348"/>
      <c r="R130" s="1348"/>
      <c r="S130" s="1348"/>
      <c r="T130" s="1348"/>
      <c r="U130" s="1348"/>
      <c r="V130" s="1348"/>
      <c r="W130" s="1348"/>
      <c r="X130" s="1348"/>
      <c r="Y130" s="1348"/>
      <c r="Z130" s="1348"/>
    </row>
    <row r="131" spans="1:26" x14ac:dyDescent="0.25">
      <c r="A131" s="863" t="s">
        <v>1339</v>
      </c>
      <c r="B131" s="817" t="str">
        <f t="shared" ca="1" si="21"/>
        <v>V14</v>
      </c>
      <c r="C131" s="817" t="str">
        <f t="shared" ca="1" si="20"/>
        <v>V</v>
      </c>
      <c r="D131" s="817" t="s">
        <v>1357</v>
      </c>
      <c r="E131" s="817" t="s">
        <v>870</v>
      </c>
      <c r="F131" s="1351"/>
      <c r="G131" s="1351"/>
      <c r="H131" s="1351"/>
      <c r="I131" s="1307" t="str">
        <f t="shared" si="13"/>
        <v/>
      </c>
      <c r="J131" s="1351"/>
      <c r="K131" s="1351" t="str">
        <f t="shared" si="14"/>
        <v/>
      </c>
      <c r="L131" s="851" t="s">
        <v>1429</v>
      </c>
      <c r="M131" s="1351">
        <v>212</v>
      </c>
      <c r="N131" s="1351"/>
      <c r="O131" s="1348"/>
      <c r="P131" s="1348"/>
      <c r="Q131" s="1348"/>
      <c r="R131" s="1348"/>
      <c r="S131" s="1348"/>
      <c r="T131" s="1348"/>
      <c r="U131" s="1348"/>
      <c r="V131" s="1348"/>
      <c r="W131" s="1348"/>
      <c r="X131" s="1348"/>
      <c r="Y131" s="1348"/>
      <c r="Z131" s="1348"/>
    </row>
    <row r="132" spans="1:26" x14ac:dyDescent="0.25">
      <c r="A132" s="863" t="s">
        <v>1632</v>
      </c>
      <c r="B132" s="817" t="str">
        <f t="shared" ca="1" si="21"/>
        <v>W14</v>
      </c>
      <c r="C132" s="817" t="str">
        <f t="shared" ca="1" si="20"/>
        <v>W</v>
      </c>
      <c r="D132" s="817" t="s">
        <v>1357</v>
      </c>
      <c r="E132" s="817"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1" t="s">
        <v>1632</v>
      </c>
      <c r="M132" s="1351">
        <v>213</v>
      </c>
      <c r="N132" s="1351"/>
      <c r="O132" s="1348"/>
      <c r="P132" s="1348"/>
      <c r="Q132" s="1348"/>
      <c r="R132" s="1348"/>
      <c r="S132" s="1348"/>
      <c r="T132" s="1348"/>
      <c r="U132" s="1348"/>
      <c r="V132" s="1348"/>
      <c r="W132" s="1348"/>
      <c r="X132" s="1348"/>
      <c r="Y132" s="1348"/>
      <c r="Z132" s="134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1"/>
      <c r="G133" s="1351"/>
      <c r="H133" s="1351"/>
      <c r="I133" s="1307" t="str">
        <f t="shared" si="22"/>
        <v>Pyramid Segment</v>
      </c>
      <c r="J133" s="1351" t="str">
        <f>IF(AND(P1230="",M133&lt;&gt;""),Q$1&amp;M133,"")</f>
        <v>F224</v>
      </c>
      <c r="K133" s="1351" t="str">
        <f t="shared" si="24"/>
        <v>Customer Inputs</v>
      </c>
      <c r="L133" s="817" t="s">
        <v>1182</v>
      </c>
      <c r="M133" s="1351">
        <v>224</v>
      </c>
      <c r="N133" s="1351"/>
      <c r="O133" s="1348"/>
      <c r="P133" s="1348"/>
      <c r="Q133" s="1348"/>
      <c r="R133" s="1348"/>
      <c r="S133" s="1348"/>
      <c r="T133" s="1348"/>
      <c r="U133" s="1348"/>
      <c r="V133" s="1348"/>
      <c r="W133" s="1348"/>
      <c r="X133" s="1348"/>
      <c r="Y133" s="1348"/>
      <c r="Z133" s="134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1"/>
      <c r="G135" s="1351"/>
      <c r="H135" s="1351"/>
      <c r="I135" s="1307" t="str">
        <f t="shared" si="22"/>
        <v>Agreement Deliveries Per Customer Unit Per Week</v>
      </c>
      <c r="J135" s="1351" t="str">
        <f>Q$1&amp;IF(Q135&lt;&gt;"",M135,M137)</f>
        <v>F229</v>
      </c>
      <c r="K135" s="1351" t="str">
        <f t="shared" si="24"/>
        <v>Customer Inputs</v>
      </c>
      <c r="L135" s="817" t="s">
        <v>1263</v>
      </c>
      <c r="M135" s="1351">
        <v>227</v>
      </c>
      <c r="N135" s="1351"/>
      <c r="O135" s="1348"/>
      <c r="P135" s="1348"/>
      <c r="Q135" s="1348"/>
      <c r="R135" s="1348"/>
      <c r="S135" s="1348"/>
      <c r="T135" s="1348"/>
      <c r="U135" s="1348"/>
      <c r="V135" s="1348"/>
      <c r="W135" s="1348"/>
      <c r="X135" s="1348"/>
      <c r="Y135" s="1348"/>
      <c r="Z135" s="134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1"/>
      <c r="G136" s="1351"/>
      <c r="H136" s="1351"/>
      <c r="I136" s="1307" t="str">
        <f t="shared" si="22"/>
        <v/>
      </c>
      <c r="J136" s="1351"/>
      <c r="K136" s="1351" t="str">
        <f t="shared" si="24"/>
        <v/>
      </c>
      <c r="L136" s="817" t="s">
        <v>1185</v>
      </c>
      <c r="M136" s="1351">
        <v>228</v>
      </c>
      <c r="N136" s="1351"/>
      <c r="O136" s="1348" t="s">
        <v>868</v>
      </c>
      <c r="P136" s="1348"/>
      <c r="Q136" s="1348"/>
      <c r="R136" s="1348"/>
      <c r="S136" s="1348"/>
      <c r="T136" s="1348"/>
      <c r="U136" s="1348"/>
      <c r="V136" s="1348"/>
      <c r="W136" s="1348"/>
      <c r="X136" s="1348"/>
      <c r="Y136" s="1348"/>
      <c r="Z136" s="134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1"/>
      <c r="G137" s="1351"/>
      <c r="H137" s="1351"/>
      <c r="I137" s="1307" t="str">
        <f t="shared" si="22"/>
        <v/>
      </c>
      <c r="J137" s="1351"/>
      <c r="K137" s="1351" t="str">
        <f t="shared" si="24"/>
        <v/>
      </c>
      <c r="L137" s="851"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1"/>
      <c r="G138" s="1351"/>
      <c r="H138" s="1351"/>
      <c r="I138" s="1307" t="str">
        <f t="shared" si="22"/>
        <v/>
      </c>
      <c r="J138" s="1532"/>
      <c r="K138" s="1351" t="str">
        <f t="shared" si="24"/>
        <v/>
      </c>
      <c r="L138" s="851"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1"/>
      <c r="G139" s="1351"/>
      <c r="H139" s="1351"/>
      <c r="I139" s="1307" t="str">
        <f t="shared" si="22"/>
        <v/>
      </c>
      <c r="J139" s="1351"/>
      <c r="K139" s="1351" t="str">
        <f t="shared" si="24"/>
        <v/>
      </c>
      <c r="L139" s="851"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1"/>
      <c r="G140" s="1351"/>
      <c r="H140" s="1351"/>
      <c r="I140" s="1307" t="str">
        <f t="shared" si="22"/>
        <v/>
      </c>
      <c r="J140" s="1351"/>
      <c r="K140" s="1351" t="str">
        <f t="shared" si="24"/>
        <v/>
      </c>
      <c r="L140" s="851" t="s">
        <v>1189</v>
      </c>
      <c r="M140" s="1351">
        <v>232</v>
      </c>
      <c r="N140" s="1351"/>
      <c r="O140" s="1348"/>
      <c r="P140" s="1348"/>
      <c r="Q140" s="1348"/>
      <c r="R140" s="1348"/>
      <c r="S140" s="1348"/>
      <c r="T140" s="1348"/>
      <c r="U140" s="1348"/>
      <c r="V140" s="1348"/>
      <c r="W140" s="1348"/>
      <c r="X140" s="1348"/>
      <c r="Y140" s="1348"/>
      <c r="Z140" s="134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1"/>
      <c r="G141" s="1351"/>
      <c r="H141" s="1351"/>
      <c r="I141" s="1307" t="str">
        <f t="shared" si="22"/>
        <v/>
      </c>
      <c r="J141" s="1351"/>
      <c r="K141" s="1351" t="str">
        <f t="shared" si="24"/>
        <v/>
      </c>
      <c r="L141" s="851" t="s">
        <v>1429</v>
      </c>
      <c r="M141" s="1351">
        <v>233</v>
      </c>
      <c r="N141" s="1351"/>
      <c r="O141" s="1348"/>
      <c r="P141" s="1348"/>
      <c r="Q141" s="1348"/>
      <c r="R141" s="1348"/>
      <c r="S141" s="1348"/>
      <c r="T141" s="1348"/>
      <c r="U141" s="1348"/>
      <c r="V141" s="1348"/>
      <c r="W141" s="1348"/>
      <c r="X141" s="1348"/>
      <c r="Y141" s="1348"/>
      <c r="Z141" s="134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51"/>
      <c r="G142" s="1351"/>
      <c r="H142" s="1351"/>
      <c r="I142" s="1307" t="str">
        <f t="shared" si="22"/>
        <v>Add or End Customer</v>
      </c>
      <c r="J142" s="1351" t="str">
        <f t="shared" si="23"/>
        <v>F234</v>
      </c>
      <c r="K142" s="1351" t="str">
        <f t="shared" si="24"/>
        <v>Customer Inputs</v>
      </c>
      <c r="L142" s="851" t="s">
        <v>1632</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07" t="str">
        <f t="shared" si="22"/>
        <v>Fuel Surcharge Included</v>
      </c>
      <c r="J144" s="1351" t="str">
        <f t="shared" si="23"/>
        <v>F18</v>
      </c>
      <c r="K144" s="1351" t="str">
        <f t="shared" si="24"/>
        <v>Agreement Worksheet</v>
      </c>
      <c r="L144" s="867" t="s">
        <v>1220</v>
      </c>
      <c r="M144" s="1351">
        <v>18</v>
      </c>
      <c r="N144" s="1351"/>
      <c r="O144" s="1348"/>
      <c r="P144" s="1348"/>
      <c r="Q144" s="1348"/>
      <c r="R144" s="1348"/>
      <c r="S144" s="1348"/>
      <c r="T144" s="1348"/>
      <c r="U144" s="1348"/>
      <c r="V144" s="1348"/>
      <c r="W144" s="1348"/>
      <c r="X144" s="1348"/>
      <c r="Y144" s="1348"/>
      <c r="Z144" s="134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07" t="str">
        <f t="shared" si="22"/>
        <v>Fuel Surcharge Per</v>
      </c>
      <c r="J145" s="1351" t="str">
        <f t="shared" si="23"/>
        <v>F19</v>
      </c>
      <c r="K145" s="1351" t="str">
        <f t="shared" si="24"/>
        <v>Agreement Worksheet</v>
      </c>
      <c r="L145" s="867" t="s">
        <v>1221</v>
      </c>
      <c r="M145" s="1351">
        <v>19</v>
      </c>
      <c r="N145" s="1351"/>
      <c r="O145" s="1348"/>
      <c r="P145" s="1348"/>
      <c r="Q145" s="1348"/>
      <c r="R145" s="1348"/>
      <c r="S145" s="1348"/>
      <c r="T145" s="1348"/>
      <c r="U145" s="1348"/>
      <c r="V145" s="1348"/>
      <c r="W145" s="1348"/>
      <c r="X145" s="1348"/>
      <c r="Y145" s="1348"/>
      <c r="Z145" s="134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1" t="s">
        <v>1353</v>
      </c>
      <c r="H146" s="1351" t="s">
        <v>1238</v>
      </c>
      <c r="I146" s="1307" t="str">
        <f t="shared" si="22"/>
        <v>Audit Age of Invoices</v>
      </c>
      <c r="J146" s="1351" t="str">
        <f t="shared" si="23"/>
        <v>F509</v>
      </c>
      <c r="K146" s="1351" t="str">
        <f t="shared" si="24"/>
        <v>Agreement Worksheet</v>
      </c>
      <c r="L146" s="867" t="s">
        <v>1243</v>
      </c>
      <c r="M146" s="1351">
        <v>509</v>
      </c>
      <c r="N146" s="1351"/>
      <c r="O146" s="1348"/>
      <c r="P146" s="1348"/>
      <c r="Q146" s="1348"/>
      <c r="R146" s="1348"/>
      <c r="S146" s="1348"/>
      <c r="T146" s="1348"/>
      <c r="U146" s="1348"/>
      <c r="V146" s="1348"/>
      <c r="W146" s="1348"/>
      <c r="X146" s="1348"/>
      <c r="Y146" s="1348"/>
      <c r="Z146" s="134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1" t="s">
        <v>1355</v>
      </c>
      <c r="H147" s="1351" t="s">
        <v>1238</v>
      </c>
      <c r="I147" s="1307" t="str">
        <f t="shared" si="22"/>
        <v>Audit Frequency Code</v>
      </c>
      <c r="J147" s="1351" t="str">
        <f t="shared" si="23"/>
        <v>F510</v>
      </c>
      <c r="K147" s="1351" t="str">
        <f t="shared" si="24"/>
        <v>Agreement Worksheet</v>
      </c>
      <c r="L147" s="867" t="s">
        <v>1240</v>
      </c>
      <c r="M147" s="1351">
        <v>510</v>
      </c>
      <c r="N147" s="1351"/>
      <c r="O147" s="1348"/>
      <c r="P147" s="1348"/>
      <c r="Q147" s="1348"/>
      <c r="R147" s="1348"/>
      <c r="S147" s="1348"/>
      <c r="T147" s="1348"/>
      <c r="U147" s="1348"/>
      <c r="V147" s="1348"/>
      <c r="W147" s="1348"/>
      <c r="X147" s="1348"/>
      <c r="Y147" s="1348"/>
      <c r="Z147" s="134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1" t="s">
        <v>1370</v>
      </c>
      <c r="H148" s="1351" t="s">
        <v>1238</v>
      </c>
      <c r="I148" s="1307" t="str">
        <f t="shared" si="22"/>
        <v>Audit Nbr of Invoice Line Items</v>
      </c>
      <c r="J148" s="1351" t="str">
        <f t="shared" si="23"/>
        <v>F511</v>
      </c>
      <c r="K148" s="1351" t="str">
        <f t="shared" si="24"/>
        <v>Agreement Worksheet</v>
      </c>
      <c r="L148" s="867" t="s">
        <v>1241</v>
      </c>
      <c r="M148" s="1351">
        <v>511</v>
      </c>
      <c r="N148" s="1351"/>
      <c r="O148" s="1348"/>
      <c r="P148" s="1348"/>
      <c r="Q148" s="1348"/>
      <c r="R148" s="1348"/>
      <c r="S148" s="1348"/>
      <c r="T148" s="1348"/>
      <c r="U148" s="1348"/>
      <c r="V148" s="1348"/>
      <c r="W148" s="1348"/>
      <c r="X148" s="1348"/>
      <c r="Y148" s="1348"/>
      <c r="Z148" s="134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1" t="s">
        <v>656</v>
      </c>
      <c r="H149" s="1351" t="s">
        <v>1238</v>
      </c>
      <c r="I149" s="1307" t="str">
        <f t="shared" si="22"/>
        <v>CPI ECI</v>
      </c>
      <c r="J149" s="1351" t="str">
        <f t="shared" si="23"/>
        <v>F512</v>
      </c>
      <c r="K149" s="1351" t="str">
        <f t="shared" si="24"/>
        <v>Agreement Worksheet</v>
      </c>
      <c r="L149" s="867" t="s">
        <v>1244</v>
      </c>
      <c r="M149" s="1351">
        <v>512</v>
      </c>
      <c r="N149" s="1351"/>
      <c r="O149" s="1348"/>
      <c r="P149" s="1348"/>
      <c r="Q149" s="1348"/>
      <c r="R149" s="1348"/>
      <c r="S149" s="1348"/>
      <c r="T149" s="1348"/>
      <c r="U149" s="1348"/>
      <c r="V149" s="1348"/>
      <c r="W149" s="1348"/>
      <c r="X149" s="1348"/>
      <c r="Y149" s="1348"/>
      <c r="Z149" s="134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1" t="s">
        <v>1356</v>
      </c>
      <c r="H150" s="1351" t="s">
        <v>1238</v>
      </c>
      <c r="I150" s="1307" t="str">
        <f t="shared" si="22"/>
        <v>Margin Erosion Rate</v>
      </c>
      <c r="J150" s="1351" t="str">
        <f t="shared" si="23"/>
        <v>F513</v>
      </c>
      <c r="K150" s="1351" t="str">
        <f t="shared" si="24"/>
        <v>Agreement Worksheet</v>
      </c>
      <c r="L150" s="867" t="s">
        <v>1242</v>
      </c>
      <c r="M150" s="1351">
        <v>513</v>
      </c>
      <c r="N150" s="1351"/>
      <c r="O150" s="1348"/>
      <c r="P150" s="1348"/>
      <c r="Q150" s="1348"/>
      <c r="R150" s="1348"/>
      <c r="S150" s="1348"/>
      <c r="T150" s="1348"/>
      <c r="U150" s="1348"/>
      <c r="V150" s="1348"/>
      <c r="W150" s="1348"/>
      <c r="X150" s="1348"/>
      <c r="Y150" s="1348"/>
      <c r="Z150" s="134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07" t="str">
        <f t="shared" si="22"/>
        <v>Standard Agreement</v>
      </c>
      <c r="J151" s="1351" t="str">
        <f t="shared" si="23"/>
        <v>F516</v>
      </c>
      <c r="K151" s="1351" t="str">
        <f t="shared" si="24"/>
        <v>Agreement Worksheet</v>
      </c>
      <c r="L151" s="867" t="s">
        <v>1203</v>
      </c>
      <c r="M151" s="1351">
        <v>516</v>
      </c>
      <c r="N151" s="1351"/>
      <c r="O151" s="1348"/>
      <c r="P151" s="1348"/>
      <c r="Q151" s="1348"/>
      <c r="R151" s="1348"/>
      <c r="S151" s="1348"/>
      <c r="T151" s="1348"/>
      <c r="U151" s="1348"/>
      <c r="V151" s="1348"/>
      <c r="W151" s="1348"/>
      <c r="X151" s="1348"/>
      <c r="Y151" s="1348"/>
      <c r="Z151" s="134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07" t="str">
        <f t="shared" si="22"/>
        <v>Agreement Annual Purchase Commitment</v>
      </c>
      <c r="J152" s="1351" t="str">
        <f t="shared" si="23"/>
        <v>F20</v>
      </c>
      <c r="K152" s="1351" t="str">
        <f t="shared" si="24"/>
        <v>Agreement Worksheet</v>
      </c>
      <c r="L152" s="850" t="s">
        <v>1262</v>
      </c>
      <c r="M152" s="1351">
        <v>20</v>
      </c>
      <c r="N152" s="1351"/>
      <c r="O152" s="1348"/>
      <c r="P152" s="1348"/>
      <c r="Q152" s="1348"/>
      <c r="R152" s="1348"/>
      <c r="S152" s="1348"/>
      <c r="T152" s="1348"/>
      <c r="U152" s="1348"/>
      <c r="V152" s="1348"/>
      <c r="W152" s="1348"/>
      <c r="X152" s="1348"/>
      <c r="Y152" s="1348"/>
      <c r="Z152" s="134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0" t="s">
        <v>1202</v>
      </c>
      <c r="G153" s="817" t="s">
        <v>1361</v>
      </c>
      <c r="H153" s="52" t="s">
        <v>1784</v>
      </c>
      <c r="I153" s="1307" t="str">
        <f t="shared" si="22"/>
        <v>Multi Market Flag</v>
      </c>
      <c r="J153" s="1351" t="str">
        <f t="shared" si="23"/>
        <v>F21</v>
      </c>
      <c r="K153" s="1351" t="str">
        <f t="shared" si="24"/>
        <v>Agreement Worksheet</v>
      </c>
      <c r="L153" s="867" t="s">
        <v>1202</v>
      </c>
      <c r="M153" s="1351">
        <v>21</v>
      </c>
      <c r="N153" s="1351"/>
      <c r="O153" s="1348"/>
      <c r="P153" s="1348"/>
      <c r="Q153" s="1348"/>
      <c r="R153" s="1348"/>
      <c r="S153" s="1348"/>
      <c r="T153" s="1348"/>
      <c r="U153" s="1348"/>
      <c r="V153" s="1348"/>
      <c r="W153" s="1348"/>
      <c r="X153" s="1348"/>
      <c r="Y153" s="1348"/>
      <c r="Z153" s="1348"/>
    </row>
    <row r="154" spans="1:26" x14ac:dyDescent="0.25">
      <c r="A154" s="1393"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07"/>
      <c r="J154" s="1351"/>
      <c r="K154" s="1351"/>
      <c r="L154" s="867"/>
      <c r="M154" s="1351"/>
      <c r="N154" s="1351"/>
      <c r="O154" s="1348"/>
      <c r="P154" s="1348"/>
      <c r="Q154" s="1348"/>
      <c r="R154" s="1348"/>
      <c r="S154" s="1348"/>
      <c r="T154" s="1348"/>
      <c r="U154" s="1348"/>
      <c r="V154" s="1348"/>
      <c r="W154" s="1348"/>
      <c r="X154" s="1348"/>
      <c r="Y154" s="1348"/>
      <c r="Z154" s="134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07" t="str">
        <f t="shared" si="22"/>
        <v>Agreement Sub Classification</v>
      </c>
      <c r="J155" s="1351" t="str">
        <f t="shared" si="23"/>
        <v>F23</v>
      </c>
      <c r="K155" s="1351" t="str">
        <f t="shared" si="24"/>
        <v>Agreement Worksheet</v>
      </c>
      <c r="L155" s="867" t="s">
        <v>1201</v>
      </c>
      <c r="M155" s="1351">
        <v>23</v>
      </c>
      <c r="N155" s="1351"/>
      <c r="O155" s="1348"/>
      <c r="P155" s="1348"/>
      <c r="Q155" s="1348"/>
      <c r="R155" s="1348"/>
      <c r="S155" s="1348"/>
      <c r="T155" s="1348"/>
      <c r="U155" s="1348"/>
      <c r="V155" s="1348"/>
      <c r="W155" s="1348"/>
      <c r="X155" s="1348"/>
      <c r="Y155" s="1348"/>
      <c r="Z155" s="134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07" t="str">
        <f t="shared" si="22"/>
        <v>Legacy Agreement Flag</v>
      </c>
      <c r="J156" s="1351" t="str">
        <f t="shared" si="23"/>
        <v>F24</v>
      </c>
      <c r="K156" s="1351" t="str">
        <f t="shared" si="24"/>
        <v>Agreement Worksheet</v>
      </c>
      <c r="L156" s="867" t="s">
        <v>1726</v>
      </c>
      <c r="M156" s="1351">
        <v>24</v>
      </c>
      <c r="N156" s="1351"/>
      <c r="O156" s="1348"/>
      <c r="P156" s="1348"/>
      <c r="Q156" s="1348"/>
      <c r="R156" s="1348"/>
      <c r="S156" s="1348"/>
      <c r="T156" s="1348"/>
      <c r="U156" s="1348"/>
      <c r="V156" s="1348"/>
      <c r="W156" s="1348"/>
      <c r="X156" s="1348"/>
      <c r="Y156" s="1348"/>
      <c r="Z156" s="134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07" t="str">
        <f t="shared" si="22"/>
        <v>Agreement Calendar</v>
      </c>
      <c r="J157" s="1351" t="str">
        <f t="shared" si="23"/>
        <v>F25</v>
      </c>
      <c r="K157" s="1351" t="str">
        <f t="shared" si="24"/>
        <v>Agreement Worksheet</v>
      </c>
      <c r="L157" s="867" t="s">
        <v>1724</v>
      </c>
      <c r="M157" s="1351">
        <v>25</v>
      </c>
      <c r="N157" s="1351"/>
      <c r="O157" s="1348"/>
      <c r="P157" s="1348"/>
      <c r="Q157" s="1348"/>
      <c r="R157" s="1348"/>
      <c r="S157" s="1348"/>
      <c r="T157" s="1348"/>
      <c r="U157" s="1348"/>
      <c r="V157" s="1348"/>
      <c r="W157" s="1348"/>
      <c r="X157" s="1348"/>
      <c r="Y157" s="1348"/>
      <c r="Z157" s="134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07" t="str">
        <f t="shared" si="22"/>
        <v xml:space="preserve">Agreement Effective Date: </v>
      </c>
      <c r="J158" s="1351" t="str">
        <f t="shared" si="23"/>
        <v>F7</v>
      </c>
      <c r="K158" s="1351" t="str">
        <f t="shared" si="24"/>
        <v>Required Info to Submit</v>
      </c>
      <c r="L158" s="817" t="s">
        <v>1420</v>
      </c>
      <c r="M158" s="1351">
        <v>7</v>
      </c>
      <c r="N158" s="1351"/>
      <c r="O158" s="1348"/>
      <c r="P158" s="1348"/>
      <c r="Q158" s="1348"/>
      <c r="R158" s="1348"/>
      <c r="S158" s="1348"/>
      <c r="T158" s="1348"/>
      <c r="U158" s="1348"/>
      <c r="V158" s="1348"/>
      <c r="W158" s="1348"/>
      <c r="X158" s="1348"/>
      <c r="Y158" s="1348"/>
      <c r="Z158" s="134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07" t="str">
        <f t="shared" si="22"/>
        <v>Agreement Expiration Date:</v>
      </c>
      <c r="J159" s="1351" t="str">
        <f t="shared" si="23"/>
        <v>F8</v>
      </c>
      <c r="K159" s="1351" t="str">
        <f t="shared" si="24"/>
        <v>Required Info to Submit</v>
      </c>
      <c r="L159" s="817" t="s">
        <v>1421</v>
      </c>
      <c r="M159" s="1351">
        <v>8</v>
      </c>
      <c r="N159" s="1351"/>
      <c r="O159" s="1348"/>
      <c r="P159" s="1348"/>
      <c r="Q159" s="1348"/>
      <c r="R159" s="1348"/>
      <c r="S159" s="1348"/>
      <c r="T159" s="1348"/>
      <c r="U159" s="1348"/>
      <c r="V159" s="1348"/>
      <c r="W159" s="1348"/>
      <c r="X159" s="1348"/>
      <c r="Y159" s="1348"/>
      <c r="Z159" s="134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1"/>
      <c r="G160" s="1351"/>
      <c r="H160" s="1351"/>
      <c r="I160" s="1307" t="str">
        <f t="shared" si="22"/>
        <v xml:space="preserve">Market Contact: </v>
      </c>
      <c r="J160" s="1351" t="str">
        <f t="shared" si="23"/>
        <v>F502</v>
      </c>
      <c r="K160" s="1351" t="str">
        <f t="shared" si="24"/>
        <v>Required Info to Submit</v>
      </c>
      <c r="L160" s="867" t="s">
        <v>1447</v>
      </c>
      <c r="M160" s="1351">
        <v>502</v>
      </c>
      <c r="N160" s="1351"/>
      <c r="O160" s="1348"/>
      <c r="P160" s="1348"/>
      <c r="Q160" s="1348"/>
      <c r="R160" s="1348"/>
      <c r="S160" s="1348"/>
      <c r="T160" s="1348"/>
      <c r="U160" s="1348"/>
      <c r="V160" s="1348"/>
      <c r="W160" s="1348"/>
      <c r="X160" s="1348"/>
      <c r="Y160" s="1348"/>
      <c r="Z160" s="134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1"/>
      <c r="G161" s="1351"/>
      <c r="H161" s="1351"/>
      <c r="I161" s="1307" t="str">
        <f t="shared" si="22"/>
        <v xml:space="preserve">Legal Entity: </v>
      </c>
      <c r="J161" s="1351" t="str">
        <f t="shared" si="23"/>
        <v>F503</v>
      </c>
      <c r="K161" s="1351" t="str">
        <f t="shared" si="24"/>
        <v>Required Info to Submit</v>
      </c>
      <c r="L161" s="867" t="s">
        <v>1448</v>
      </c>
      <c r="M161" s="1351">
        <v>503</v>
      </c>
      <c r="N161" s="1351"/>
      <c r="O161" s="1348"/>
      <c r="P161" s="1348"/>
      <c r="Q161" s="1348"/>
      <c r="R161" s="1348"/>
      <c r="S161" s="1348"/>
      <c r="T161" s="1348"/>
      <c r="U161" s="1348"/>
      <c r="V161" s="1348"/>
      <c r="W161" s="1348"/>
      <c r="X161" s="1348"/>
      <c r="Y161" s="1348"/>
      <c r="Z161" s="134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07" t="str">
        <f t="shared" si="22"/>
        <v xml:space="preserve">DBA Name: </v>
      </c>
      <c r="J162" s="1351" t="str">
        <f t="shared" si="23"/>
        <v>F504</v>
      </c>
      <c r="K162" s="1351" t="str">
        <f t="shared" si="24"/>
        <v>Required Info to Submit</v>
      </c>
      <c r="L162" s="867" t="s">
        <v>1450</v>
      </c>
      <c r="M162" s="1351">
        <v>504</v>
      </c>
      <c r="N162" s="1351"/>
      <c r="O162" s="1348"/>
      <c r="P162" s="1348"/>
      <c r="Q162" s="1348"/>
      <c r="R162" s="1348"/>
      <c r="S162" s="1348"/>
      <c r="T162" s="1348"/>
      <c r="U162" s="1348"/>
      <c r="V162" s="1348"/>
      <c r="W162" s="1348"/>
      <c r="X162" s="1348"/>
      <c r="Y162" s="1348"/>
      <c r="Z162" s="134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1"/>
      <c r="G163" s="1351"/>
      <c r="H163" s="1351"/>
      <c r="I163" s="1307" t="str">
        <f t="shared" si="22"/>
        <v xml:space="preserve">Legal Entity Address: </v>
      </c>
      <c r="J163" s="1351" t="str">
        <f t="shared" si="23"/>
        <v>F505</v>
      </c>
      <c r="K163" s="1351" t="str">
        <f t="shared" si="24"/>
        <v>Required Info to Submit</v>
      </c>
      <c r="L163" s="867" t="s">
        <v>1451</v>
      </c>
      <c r="M163" s="1351">
        <v>505</v>
      </c>
      <c r="N163" s="1351"/>
      <c r="O163" s="1348"/>
      <c r="P163" s="1348"/>
      <c r="Q163" s="1348"/>
      <c r="R163" s="1348"/>
      <c r="S163" s="1348"/>
      <c r="T163" s="1348"/>
      <c r="U163" s="1348"/>
      <c r="V163" s="1348"/>
      <c r="W163" s="1348"/>
      <c r="X163" s="1348"/>
      <c r="Y163" s="1348"/>
      <c r="Z163" s="134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1"/>
      <c r="G164" s="1351"/>
      <c r="H164" s="1351"/>
      <c r="I164" s="1307" t="str">
        <f t="shared" si="22"/>
        <v xml:space="preserve">Attention: </v>
      </c>
      <c r="J164" s="1351" t="str">
        <f t="shared" si="23"/>
        <v>F506</v>
      </c>
      <c r="K164" s="1351" t="str">
        <f t="shared" si="24"/>
        <v>Required Info to Submit</v>
      </c>
      <c r="L164" s="867" t="s">
        <v>1452</v>
      </c>
      <c r="M164" s="1351">
        <v>506</v>
      </c>
      <c r="N164" s="1351"/>
      <c r="O164" s="1348"/>
      <c r="P164" s="1348"/>
      <c r="Q164" s="1348"/>
      <c r="R164" s="1348"/>
      <c r="S164" s="1348"/>
      <c r="T164" s="1348"/>
      <c r="U164" s="1348"/>
      <c r="V164" s="1348"/>
      <c r="W164" s="1348"/>
      <c r="X164" s="1348"/>
      <c r="Y164" s="1348"/>
      <c r="Z164" s="134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1"/>
      <c r="G165" s="1351"/>
      <c r="H165" s="1351"/>
      <c r="I165" s="1307" t="str">
        <f t="shared" si="22"/>
        <v xml:space="preserve">Phone Number: </v>
      </c>
      <c r="J165" s="1351" t="str">
        <f t="shared" si="23"/>
        <v>F507</v>
      </c>
      <c r="K165" s="1351" t="str">
        <f t="shared" si="24"/>
        <v>Required Info to Submit</v>
      </c>
      <c r="L165" s="867" t="s">
        <v>1453</v>
      </c>
      <c r="M165" s="1351">
        <v>507</v>
      </c>
      <c r="N165" s="1351"/>
      <c r="O165" s="1348"/>
      <c r="P165" s="1348"/>
      <c r="Q165" s="1348"/>
      <c r="R165" s="1348"/>
      <c r="S165" s="1348"/>
      <c r="T165" s="1348"/>
      <c r="U165" s="1348"/>
      <c r="V165" s="1348"/>
      <c r="W165" s="1348"/>
      <c r="X165" s="1348"/>
      <c r="Y165" s="1348"/>
      <c r="Z165" s="134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1"/>
      <c r="G166" s="1351"/>
      <c r="H166" s="1351"/>
      <c r="I166" s="1307" t="str">
        <f t="shared" si="22"/>
        <v xml:space="preserve">Legal Entity City, State, Zip: </v>
      </c>
      <c r="J166" s="1351" t="str">
        <f t="shared" si="23"/>
        <v>F508</v>
      </c>
      <c r="K166" s="1351" t="str">
        <f t="shared" si="24"/>
        <v>Required Info to Submit</v>
      </c>
      <c r="L166" s="867" t="s">
        <v>1454</v>
      </c>
      <c r="M166" s="1351">
        <v>508</v>
      </c>
      <c r="N166" s="1351"/>
      <c r="O166" s="1348"/>
      <c r="P166" s="1348"/>
      <c r="Q166" s="1348"/>
      <c r="R166" s="1348"/>
      <c r="S166" s="1348"/>
      <c r="T166" s="1348"/>
      <c r="U166" s="1348"/>
      <c r="V166" s="1348"/>
      <c r="W166" s="1348"/>
      <c r="X166" s="1348"/>
      <c r="Y166" s="1348"/>
      <c r="Z166" s="134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1" t="s">
        <v>1357</v>
      </c>
      <c r="E167" s="817" t="s">
        <v>1358</v>
      </c>
      <c r="F167" s="1351"/>
      <c r="G167" s="1351"/>
      <c r="H167" s="1351"/>
      <c r="I167" s="1307" t="str">
        <f t="shared" si="22"/>
        <v/>
      </c>
      <c r="J167" s="1351"/>
      <c r="K167" s="1351" t="str">
        <f t="shared" si="24"/>
        <v/>
      </c>
      <c r="L167" s="850"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1" t="s">
        <v>1357</v>
      </c>
      <c r="E168" s="817" t="s">
        <v>1358</v>
      </c>
      <c r="F168" s="1351"/>
      <c r="G168" s="1351"/>
      <c r="H168" s="1351"/>
      <c r="I168" s="1307" t="str">
        <f t="shared" si="22"/>
        <v>Name</v>
      </c>
      <c r="J168" s="1351" t="str">
        <f>IF(P167="",Q$1&amp;M168,"")</f>
        <v>F36</v>
      </c>
      <c r="K168" s="1351" t="str">
        <f t="shared" si="24"/>
        <v>Required Info to Submit</v>
      </c>
      <c r="L168" s="850" t="s">
        <v>766</v>
      </c>
      <c r="M168" s="1351">
        <v>36</v>
      </c>
      <c r="N168" s="1351"/>
      <c r="O168" s="1348"/>
      <c r="P168" s="1348"/>
      <c r="Q168" s="1348"/>
      <c r="R168" s="1348"/>
      <c r="S168" s="1348"/>
      <c r="T168" s="1348"/>
      <c r="U168" s="1348"/>
      <c r="V168" s="1348"/>
      <c r="W168" s="1348"/>
      <c r="X168" s="1348"/>
      <c r="Y168" s="1348"/>
      <c r="Z168" s="1348"/>
    </row>
    <row r="169" spans="1:26" x14ac:dyDescent="0.25">
      <c r="A169" s="869" t="s">
        <v>765</v>
      </c>
      <c r="B169" s="817" t="str">
        <f t="shared" ca="1" si="25"/>
        <v>K23</v>
      </c>
      <c r="C169" s="817" t="str">
        <f t="shared" ca="1" si="26"/>
        <v>K</v>
      </c>
      <c r="D169" s="1351" t="s">
        <v>1357</v>
      </c>
      <c r="E169" s="817" t="s">
        <v>1358</v>
      </c>
      <c r="F169" s="1351"/>
      <c r="G169" s="1351"/>
      <c r="H169" s="1351"/>
      <c r="I169" s="1307" t="str">
        <f t="shared" si="22"/>
        <v/>
      </c>
      <c r="J169" s="1351"/>
      <c r="K169" s="1351" t="str">
        <f t="shared" si="24"/>
        <v/>
      </c>
      <c r="L169" s="850" t="s">
        <v>765</v>
      </c>
      <c r="M169" s="1351">
        <v>46</v>
      </c>
      <c r="N169" s="1351"/>
      <c r="O169" s="1348"/>
      <c r="P169" s="1348"/>
      <c r="Q169" s="1348"/>
      <c r="R169" s="1348"/>
      <c r="S169" s="1348"/>
      <c r="T169" s="1348"/>
      <c r="U169" s="1348"/>
      <c r="V169" s="1348"/>
      <c r="W169" s="1348"/>
      <c r="X169" s="1348"/>
      <c r="Y169" s="1348"/>
      <c r="Z169" s="1348"/>
    </row>
    <row r="170" spans="1:26" x14ac:dyDescent="0.25">
      <c r="A170" s="869" t="s">
        <v>1179</v>
      </c>
      <c r="B170" s="817" t="str">
        <f t="shared" ca="1" si="25"/>
        <v>L23</v>
      </c>
      <c r="C170" s="817" t="str">
        <f t="shared" ca="1" si="26"/>
        <v>L</v>
      </c>
      <c r="D170" s="1351" t="s">
        <v>1357</v>
      </c>
      <c r="E170" s="817" t="s">
        <v>1358</v>
      </c>
      <c r="F170" s="1351"/>
      <c r="G170" s="1351"/>
      <c r="H170" s="1351"/>
      <c r="I170" s="1307" t="str">
        <f t="shared" si="22"/>
        <v/>
      </c>
      <c r="J170" s="1351"/>
      <c r="K170" s="1351" t="str">
        <f t="shared" si="24"/>
        <v/>
      </c>
      <c r="L170" s="850" t="s">
        <v>1179</v>
      </c>
      <c r="M170" s="1351">
        <v>47</v>
      </c>
      <c r="N170" s="1351"/>
      <c r="O170" s="1348"/>
      <c r="P170" s="1348"/>
      <c r="Q170" s="1348"/>
      <c r="R170" s="1348"/>
      <c r="S170" s="1348"/>
      <c r="T170" s="1348"/>
      <c r="U170" s="1348"/>
      <c r="V170" s="1348"/>
      <c r="W170" s="1348"/>
      <c r="X170" s="1348"/>
      <c r="Y170" s="1348"/>
      <c r="Z170" s="1348"/>
    </row>
    <row r="171" spans="1:26" x14ac:dyDescent="0.25">
      <c r="A171" s="869" t="s">
        <v>1180</v>
      </c>
      <c r="B171" s="817" t="str">
        <f t="shared" ca="1" si="25"/>
        <v>M23</v>
      </c>
      <c r="C171" s="817" t="str">
        <f t="shared" ca="1" si="26"/>
        <v>M</v>
      </c>
      <c r="D171" s="1351" t="s">
        <v>1357</v>
      </c>
      <c r="E171" s="817" t="s">
        <v>1358</v>
      </c>
      <c r="F171" s="1351"/>
      <c r="G171" s="1351"/>
      <c r="H171" s="1351"/>
      <c r="I171" s="1307" t="str">
        <f t="shared" si="22"/>
        <v>Secondary or Internal Customer</v>
      </c>
      <c r="J171" s="1351" t="str">
        <f>IF(M171&lt;&gt;"",Q$1&amp;M171,"")</f>
        <v>F48</v>
      </c>
      <c r="K171" s="1351" t="str">
        <f t="shared" si="24"/>
        <v>Required Info to Submit</v>
      </c>
      <c r="L171" s="850" t="s">
        <v>1180</v>
      </c>
      <c r="M171" s="1351">
        <v>48</v>
      </c>
      <c r="N171" s="1351"/>
      <c r="O171" s="1348"/>
      <c r="P171" s="1348"/>
      <c r="Q171" s="1348"/>
      <c r="R171" s="1348"/>
      <c r="S171" s="1348"/>
      <c r="T171" s="1348"/>
      <c r="U171" s="1348"/>
      <c r="V171" s="1348"/>
      <c r="W171" s="1348"/>
      <c r="X171" s="1348"/>
      <c r="Y171" s="1348"/>
      <c r="Z171" s="1348"/>
    </row>
    <row r="172" spans="1:26" x14ac:dyDescent="0.25">
      <c r="A172" s="869" t="s">
        <v>1181</v>
      </c>
      <c r="B172" s="817" t="str">
        <f t="shared" ca="1" si="25"/>
        <v>N23</v>
      </c>
      <c r="C172" s="817" t="str">
        <f t="shared" ca="1" si="26"/>
        <v>N</v>
      </c>
      <c r="D172" s="1351" t="s">
        <v>1357</v>
      </c>
      <c r="E172" s="817" t="s">
        <v>1358</v>
      </c>
      <c r="F172" s="1351"/>
      <c r="G172" s="1351"/>
      <c r="H172" s="1351"/>
      <c r="I172" s="1307" t="str">
        <f t="shared" si="22"/>
        <v>Fuel Surcharge Applied</v>
      </c>
      <c r="J172" s="1351" t="str">
        <f>IF(M172&lt;&gt;"",Q$1&amp;M172,"")</f>
        <v>F49</v>
      </c>
      <c r="K172" s="1351" t="str">
        <f t="shared" si="24"/>
        <v>Required Info to Submit</v>
      </c>
      <c r="L172" s="850" t="s">
        <v>1367</v>
      </c>
      <c r="M172" s="1351">
        <v>49</v>
      </c>
      <c r="N172" s="1351"/>
      <c r="O172" s="1348"/>
      <c r="P172" s="1348"/>
      <c r="Q172" s="1348"/>
      <c r="R172" s="1348"/>
      <c r="S172" s="1348"/>
      <c r="T172" s="1348"/>
      <c r="U172" s="1348"/>
      <c r="V172" s="1348"/>
      <c r="W172" s="1348"/>
      <c r="X172" s="1348"/>
      <c r="Y172" s="1348"/>
      <c r="Z172" s="1348"/>
    </row>
    <row r="173" spans="1:26" x14ac:dyDescent="0.25">
      <c r="A173" s="869" t="s">
        <v>1297</v>
      </c>
      <c r="B173" s="817" t="str">
        <f t="shared" ca="1" si="25"/>
        <v>O23</v>
      </c>
      <c r="C173" s="817" t="str">
        <f t="shared" ca="1" si="26"/>
        <v>O</v>
      </c>
      <c r="D173" s="1351" t="s">
        <v>1357</v>
      </c>
      <c r="E173" s="817" t="s">
        <v>1358</v>
      </c>
      <c r="F173" s="1351"/>
      <c r="G173" s="1351"/>
      <c r="H173" s="1351"/>
      <c r="I173" s="1307" t="str">
        <f t="shared" si="22"/>
        <v>Minimum Delivery Charge Applied Flag</v>
      </c>
      <c r="J173" s="1351" t="str">
        <f>IF(M173&lt;&gt;"",Q$1&amp;M173,"")</f>
        <v>F50</v>
      </c>
      <c r="K173" s="1351" t="str">
        <f t="shared" si="24"/>
        <v>Required Info to Submit</v>
      </c>
      <c r="L173" s="850" t="s">
        <v>1297</v>
      </c>
      <c r="M173" s="1351">
        <v>50</v>
      </c>
      <c r="N173" s="1351"/>
      <c r="O173" s="1348"/>
      <c r="P173" s="1348"/>
      <c r="Q173" s="1348"/>
      <c r="R173" s="1348"/>
      <c r="S173" s="1348"/>
      <c r="T173" s="1348"/>
      <c r="U173" s="1348"/>
      <c r="V173" s="1348"/>
      <c r="W173" s="1348"/>
      <c r="X173" s="1348"/>
      <c r="Y173" s="1348"/>
      <c r="Z173" s="1348"/>
    </row>
    <row r="174" spans="1:26" x14ac:dyDescent="0.25">
      <c r="A174" s="869" t="s">
        <v>767</v>
      </c>
      <c r="B174" s="817" t="str">
        <f t="shared" ca="1" si="25"/>
        <v>G23</v>
      </c>
      <c r="C174" s="817" t="str">
        <f t="shared" ca="1" si="26"/>
        <v>G</v>
      </c>
      <c r="D174" s="1351" t="s">
        <v>1357</v>
      </c>
      <c r="E174" s="817" t="s">
        <v>1358</v>
      </c>
      <c r="F174" s="1351"/>
      <c r="G174" s="1351"/>
      <c r="H174" s="1351"/>
      <c r="I174" s="1307" t="str">
        <f t="shared" si="22"/>
        <v>Address</v>
      </c>
      <c r="J174" s="1351" t="str">
        <f>IF(P167="",Q$1&amp;M174,"")</f>
        <v>F51</v>
      </c>
      <c r="K174" s="1351" t="str">
        <f t="shared" si="24"/>
        <v>Required Info to Submit</v>
      </c>
      <c r="L174" s="850" t="s">
        <v>767</v>
      </c>
      <c r="M174" s="1351">
        <v>51</v>
      </c>
      <c r="N174" s="1351"/>
      <c r="O174" s="1348"/>
      <c r="P174" s="1348"/>
      <c r="Q174" s="1348"/>
      <c r="R174" s="1348"/>
      <c r="S174" s="1348"/>
      <c r="T174" s="1348"/>
      <c r="U174" s="1348"/>
      <c r="V174" s="1348"/>
      <c r="W174" s="1348"/>
      <c r="X174" s="1348"/>
      <c r="Y174" s="1348"/>
      <c r="Z174" s="1348"/>
    </row>
    <row r="175" spans="1:26" x14ac:dyDescent="0.25">
      <c r="A175" s="869" t="s">
        <v>768</v>
      </c>
      <c r="B175" s="817" t="str">
        <f t="shared" ca="1" si="25"/>
        <v>H23</v>
      </c>
      <c r="C175" s="817" t="str">
        <f t="shared" ca="1" si="26"/>
        <v>H</v>
      </c>
      <c r="D175" s="1351" t="s">
        <v>1357</v>
      </c>
      <c r="E175" s="817" t="s">
        <v>1358</v>
      </c>
      <c r="F175" s="1351"/>
      <c r="G175" s="1351"/>
      <c r="H175" s="1351"/>
      <c r="I175" s="1307" t="str">
        <f t="shared" si="22"/>
        <v>City</v>
      </c>
      <c r="J175" s="1351" t="str">
        <f>IF(P167="",Q$1&amp;M175,"")</f>
        <v>F52</v>
      </c>
      <c r="K175" s="1351" t="str">
        <f t="shared" si="24"/>
        <v>Required Info to Submit</v>
      </c>
      <c r="L175" s="850" t="s">
        <v>768</v>
      </c>
      <c r="M175" s="1351">
        <v>52</v>
      </c>
      <c r="N175" s="1351"/>
      <c r="O175" s="1348"/>
      <c r="P175" s="1348"/>
      <c r="Q175" s="1348"/>
      <c r="R175" s="1348"/>
      <c r="S175" s="1348"/>
      <c r="T175" s="1348"/>
      <c r="U175" s="1348"/>
      <c r="V175" s="1348"/>
      <c r="W175" s="1348"/>
      <c r="X175" s="1348"/>
      <c r="Y175" s="1348"/>
      <c r="Z175" s="1348"/>
    </row>
    <row r="176" spans="1:26" x14ac:dyDescent="0.25">
      <c r="A176" s="869" t="s">
        <v>769</v>
      </c>
      <c r="B176" s="817" t="str">
        <f t="shared" ca="1" si="25"/>
        <v>I23</v>
      </c>
      <c r="C176" s="817" t="str">
        <f t="shared" ca="1" si="26"/>
        <v>I</v>
      </c>
      <c r="D176" s="1351" t="s">
        <v>1357</v>
      </c>
      <c r="E176" s="817" t="s">
        <v>1358</v>
      </c>
      <c r="F176" s="1351"/>
      <c r="G176" s="1351"/>
      <c r="H176" s="1351"/>
      <c r="I176" s="1307" t="str">
        <f t="shared" si="22"/>
        <v>State</v>
      </c>
      <c r="J176" s="1351" t="str">
        <f>IF(P167="",Q$1&amp;M176,"")</f>
        <v>F53</v>
      </c>
      <c r="K176" s="1351" t="str">
        <f t="shared" si="24"/>
        <v>Required Info to Submit</v>
      </c>
      <c r="L176" s="850" t="s">
        <v>769</v>
      </c>
      <c r="M176" s="1351">
        <v>53</v>
      </c>
      <c r="N176" s="1351"/>
      <c r="O176" s="1348"/>
      <c r="P176" s="1348"/>
      <c r="Q176" s="1348"/>
      <c r="R176" s="1348"/>
      <c r="S176" s="1348"/>
      <c r="T176" s="1348"/>
      <c r="U176" s="1348"/>
      <c r="V176" s="1348"/>
      <c r="W176" s="1348"/>
      <c r="X176" s="1348"/>
      <c r="Y176" s="1348"/>
      <c r="Z176" s="1348"/>
    </row>
    <row r="177" spans="1:26" x14ac:dyDescent="0.25">
      <c r="A177" s="869" t="s">
        <v>204</v>
      </c>
      <c r="B177" s="817" t="str">
        <f t="shared" ca="1" si="25"/>
        <v>J23</v>
      </c>
      <c r="C177" s="817" t="str">
        <f t="shared" ca="1" si="26"/>
        <v>J</v>
      </c>
      <c r="D177" s="1351" t="s">
        <v>1357</v>
      </c>
      <c r="E177" s="817" t="s">
        <v>1358</v>
      </c>
      <c r="F177" s="1351"/>
      <c r="G177" s="1351"/>
      <c r="H177" s="1351"/>
      <c r="I177" s="1307" t="str">
        <f t="shared" si="22"/>
        <v>Zip Code</v>
      </c>
      <c r="J177" s="1351" t="str">
        <f>IF(P167="",Q$1&amp;M177,"")</f>
        <v>F54</v>
      </c>
      <c r="K177" s="1351" t="str">
        <f t="shared" si="24"/>
        <v>Required Info to Submit</v>
      </c>
      <c r="L177" s="850" t="s">
        <v>204</v>
      </c>
      <c r="M177" s="1351">
        <v>54</v>
      </c>
      <c r="N177" s="1351"/>
      <c r="O177" s="1348"/>
      <c r="P177" s="1348"/>
      <c r="Q177" s="1348"/>
      <c r="R177" s="1348"/>
      <c r="S177" s="1348"/>
      <c r="T177" s="1348"/>
      <c r="U177" s="1348"/>
      <c r="V177" s="1348"/>
      <c r="W177" s="1348"/>
      <c r="X177" s="1348"/>
      <c r="Y177" s="1348"/>
      <c r="Z177" s="1348"/>
    </row>
    <row r="178" spans="1:26" x14ac:dyDescent="0.25">
      <c r="A178" s="870" t="s">
        <v>1178</v>
      </c>
      <c r="B178" s="817" t="str">
        <f ca="1">_xlfn.IFNA(_xlfn.CONCAT(SUBSTITUTE(ADDRESS(1,MATCH(A178,INDIRECT("'"&amp;E178&amp;"'"&amp;"!A22:Z22"),0),4),1,""),24),"")</f>
        <v>E24</v>
      </c>
      <c r="C178" s="817" t="str">
        <f t="shared" ca="1" si="26"/>
        <v>E</v>
      </c>
      <c r="D178" s="1351" t="s">
        <v>1357</v>
      </c>
      <c r="E178" s="817" t="s">
        <v>1358</v>
      </c>
      <c r="F178" s="1351"/>
      <c r="G178" s="1351"/>
      <c r="H178" s="1351"/>
      <c r="I178" s="1307" t="str">
        <f t="shared" si="22"/>
        <v/>
      </c>
      <c r="J178" s="1351"/>
      <c r="K178" s="1351" t="str">
        <f t="shared" si="24"/>
        <v/>
      </c>
      <c r="L178" s="850"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1" t="s">
        <v>766</v>
      </c>
      <c r="B179" s="817" t="str">
        <f t="shared" ref="B179:B188" ca="1" si="27">_xlfn.IFNA(_xlfn.CONCAT(SUBSTITUTE(ADDRESS(1,MATCH(A179,INDIRECT("'"&amp;E179&amp;"'"&amp;"!A22:Z22"),0),4),1,""),24),"")</f>
        <v>F24</v>
      </c>
      <c r="C179" s="817" t="str">
        <f t="shared" ca="1" si="26"/>
        <v>F</v>
      </c>
      <c r="D179" s="1351" t="s">
        <v>1357</v>
      </c>
      <c r="E179" s="817" t="s">
        <v>1358</v>
      </c>
      <c r="F179" s="1351"/>
      <c r="G179" s="1351"/>
      <c r="H179" s="1351"/>
      <c r="I179" s="1307" t="str">
        <f t="shared" si="22"/>
        <v>Name</v>
      </c>
      <c r="J179" s="1351" t="str">
        <f>IF(P178="",Q$1&amp;M179,"")</f>
        <v>F57</v>
      </c>
      <c r="K179" s="1351" t="str">
        <f t="shared" si="24"/>
        <v>Required Info to Submit</v>
      </c>
      <c r="L179" s="850" t="s">
        <v>766</v>
      </c>
      <c r="M179" s="1351">
        <v>57</v>
      </c>
      <c r="N179" s="1351"/>
      <c r="O179" s="1348"/>
      <c r="P179" s="1348"/>
      <c r="Q179" s="1348"/>
      <c r="R179" s="1348"/>
      <c r="S179" s="1348"/>
      <c r="T179" s="1348"/>
      <c r="U179" s="1348"/>
      <c r="V179" s="1348"/>
      <c r="W179" s="1348"/>
      <c r="X179" s="1348"/>
      <c r="Y179" s="1348"/>
      <c r="Z179" s="1348"/>
    </row>
    <row r="180" spans="1:26" x14ac:dyDescent="0.25">
      <c r="A180" s="871" t="s">
        <v>765</v>
      </c>
      <c r="B180" s="817" t="str">
        <f t="shared" ca="1" si="27"/>
        <v>K24</v>
      </c>
      <c r="C180" s="817" t="str">
        <f t="shared" ca="1" si="26"/>
        <v>K</v>
      </c>
      <c r="D180" s="1351" t="s">
        <v>1357</v>
      </c>
      <c r="E180" s="817" t="s">
        <v>1358</v>
      </c>
      <c r="F180" s="1351"/>
      <c r="G180" s="1351"/>
      <c r="H180" s="1351"/>
      <c r="I180" s="1307" t="str">
        <f t="shared" si="22"/>
        <v/>
      </c>
      <c r="J180" s="1351"/>
      <c r="K180" s="1351" t="str">
        <f t="shared" si="24"/>
        <v/>
      </c>
      <c r="L180" s="850" t="s">
        <v>765</v>
      </c>
      <c r="M180" s="1351">
        <v>67</v>
      </c>
      <c r="N180" s="1351"/>
      <c r="O180" s="1348"/>
      <c r="P180" s="1348"/>
      <c r="Q180" s="1348"/>
      <c r="R180" s="1348"/>
      <c r="S180" s="1348"/>
      <c r="T180" s="1348"/>
      <c r="U180" s="1348"/>
      <c r="V180" s="1348"/>
      <c r="W180" s="1348"/>
      <c r="X180" s="1348"/>
      <c r="Y180" s="1348"/>
      <c r="Z180" s="1348"/>
    </row>
    <row r="181" spans="1:26" x14ac:dyDescent="0.25">
      <c r="A181" s="871" t="s">
        <v>1179</v>
      </c>
      <c r="B181" s="817" t="str">
        <f t="shared" ca="1" si="27"/>
        <v>L24</v>
      </c>
      <c r="C181" s="817" t="str">
        <f t="shared" ca="1" si="26"/>
        <v>L</v>
      </c>
      <c r="D181" s="1351" t="s">
        <v>1357</v>
      </c>
      <c r="E181" s="817" t="s">
        <v>1358</v>
      </c>
      <c r="F181" s="1351"/>
      <c r="G181" s="1351"/>
      <c r="H181" s="1351"/>
      <c r="I181" s="1307" t="str">
        <f t="shared" si="22"/>
        <v/>
      </c>
      <c r="J181" s="1351"/>
      <c r="K181" s="1351" t="str">
        <f t="shared" si="24"/>
        <v/>
      </c>
      <c r="L181" s="850" t="s">
        <v>1179</v>
      </c>
      <c r="M181" s="1351">
        <v>68</v>
      </c>
      <c r="N181" s="1351"/>
      <c r="O181" s="1348"/>
      <c r="P181" s="1348"/>
      <c r="Q181" s="1348"/>
      <c r="R181" s="1348"/>
      <c r="S181" s="1348"/>
      <c r="T181" s="1348"/>
      <c r="U181" s="1348"/>
      <c r="V181" s="1348"/>
      <c r="W181" s="1348"/>
      <c r="X181" s="1348"/>
      <c r="Y181" s="1348"/>
      <c r="Z181" s="1348"/>
    </row>
    <row r="182" spans="1:26" x14ac:dyDescent="0.25">
      <c r="A182" s="871" t="s">
        <v>1180</v>
      </c>
      <c r="B182" s="817" t="str">
        <f t="shared" ca="1" si="27"/>
        <v>M24</v>
      </c>
      <c r="C182" s="817" t="str">
        <f t="shared" ca="1" si="26"/>
        <v>M</v>
      </c>
      <c r="D182" s="1351" t="s">
        <v>1357</v>
      </c>
      <c r="E182" s="817" t="s">
        <v>1358</v>
      </c>
      <c r="F182" s="1351"/>
      <c r="G182" s="1351"/>
      <c r="H182" s="1351"/>
      <c r="I182" s="1307" t="str">
        <f t="shared" si="22"/>
        <v>Secondary or Internal Customer</v>
      </c>
      <c r="J182" s="1351" t="str">
        <f>IF(M182&lt;&gt;"",Q$1&amp;M182,"")</f>
        <v>F69</v>
      </c>
      <c r="K182" s="1351" t="str">
        <f t="shared" si="24"/>
        <v>Required Info to Submit</v>
      </c>
      <c r="L182" s="850" t="s">
        <v>1180</v>
      </c>
      <c r="M182" s="1351">
        <v>69</v>
      </c>
      <c r="N182" s="1351"/>
      <c r="O182" s="1348"/>
      <c r="P182" s="1348"/>
      <c r="Q182" s="1348"/>
      <c r="R182" s="1348"/>
      <c r="S182" s="1348"/>
      <c r="T182" s="1348"/>
      <c r="U182" s="1348"/>
      <c r="V182" s="1348"/>
      <c r="W182" s="1348"/>
      <c r="X182" s="1348"/>
      <c r="Y182" s="1348"/>
      <c r="Z182" s="1348"/>
    </row>
    <row r="183" spans="1:26" x14ac:dyDescent="0.25">
      <c r="A183" s="871" t="s">
        <v>1181</v>
      </c>
      <c r="B183" s="817" t="str">
        <f t="shared" ca="1" si="27"/>
        <v>N24</v>
      </c>
      <c r="C183" s="817" t="str">
        <f t="shared" ca="1" si="26"/>
        <v>N</v>
      </c>
      <c r="D183" s="1351" t="s">
        <v>1357</v>
      </c>
      <c r="E183" s="817" t="s">
        <v>1358</v>
      </c>
      <c r="F183" s="1351"/>
      <c r="G183" s="1351"/>
      <c r="H183" s="1351"/>
      <c r="I183" s="1307" t="str">
        <f t="shared" si="22"/>
        <v>Fuel Surcharge Applied</v>
      </c>
      <c r="J183" s="1351" t="str">
        <f>IF(M183&lt;&gt;"",Q$1&amp;M183,"")</f>
        <v>F70</v>
      </c>
      <c r="K183" s="1351" t="str">
        <f t="shared" si="24"/>
        <v>Required Info to Submit</v>
      </c>
      <c r="L183" s="850" t="s">
        <v>1367</v>
      </c>
      <c r="M183" s="1351">
        <v>70</v>
      </c>
      <c r="N183" s="1351"/>
      <c r="O183" s="1348"/>
      <c r="P183" s="1348"/>
      <c r="Q183" s="1348"/>
      <c r="R183" s="1348"/>
      <c r="S183" s="1348"/>
      <c r="T183" s="1348"/>
      <c r="U183" s="1348"/>
      <c r="V183" s="1348"/>
      <c r="W183" s="1348"/>
      <c r="X183" s="1348"/>
      <c r="Y183" s="1348"/>
      <c r="Z183" s="1348"/>
    </row>
    <row r="184" spans="1:26" x14ac:dyDescent="0.25">
      <c r="A184" s="871" t="s">
        <v>1297</v>
      </c>
      <c r="B184" s="817" t="str">
        <f t="shared" ca="1" si="27"/>
        <v>O24</v>
      </c>
      <c r="C184" s="817" t="str">
        <f t="shared" ca="1" si="26"/>
        <v>O</v>
      </c>
      <c r="D184" s="1351" t="s">
        <v>1357</v>
      </c>
      <c r="E184" s="817" t="s">
        <v>1358</v>
      </c>
      <c r="F184" s="1351"/>
      <c r="G184" s="1351"/>
      <c r="H184" s="1351"/>
      <c r="I184" s="1307" t="str">
        <f t="shared" si="22"/>
        <v>Minimum Delivery Charge Applied Flag</v>
      </c>
      <c r="J184" s="1351" t="str">
        <f>IF(M184&lt;&gt;"",Q$1&amp;M184,"")</f>
        <v>F71</v>
      </c>
      <c r="K184" s="1351" t="str">
        <f t="shared" si="24"/>
        <v>Required Info to Submit</v>
      </c>
      <c r="L184" s="850" t="s">
        <v>1297</v>
      </c>
      <c r="M184" s="1351">
        <v>71</v>
      </c>
      <c r="N184" s="1351"/>
      <c r="O184" s="1348"/>
      <c r="P184" s="1348"/>
      <c r="Q184" s="1348"/>
      <c r="R184" s="1348"/>
      <c r="S184" s="1348"/>
      <c r="T184" s="1348"/>
      <c r="U184" s="1348"/>
      <c r="V184" s="1348"/>
      <c r="W184" s="1348"/>
      <c r="X184" s="1348"/>
      <c r="Y184" s="1348"/>
      <c r="Z184" s="1348"/>
    </row>
    <row r="185" spans="1:26" x14ac:dyDescent="0.25">
      <c r="A185" s="871" t="s">
        <v>767</v>
      </c>
      <c r="B185" s="817" t="str">
        <f t="shared" ca="1" si="27"/>
        <v>G24</v>
      </c>
      <c r="C185" s="817" t="str">
        <f t="shared" ca="1" si="26"/>
        <v>G</v>
      </c>
      <c r="D185" s="1351" t="s">
        <v>1357</v>
      </c>
      <c r="E185" s="817" t="s">
        <v>1358</v>
      </c>
      <c r="F185" s="1351"/>
      <c r="G185" s="1351"/>
      <c r="H185" s="1351"/>
      <c r="I185" s="1307" t="str">
        <f t="shared" si="22"/>
        <v>Address</v>
      </c>
      <c r="J185" s="1351" t="str">
        <f>IF(P178="",Q$1&amp;M185,"")</f>
        <v>F72</v>
      </c>
      <c r="K185" s="1351" t="str">
        <f t="shared" si="24"/>
        <v>Required Info to Submit</v>
      </c>
      <c r="L185" s="850" t="s">
        <v>767</v>
      </c>
      <c r="M185" s="1351">
        <v>72</v>
      </c>
      <c r="N185" s="1351"/>
      <c r="O185" s="1348"/>
      <c r="P185" s="1348"/>
      <c r="Q185" s="1348"/>
      <c r="R185" s="1348"/>
      <c r="S185" s="1348"/>
      <c r="T185" s="1348"/>
      <c r="U185" s="1348"/>
      <c r="V185" s="1348"/>
      <c r="W185" s="1348"/>
      <c r="X185" s="1348"/>
      <c r="Y185" s="1348"/>
      <c r="Z185" s="1348"/>
    </row>
    <row r="186" spans="1:26" x14ac:dyDescent="0.25">
      <c r="A186" s="871" t="s">
        <v>768</v>
      </c>
      <c r="B186" s="817" t="str">
        <f t="shared" ca="1" si="27"/>
        <v>H24</v>
      </c>
      <c r="C186" s="817" t="str">
        <f t="shared" ca="1" si="26"/>
        <v>H</v>
      </c>
      <c r="D186" s="1351" t="s">
        <v>1357</v>
      </c>
      <c r="E186" s="817" t="s">
        <v>1358</v>
      </c>
      <c r="F186" s="1351"/>
      <c r="G186" s="1351"/>
      <c r="H186" s="1351"/>
      <c r="I186" s="1307" t="str">
        <f t="shared" si="22"/>
        <v>City</v>
      </c>
      <c r="J186" s="1351" t="str">
        <f>IF(P178="",Q$1&amp;M186,"")</f>
        <v>F73</v>
      </c>
      <c r="K186" s="1351" t="str">
        <f t="shared" si="24"/>
        <v>Required Info to Submit</v>
      </c>
      <c r="L186" s="850" t="s">
        <v>768</v>
      </c>
      <c r="M186" s="1351">
        <v>73</v>
      </c>
      <c r="N186" s="1351"/>
      <c r="O186" s="1348"/>
      <c r="P186" s="1348"/>
      <c r="Q186" s="1348"/>
      <c r="R186" s="1348"/>
      <c r="S186" s="1348"/>
      <c r="T186" s="1348"/>
      <c r="U186" s="1348"/>
      <c r="V186" s="1348"/>
      <c r="W186" s="1348"/>
      <c r="X186" s="1348"/>
      <c r="Y186" s="1348"/>
      <c r="Z186" s="1348"/>
    </row>
    <row r="187" spans="1:26" x14ac:dyDescent="0.25">
      <c r="A187" s="871" t="s">
        <v>769</v>
      </c>
      <c r="B187" s="817" t="str">
        <f t="shared" ca="1" si="27"/>
        <v>I24</v>
      </c>
      <c r="C187" s="817" t="str">
        <f t="shared" ca="1" si="26"/>
        <v>I</v>
      </c>
      <c r="D187" s="1351" t="s">
        <v>1357</v>
      </c>
      <c r="E187" s="817" t="s">
        <v>1358</v>
      </c>
      <c r="F187" s="1351"/>
      <c r="G187" s="1351"/>
      <c r="H187" s="1351"/>
      <c r="I187" s="1307" t="str">
        <f t="shared" si="22"/>
        <v>State</v>
      </c>
      <c r="J187" s="1351" t="str">
        <f>IF(P178="",Q$1&amp;M187,"")</f>
        <v>F74</v>
      </c>
      <c r="K187" s="1351" t="str">
        <f t="shared" si="24"/>
        <v>Required Info to Submit</v>
      </c>
      <c r="L187" s="850" t="s">
        <v>769</v>
      </c>
      <c r="M187" s="1351">
        <v>74</v>
      </c>
      <c r="N187" s="1351"/>
      <c r="O187" s="1348"/>
      <c r="P187" s="1348"/>
      <c r="Q187" s="1348"/>
      <c r="R187" s="1348"/>
      <c r="S187" s="1348"/>
      <c r="T187" s="1348"/>
      <c r="U187" s="1348"/>
      <c r="V187" s="1348"/>
      <c r="W187" s="1348"/>
      <c r="X187" s="1348"/>
      <c r="Y187" s="1348"/>
      <c r="Z187" s="1348"/>
    </row>
    <row r="188" spans="1:26" x14ac:dyDescent="0.25">
      <c r="A188" s="871" t="s">
        <v>204</v>
      </c>
      <c r="B188" s="817" t="str">
        <f t="shared" ca="1" si="27"/>
        <v>J24</v>
      </c>
      <c r="C188" s="817" t="str">
        <f t="shared" ca="1" si="26"/>
        <v>J</v>
      </c>
      <c r="D188" s="1351" t="s">
        <v>1357</v>
      </c>
      <c r="E188" s="817" t="s">
        <v>1358</v>
      </c>
      <c r="F188" s="1351"/>
      <c r="G188" s="1351"/>
      <c r="H188" s="1351"/>
      <c r="I188" s="1307" t="str">
        <f t="shared" si="22"/>
        <v>Zip Code</v>
      </c>
      <c r="J188" s="1351" t="str">
        <f>IF(P178="",Q$1&amp;M188,"")</f>
        <v>F75</v>
      </c>
      <c r="K188" s="1351" t="str">
        <f t="shared" si="24"/>
        <v>Required Info to Submit</v>
      </c>
      <c r="L188" s="850" t="s">
        <v>204</v>
      </c>
      <c r="M188" s="1351">
        <v>75</v>
      </c>
      <c r="N188" s="1351"/>
      <c r="O188" s="1348"/>
      <c r="P188" s="1348"/>
      <c r="Q188" s="1348"/>
      <c r="R188" s="1348"/>
      <c r="S188" s="1348"/>
      <c r="T188" s="1348"/>
      <c r="U188" s="1348"/>
      <c r="V188" s="1348"/>
      <c r="W188" s="1348"/>
      <c r="X188" s="1348"/>
      <c r="Y188" s="1348"/>
      <c r="Z188" s="1348"/>
    </row>
    <row r="189" spans="1:26" x14ac:dyDescent="0.25">
      <c r="A189" s="868" t="s">
        <v>1178</v>
      </c>
      <c r="B189" s="817" t="str">
        <f ca="1">_xlfn.IFNA(_xlfn.CONCAT(SUBSTITUTE(ADDRESS(1,MATCH(A189,INDIRECT("'"&amp;E189&amp;"'"&amp;"!A22:Z22"),0),4),1,""),25),"")</f>
        <v>E25</v>
      </c>
      <c r="C189" s="817" t="str">
        <f t="shared" ca="1" si="26"/>
        <v>E</v>
      </c>
      <c r="D189" s="1351" t="s">
        <v>1357</v>
      </c>
      <c r="E189" s="817" t="s">
        <v>1358</v>
      </c>
      <c r="F189" s="1351"/>
      <c r="G189" s="1351"/>
      <c r="H189" s="1351"/>
      <c r="I189" s="1307" t="str">
        <f t="shared" si="22"/>
        <v/>
      </c>
      <c r="J189" s="1351"/>
      <c r="K189" s="1351" t="str">
        <f t="shared" si="24"/>
        <v/>
      </c>
      <c r="L189" s="850"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9" t="s">
        <v>766</v>
      </c>
      <c r="B190" s="817" t="str">
        <f t="shared" ref="B190:B199" ca="1" si="28">_xlfn.IFNA(_xlfn.CONCAT(SUBSTITUTE(ADDRESS(1,MATCH(A190,INDIRECT("'"&amp;E190&amp;"'"&amp;"!A22:Z22"),0),4),1,""),25),"")</f>
        <v>F25</v>
      </c>
      <c r="C190" s="817" t="str">
        <f t="shared" ca="1" si="26"/>
        <v>F</v>
      </c>
      <c r="D190" s="1351" t="s">
        <v>1357</v>
      </c>
      <c r="E190" s="817" t="s">
        <v>1358</v>
      </c>
      <c r="F190" s="1351"/>
      <c r="G190" s="1351"/>
      <c r="H190" s="1351"/>
      <c r="I190" s="1307" t="str">
        <f t="shared" si="22"/>
        <v>Name</v>
      </c>
      <c r="J190" s="1351" t="str">
        <f>IF(P189="",Q$1&amp;M190,"")</f>
        <v>F78</v>
      </c>
      <c r="K190" s="1351" t="str">
        <f t="shared" si="24"/>
        <v>Required Info to Submit</v>
      </c>
      <c r="L190" s="850" t="s">
        <v>766</v>
      </c>
      <c r="M190" s="1351">
        <v>78</v>
      </c>
      <c r="N190" s="1351"/>
      <c r="O190" s="1348"/>
      <c r="P190" s="1348"/>
      <c r="Q190" s="1348"/>
      <c r="R190" s="1348"/>
      <c r="S190" s="1348"/>
      <c r="T190" s="1348"/>
      <c r="U190" s="1348"/>
      <c r="V190" s="1348"/>
      <c r="W190" s="1348"/>
      <c r="X190" s="1348"/>
      <c r="Y190" s="1348"/>
      <c r="Z190" s="1348"/>
    </row>
    <row r="191" spans="1:26" x14ac:dyDescent="0.25">
      <c r="A191" s="869" t="s">
        <v>765</v>
      </c>
      <c r="B191" s="817" t="str">
        <f t="shared" ca="1" si="28"/>
        <v>K25</v>
      </c>
      <c r="C191" s="817" t="str">
        <f t="shared" ca="1" si="26"/>
        <v>K</v>
      </c>
      <c r="D191" s="1351" t="s">
        <v>1357</v>
      </c>
      <c r="E191" s="817" t="s">
        <v>1358</v>
      </c>
      <c r="F191" s="1351"/>
      <c r="G191" s="1351"/>
      <c r="H191" s="1351"/>
      <c r="I191" s="1307" t="str">
        <f t="shared" si="22"/>
        <v/>
      </c>
      <c r="J191" s="1351"/>
      <c r="K191" s="1351" t="str">
        <f t="shared" si="24"/>
        <v/>
      </c>
      <c r="L191" s="850" t="s">
        <v>765</v>
      </c>
      <c r="M191" s="1351">
        <v>88</v>
      </c>
      <c r="N191" s="1351"/>
      <c r="O191" s="1348"/>
      <c r="P191" s="1348"/>
      <c r="Q191" s="1348"/>
      <c r="R191" s="1348"/>
      <c r="S191" s="1348"/>
      <c r="T191" s="1348"/>
      <c r="U191" s="1348"/>
      <c r="V191" s="1348"/>
      <c r="W191" s="1348"/>
      <c r="X191" s="1348"/>
      <c r="Y191" s="1348"/>
      <c r="Z191" s="1348"/>
    </row>
    <row r="192" spans="1:26" x14ac:dyDescent="0.25">
      <c r="A192" s="869" t="s">
        <v>1179</v>
      </c>
      <c r="B192" s="817" t="str">
        <f t="shared" ca="1" si="28"/>
        <v>L25</v>
      </c>
      <c r="C192" s="817" t="str">
        <f t="shared" ca="1" si="26"/>
        <v>L</v>
      </c>
      <c r="D192" s="1351" t="s">
        <v>1357</v>
      </c>
      <c r="E192" s="817" t="s">
        <v>1358</v>
      </c>
      <c r="F192" s="1351"/>
      <c r="G192" s="1351"/>
      <c r="H192" s="1351"/>
      <c r="I192" s="1307" t="str">
        <f t="shared" si="22"/>
        <v/>
      </c>
      <c r="J192" s="1351"/>
      <c r="K192" s="1351" t="str">
        <f t="shared" si="24"/>
        <v/>
      </c>
      <c r="L192" s="850" t="s">
        <v>1179</v>
      </c>
      <c r="M192" s="1351">
        <v>89</v>
      </c>
      <c r="N192" s="1351"/>
      <c r="O192" s="1348"/>
      <c r="P192" s="1348"/>
      <c r="Q192" s="1348"/>
      <c r="R192" s="1348"/>
      <c r="S192" s="1348"/>
      <c r="T192" s="1348"/>
      <c r="U192" s="1348"/>
      <c r="V192" s="1348"/>
      <c r="W192" s="1348"/>
      <c r="X192" s="1348"/>
      <c r="Y192" s="1348"/>
      <c r="Z192" s="1348"/>
    </row>
    <row r="193" spans="1:26" x14ac:dyDescent="0.25">
      <c r="A193" s="869" t="s">
        <v>1180</v>
      </c>
      <c r="B193" s="817" t="str">
        <f t="shared" ca="1" si="28"/>
        <v>M25</v>
      </c>
      <c r="C193" s="817" t="str">
        <f t="shared" ca="1" si="26"/>
        <v>M</v>
      </c>
      <c r="D193" s="1351" t="s">
        <v>1357</v>
      </c>
      <c r="E193" s="817" t="s">
        <v>1358</v>
      </c>
      <c r="F193" s="1351"/>
      <c r="G193" s="1351"/>
      <c r="H193" s="1351"/>
      <c r="I193" s="1307" t="str">
        <f t="shared" si="22"/>
        <v>Secondary or Internal Customer</v>
      </c>
      <c r="J193" s="1351" t="str">
        <f>IF(M193&lt;&gt;"",Q$1&amp;M193,"")</f>
        <v>F90</v>
      </c>
      <c r="K193" s="1351" t="str">
        <f t="shared" si="24"/>
        <v>Required Info to Submit</v>
      </c>
      <c r="L193" s="850" t="s">
        <v>1180</v>
      </c>
      <c r="M193" s="1351">
        <v>90</v>
      </c>
      <c r="N193" s="1351"/>
      <c r="O193" s="1348"/>
      <c r="P193" s="1348"/>
      <c r="Q193" s="1348"/>
      <c r="R193" s="1348"/>
      <c r="S193" s="1348"/>
      <c r="T193" s="1348"/>
      <c r="U193" s="1348"/>
      <c r="V193" s="1348"/>
      <c r="W193" s="1348"/>
      <c r="X193" s="1348"/>
      <c r="Y193" s="1348"/>
      <c r="Z193" s="1348"/>
    </row>
    <row r="194" spans="1:26" x14ac:dyDescent="0.25">
      <c r="A194" s="869" t="s">
        <v>1181</v>
      </c>
      <c r="B194" s="817" t="str">
        <f t="shared" ca="1" si="28"/>
        <v>N25</v>
      </c>
      <c r="C194" s="817" t="str">
        <f t="shared" ca="1" si="26"/>
        <v>N</v>
      </c>
      <c r="D194" s="1351" t="s">
        <v>1357</v>
      </c>
      <c r="E194" s="817" t="s">
        <v>1358</v>
      </c>
      <c r="F194" s="1351"/>
      <c r="G194" s="1351"/>
      <c r="H194" s="1351"/>
      <c r="I194" s="1307" t="str">
        <f t="shared" si="22"/>
        <v>Fuel Surcharge Applied</v>
      </c>
      <c r="J194" s="1351" t="str">
        <f>IF(M194&lt;&gt;"",Q$1&amp;M194,"")</f>
        <v>F91</v>
      </c>
      <c r="K194" s="1351" t="str">
        <f t="shared" si="24"/>
        <v>Required Info to Submit</v>
      </c>
      <c r="L194" s="850" t="s">
        <v>1367</v>
      </c>
      <c r="M194" s="1351">
        <v>91</v>
      </c>
      <c r="N194" s="1351"/>
      <c r="O194" s="1348"/>
      <c r="P194" s="1348"/>
      <c r="Q194" s="1348"/>
      <c r="R194" s="1348"/>
      <c r="S194" s="1348"/>
      <c r="T194" s="1348"/>
      <c r="U194" s="1348"/>
      <c r="V194" s="1348"/>
      <c r="W194" s="1348"/>
      <c r="X194" s="1348"/>
      <c r="Y194" s="1348"/>
      <c r="Z194" s="1348"/>
    </row>
    <row r="195" spans="1:26" x14ac:dyDescent="0.25">
      <c r="A195" s="869" t="s">
        <v>1297</v>
      </c>
      <c r="B195" s="817" t="str">
        <f t="shared" ca="1" si="28"/>
        <v>O25</v>
      </c>
      <c r="C195" s="817" t="str">
        <f t="shared" ca="1" si="26"/>
        <v>O</v>
      </c>
      <c r="D195" s="1351" t="s">
        <v>1357</v>
      </c>
      <c r="E195" s="817" t="s">
        <v>1358</v>
      </c>
      <c r="F195" s="1351"/>
      <c r="G195" s="1351"/>
      <c r="H195" s="1351"/>
      <c r="I195" s="1307" t="str">
        <f t="shared" si="22"/>
        <v>Minimum Delivery Charge Applied Flag</v>
      </c>
      <c r="J195" s="1351" t="str">
        <f>IF(M195&lt;&gt;"",Q$1&amp;M195,"")</f>
        <v>F92</v>
      </c>
      <c r="K195" s="1351" t="str">
        <f t="shared" si="24"/>
        <v>Required Info to Submit</v>
      </c>
      <c r="L195" s="850" t="s">
        <v>1297</v>
      </c>
      <c r="M195" s="1351">
        <v>92</v>
      </c>
      <c r="N195" s="1351"/>
      <c r="O195" s="1348"/>
      <c r="P195" s="1348"/>
      <c r="Q195" s="1348"/>
      <c r="R195" s="1348"/>
      <c r="S195" s="1348"/>
      <c r="T195" s="1348"/>
      <c r="U195" s="1348"/>
      <c r="V195" s="1348"/>
      <c r="W195" s="1348"/>
      <c r="X195" s="1348"/>
      <c r="Y195" s="1348"/>
      <c r="Z195" s="1348"/>
    </row>
    <row r="196" spans="1:26" x14ac:dyDescent="0.25">
      <c r="A196" s="869" t="s">
        <v>767</v>
      </c>
      <c r="B196" s="817" t="str">
        <f t="shared" ca="1" si="28"/>
        <v>G25</v>
      </c>
      <c r="C196" s="817" t="str">
        <f t="shared" ca="1" si="26"/>
        <v>G</v>
      </c>
      <c r="D196" s="1351" t="s">
        <v>1357</v>
      </c>
      <c r="E196" s="817" t="s">
        <v>1358</v>
      </c>
      <c r="F196" s="1351"/>
      <c r="G196" s="1351"/>
      <c r="H196" s="1351"/>
      <c r="I196" s="1307" t="str">
        <f t="shared" ref="I196:I259" si="29">IF(J196&lt;&gt;"",A196,"")</f>
        <v>Address</v>
      </c>
      <c r="J196" s="1351" t="str">
        <f>IF(P189="",Q$1&amp;M196,"")</f>
        <v>F93</v>
      </c>
      <c r="K196" s="1351" t="str">
        <f t="shared" ref="K196:K259" si="30">IF(J196&lt;&gt;"",E196,"")</f>
        <v>Required Info to Submit</v>
      </c>
      <c r="L196" s="850" t="s">
        <v>767</v>
      </c>
      <c r="M196" s="1351">
        <v>93</v>
      </c>
      <c r="N196" s="1351"/>
      <c r="O196" s="1348"/>
      <c r="P196" s="1348"/>
      <c r="Q196" s="1348"/>
      <c r="R196" s="1348"/>
      <c r="S196" s="1348"/>
      <c r="T196" s="1348"/>
      <c r="U196" s="1348"/>
      <c r="V196" s="1348"/>
      <c r="W196" s="1348"/>
      <c r="X196" s="1348"/>
      <c r="Y196" s="1348"/>
      <c r="Z196" s="1348"/>
    </row>
    <row r="197" spans="1:26" x14ac:dyDescent="0.25">
      <c r="A197" s="869" t="s">
        <v>768</v>
      </c>
      <c r="B197" s="817" t="str">
        <f t="shared" ca="1" si="28"/>
        <v>H25</v>
      </c>
      <c r="C197" s="817" t="str">
        <f t="shared" ca="1" si="26"/>
        <v>H</v>
      </c>
      <c r="D197" s="1351" t="s">
        <v>1357</v>
      </c>
      <c r="E197" s="817" t="s">
        <v>1358</v>
      </c>
      <c r="F197" s="1351"/>
      <c r="G197" s="1351"/>
      <c r="H197" s="1351"/>
      <c r="I197" s="1307" t="str">
        <f t="shared" si="29"/>
        <v>City</v>
      </c>
      <c r="J197" s="1351" t="str">
        <f>IF(P189="",Q$1&amp;M197,"")</f>
        <v>F94</v>
      </c>
      <c r="K197" s="1351" t="str">
        <f t="shared" si="30"/>
        <v>Required Info to Submit</v>
      </c>
      <c r="L197" s="850" t="s">
        <v>768</v>
      </c>
      <c r="M197" s="1351">
        <v>94</v>
      </c>
      <c r="N197" s="1351"/>
      <c r="O197" s="1348"/>
      <c r="P197" s="1348"/>
      <c r="Q197" s="1348"/>
      <c r="R197" s="1348"/>
      <c r="S197" s="1348"/>
      <c r="T197" s="1348"/>
      <c r="U197" s="1348"/>
      <c r="V197" s="1348"/>
      <c r="W197" s="1348"/>
      <c r="X197" s="1348"/>
      <c r="Y197" s="1348"/>
      <c r="Z197" s="1348"/>
    </row>
    <row r="198" spans="1:26" x14ac:dyDescent="0.25">
      <c r="A198" s="869" t="s">
        <v>769</v>
      </c>
      <c r="B198" s="817" t="str">
        <f t="shared" ca="1" si="28"/>
        <v>I25</v>
      </c>
      <c r="C198" s="817" t="str">
        <f t="shared" ca="1" si="26"/>
        <v>I</v>
      </c>
      <c r="D198" s="1351" t="s">
        <v>1357</v>
      </c>
      <c r="E198" s="817" t="s">
        <v>1358</v>
      </c>
      <c r="F198" s="1351"/>
      <c r="G198" s="1351"/>
      <c r="H198" s="1351"/>
      <c r="I198" s="1307" t="str">
        <f t="shared" si="29"/>
        <v>State</v>
      </c>
      <c r="J198" s="1351" t="str">
        <f>IF(P189="",Q$1&amp;M198,"")</f>
        <v>F95</v>
      </c>
      <c r="K198" s="1351" t="str">
        <f t="shared" si="30"/>
        <v>Required Info to Submit</v>
      </c>
      <c r="L198" s="850" t="s">
        <v>769</v>
      </c>
      <c r="M198" s="1351">
        <v>95</v>
      </c>
      <c r="N198" s="1351"/>
      <c r="O198" s="1348"/>
      <c r="P198" s="1348"/>
      <c r="Q198" s="1348"/>
      <c r="R198" s="1348"/>
      <c r="S198" s="1348"/>
      <c r="T198" s="1348"/>
      <c r="U198" s="1348"/>
      <c r="V198" s="1348"/>
      <c r="W198" s="1348"/>
      <c r="X198" s="1348"/>
      <c r="Y198" s="1348"/>
      <c r="Z198" s="1348"/>
    </row>
    <row r="199" spans="1:26" x14ac:dyDescent="0.25">
      <c r="A199" s="869" t="s">
        <v>204</v>
      </c>
      <c r="B199" s="817" t="str">
        <f t="shared" ca="1" si="28"/>
        <v>J25</v>
      </c>
      <c r="C199" s="817" t="str">
        <f t="shared" ca="1" si="26"/>
        <v>J</v>
      </c>
      <c r="D199" s="1351" t="s">
        <v>1357</v>
      </c>
      <c r="E199" s="817" t="s">
        <v>1358</v>
      </c>
      <c r="F199" s="1351"/>
      <c r="G199" s="1351"/>
      <c r="H199" s="1351"/>
      <c r="I199" s="1307" t="str">
        <f t="shared" si="29"/>
        <v>Zip Code</v>
      </c>
      <c r="J199" s="1351" t="str">
        <f>IF(P189="",Q$1&amp;M199,"")</f>
        <v>F96</v>
      </c>
      <c r="K199" s="1351" t="str">
        <f t="shared" si="30"/>
        <v>Required Info to Submit</v>
      </c>
      <c r="L199" s="850" t="s">
        <v>204</v>
      </c>
      <c r="M199" s="1351">
        <v>96</v>
      </c>
      <c r="N199" s="1351"/>
      <c r="O199" s="1348"/>
      <c r="P199" s="1348"/>
      <c r="Q199" s="1348"/>
      <c r="R199" s="1348"/>
      <c r="S199" s="1348"/>
      <c r="T199" s="1348"/>
      <c r="U199" s="1348"/>
      <c r="V199" s="1348"/>
      <c r="W199" s="1348"/>
      <c r="X199" s="1348"/>
      <c r="Y199" s="1348"/>
      <c r="Z199" s="1348"/>
    </row>
    <row r="200" spans="1:26" x14ac:dyDescent="0.25">
      <c r="A200" s="870" t="s">
        <v>1178</v>
      </c>
      <c r="B200" s="817" t="str">
        <f ca="1">_xlfn.IFNA(_xlfn.CONCAT(SUBSTITUTE(ADDRESS(1,MATCH(A200,INDIRECT("'"&amp;E200&amp;"'"&amp;"!A22:Z22"),0),4),1,""),26),"")</f>
        <v>E26</v>
      </c>
      <c r="C200" s="817" t="str">
        <f t="shared" ca="1" si="26"/>
        <v>E</v>
      </c>
      <c r="D200" s="1351" t="s">
        <v>1357</v>
      </c>
      <c r="E200" s="817" t="s">
        <v>1358</v>
      </c>
      <c r="F200" s="1351"/>
      <c r="G200" s="1351"/>
      <c r="H200" s="1351"/>
      <c r="I200" s="1307" t="str">
        <f t="shared" si="29"/>
        <v/>
      </c>
      <c r="J200" s="1351"/>
      <c r="K200" s="1351" t="str">
        <f t="shared" si="30"/>
        <v/>
      </c>
      <c r="L200" s="850"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1" t="s">
        <v>766</v>
      </c>
      <c r="B201" s="817" t="str">
        <f t="shared" ref="B201:B210" ca="1" si="31">_xlfn.IFNA(_xlfn.CONCAT(SUBSTITUTE(ADDRESS(1,MATCH(A201,INDIRECT("'"&amp;E201&amp;"'"&amp;"!A22:Z22"),0),4),1,""),26),"")</f>
        <v>F26</v>
      </c>
      <c r="C201" s="817" t="str">
        <f t="shared" ca="1" si="26"/>
        <v>F</v>
      </c>
      <c r="D201" s="1351" t="s">
        <v>1357</v>
      </c>
      <c r="E201" s="817" t="s">
        <v>1358</v>
      </c>
      <c r="F201" s="1351"/>
      <c r="G201" s="1351"/>
      <c r="H201" s="1351"/>
      <c r="I201" s="1307" t="str">
        <f t="shared" si="29"/>
        <v>Name</v>
      </c>
      <c r="J201" s="1351" t="str">
        <f>IF(P200="",Q$1&amp;M201,"")</f>
        <v>F99</v>
      </c>
      <c r="K201" s="1351" t="str">
        <f t="shared" si="30"/>
        <v>Required Info to Submit</v>
      </c>
      <c r="L201" s="850" t="s">
        <v>766</v>
      </c>
      <c r="M201" s="1351">
        <v>99</v>
      </c>
      <c r="N201" s="1351"/>
      <c r="O201" s="1348"/>
      <c r="P201" s="1348"/>
      <c r="Q201" s="1348"/>
      <c r="R201" s="1348"/>
      <c r="S201" s="1348"/>
      <c r="T201" s="1348"/>
      <c r="U201" s="1348"/>
      <c r="V201" s="1348"/>
      <c r="W201" s="1348"/>
      <c r="X201" s="1348"/>
      <c r="Y201" s="1348"/>
      <c r="Z201" s="1348"/>
    </row>
    <row r="202" spans="1:26" x14ac:dyDescent="0.25">
      <c r="A202" s="871" t="s">
        <v>765</v>
      </c>
      <c r="B202" s="817" t="str">
        <f t="shared" ca="1" si="31"/>
        <v>K26</v>
      </c>
      <c r="C202" s="817" t="str">
        <f t="shared" ca="1" si="26"/>
        <v>K</v>
      </c>
      <c r="D202" s="1351" t="s">
        <v>1357</v>
      </c>
      <c r="E202" s="817" t="s">
        <v>1358</v>
      </c>
      <c r="F202" s="1351"/>
      <c r="G202" s="1351"/>
      <c r="H202" s="1351"/>
      <c r="I202" s="1307" t="str">
        <f t="shared" si="29"/>
        <v/>
      </c>
      <c r="J202" s="1351"/>
      <c r="K202" s="1351" t="str">
        <f t="shared" si="30"/>
        <v/>
      </c>
      <c r="L202" s="850" t="s">
        <v>765</v>
      </c>
      <c r="M202" s="1351">
        <v>109</v>
      </c>
      <c r="N202" s="1351"/>
      <c r="O202" s="1348"/>
      <c r="P202" s="1348"/>
      <c r="Q202" s="1348"/>
      <c r="R202" s="1348"/>
      <c r="S202" s="1348"/>
      <c r="T202" s="1348"/>
      <c r="U202" s="1348"/>
      <c r="V202" s="1348"/>
      <c r="W202" s="1348"/>
      <c r="X202" s="1348"/>
      <c r="Y202" s="1348"/>
      <c r="Z202" s="1348"/>
    </row>
    <row r="203" spans="1:26" x14ac:dyDescent="0.25">
      <c r="A203" s="871" t="s">
        <v>1179</v>
      </c>
      <c r="B203" s="817" t="str">
        <f t="shared" ca="1" si="31"/>
        <v>L26</v>
      </c>
      <c r="C203" s="817" t="str">
        <f t="shared" ca="1" si="26"/>
        <v>L</v>
      </c>
      <c r="D203" s="1351" t="s">
        <v>1357</v>
      </c>
      <c r="E203" s="817" t="s">
        <v>1358</v>
      </c>
      <c r="F203" s="1351"/>
      <c r="G203" s="1351"/>
      <c r="H203" s="1351"/>
      <c r="I203" s="1307" t="str">
        <f t="shared" si="29"/>
        <v/>
      </c>
      <c r="J203" s="1351"/>
      <c r="K203" s="1351" t="str">
        <f t="shared" si="30"/>
        <v/>
      </c>
      <c r="L203" s="850" t="s">
        <v>1179</v>
      </c>
      <c r="M203" s="1351">
        <v>110</v>
      </c>
      <c r="N203" s="1351"/>
      <c r="O203" s="1348"/>
      <c r="P203" s="1348"/>
      <c r="Q203" s="1348"/>
      <c r="R203" s="1348"/>
      <c r="S203" s="1348"/>
      <c r="T203" s="1348"/>
      <c r="U203" s="1348"/>
      <c r="V203" s="1348"/>
      <c r="W203" s="1348"/>
      <c r="X203" s="1348"/>
      <c r="Y203" s="1348"/>
      <c r="Z203" s="1348"/>
    </row>
    <row r="204" spans="1:26" x14ac:dyDescent="0.25">
      <c r="A204" s="871" t="s">
        <v>1180</v>
      </c>
      <c r="B204" s="817" t="str">
        <f t="shared" ca="1" si="31"/>
        <v>M26</v>
      </c>
      <c r="C204" s="817" t="str">
        <f t="shared" ca="1" si="26"/>
        <v>M</v>
      </c>
      <c r="D204" s="1351" t="s">
        <v>1357</v>
      </c>
      <c r="E204" s="817" t="s">
        <v>1358</v>
      </c>
      <c r="F204" s="1351"/>
      <c r="G204" s="1351"/>
      <c r="H204" s="1351"/>
      <c r="I204" s="1307" t="str">
        <f t="shared" si="29"/>
        <v>Secondary or Internal Customer</v>
      </c>
      <c r="J204" s="1351" t="str">
        <f>IF(M204&lt;&gt;"",Q$1&amp;M204,"")</f>
        <v>F111</v>
      </c>
      <c r="K204" s="1351" t="str">
        <f t="shared" si="30"/>
        <v>Required Info to Submit</v>
      </c>
      <c r="L204" s="850" t="s">
        <v>1180</v>
      </c>
      <c r="M204" s="1351">
        <v>111</v>
      </c>
      <c r="N204" s="1351"/>
      <c r="O204" s="1348"/>
      <c r="P204" s="1348"/>
      <c r="Q204" s="1348"/>
      <c r="R204" s="1348"/>
      <c r="S204" s="1348"/>
      <c r="T204" s="1348"/>
      <c r="U204" s="1348"/>
      <c r="V204" s="1348"/>
      <c r="W204" s="1348"/>
      <c r="X204" s="1348"/>
      <c r="Y204" s="1348"/>
      <c r="Z204" s="1348"/>
    </row>
    <row r="205" spans="1:26" x14ac:dyDescent="0.25">
      <c r="A205" s="871" t="s">
        <v>1181</v>
      </c>
      <c r="B205" s="817" t="str">
        <f t="shared" ca="1" si="31"/>
        <v>N26</v>
      </c>
      <c r="C205" s="817" t="str">
        <f t="shared" ca="1" si="26"/>
        <v>N</v>
      </c>
      <c r="D205" s="1351" t="s">
        <v>1357</v>
      </c>
      <c r="E205" s="817" t="s">
        <v>1358</v>
      </c>
      <c r="F205" s="1351"/>
      <c r="G205" s="1351"/>
      <c r="H205" s="1351"/>
      <c r="I205" s="1307" t="str">
        <f t="shared" si="29"/>
        <v>Fuel Surcharge Applied</v>
      </c>
      <c r="J205" s="1351" t="str">
        <f>IF(M205&lt;&gt;"",Q$1&amp;M205,"")</f>
        <v>F112</v>
      </c>
      <c r="K205" s="1351" t="str">
        <f t="shared" si="30"/>
        <v>Required Info to Submit</v>
      </c>
      <c r="L205" s="850" t="s">
        <v>1367</v>
      </c>
      <c r="M205" s="1351">
        <v>112</v>
      </c>
      <c r="N205" s="1351"/>
      <c r="O205" s="1348"/>
      <c r="P205" s="1348"/>
      <c r="Q205" s="1348"/>
      <c r="R205" s="1348"/>
      <c r="S205" s="1348"/>
      <c r="T205" s="1348"/>
      <c r="U205" s="1348"/>
      <c r="V205" s="1348"/>
      <c r="W205" s="1348"/>
      <c r="X205" s="1348"/>
      <c r="Y205" s="1348"/>
      <c r="Z205" s="1348"/>
    </row>
    <row r="206" spans="1:26" x14ac:dyDescent="0.25">
      <c r="A206" s="871" t="s">
        <v>1297</v>
      </c>
      <c r="B206" s="817" t="str">
        <f t="shared" ca="1" si="31"/>
        <v>O26</v>
      </c>
      <c r="C206" s="817" t="str">
        <f t="shared" ca="1" si="26"/>
        <v>O</v>
      </c>
      <c r="D206" s="1351" t="s">
        <v>1357</v>
      </c>
      <c r="E206" s="817" t="s">
        <v>1358</v>
      </c>
      <c r="F206" s="1351"/>
      <c r="G206" s="1351"/>
      <c r="H206" s="1351"/>
      <c r="I206" s="1307" t="str">
        <f t="shared" si="29"/>
        <v>Minimum Delivery Charge Applied Flag</v>
      </c>
      <c r="J206" s="1351" t="str">
        <f>IF(M206&lt;&gt;"",Q$1&amp;M206,"")</f>
        <v>F113</v>
      </c>
      <c r="K206" s="1351" t="str">
        <f t="shared" si="30"/>
        <v>Required Info to Submit</v>
      </c>
      <c r="L206" s="850" t="s">
        <v>1297</v>
      </c>
      <c r="M206" s="1351">
        <v>113</v>
      </c>
      <c r="N206" s="1351"/>
      <c r="O206" s="1348"/>
      <c r="P206" s="1348"/>
      <c r="Q206" s="1348"/>
      <c r="R206" s="1348"/>
      <c r="S206" s="1348"/>
      <c r="T206" s="1348"/>
      <c r="U206" s="1348"/>
      <c r="V206" s="1348"/>
      <c r="W206" s="1348"/>
      <c r="X206" s="1348"/>
      <c r="Y206" s="1348"/>
      <c r="Z206" s="1348"/>
    </row>
    <row r="207" spans="1:26" x14ac:dyDescent="0.25">
      <c r="A207" s="871" t="s">
        <v>767</v>
      </c>
      <c r="B207" s="817" t="str">
        <f t="shared" ca="1" si="31"/>
        <v>G26</v>
      </c>
      <c r="C207" s="817" t="str">
        <f t="shared" ca="1" si="26"/>
        <v>G</v>
      </c>
      <c r="D207" s="1351" t="s">
        <v>1357</v>
      </c>
      <c r="E207" s="817" t="s">
        <v>1358</v>
      </c>
      <c r="F207" s="1351"/>
      <c r="G207" s="1351"/>
      <c r="H207" s="1351"/>
      <c r="I207" s="1307" t="str">
        <f t="shared" si="29"/>
        <v>Address</v>
      </c>
      <c r="J207" s="1351" t="str">
        <f>IF(P200="",Q$1&amp;M207,"")</f>
        <v>F114</v>
      </c>
      <c r="K207" s="1351" t="str">
        <f t="shared" si="30"/>
        <v>Required Info to Submit</v>
      </c>
      <c r="L207" s="850" t="s">
        <v>767</v>
      </c>
      <c r="M207" s="1351">
        <v>114</v>
      </c>
      <c r="N207" s="1351"/>
      <c r="O207" s="1348"/>
      <c r="P207" s="1348"/>
      <c r="Q207" s="1348"/>
      <c r="R207" s="1348"/>
      <c r="S207" s="1348"/>
      <c r="T207" s="1348"/>
      <c r="U207" s="1348"/>
      <c r="V207" s="1348"/>
      <c r="W207" s="1348"/>
      <c r="X207" s="1348"/>
      <c r="Y207" s="1348"/>
      <c r="Z207" s="1348"/>
    </row>
    <row r="208" spans="1:26" x14ac:dyDescent="0.25">
      <c r="A208" s="871" t="s">
        <v>768</v>
      </c>
      <c r="B208" s="817" t="str">
        <f t="shared" ca="1" si="31"/>
        <v>H26</v>
      </c>
      <c r="C208" s="817" t="str">
        <f t="shared" ca="1" si="26"/>
        <v>H</v>
      </c>
      <c r="D208" s="1351" t="s">
        <v>1357</v>
      </c>
      <c r="E208" s="817" t="s">
        <v>1358</v>
      </c>
      <c r="F208" s="1351"/>
      <c r="G208" s="1351"/>
      <c r="H208" s="1351"/>
      <c r="I208" s="1307" t="str">
        <f t="shared" si="29"/>
        <v>City</v>
      </c>
      <c r="J208" s="1351" t="str">
        <f>IF(P200="",Q$1&amp;M208,"")</f>
        <v>F115</v>
      </c>
      <c r="K208" s="1351" t="str">
        <f t="shared" si="30"/>
        <v>Required Info to Submit</v>
      </c>
      <c r="L208" s="850" t="s">
        <v>768</v>
      </c>
      <c r="M208" s="1351">
        <v>115</v>
      </c>
      <c r="N208" s="1351"/>
      <c r="O208" s="1348"/>
      <c r="P208" s="1348"/>
      <c r="Q208" s="1348"/>
      <c r="R208" s="1348"/>
      <c r="S208" s="1348"/>
      <c r="T208" s="1348"/>
      <c r="U208" s="1348"/>
      <c r="V208" s="1348"/>
      <c r="W208" s="1348"/>
      <c r="X208" s="1348"/>
      <c r="Y208" s="1348"/>
      <c r="Z208" s="1348"/>
    </row>
    <row r="209" spans="1:26" x14ac:dyDescent="0.25">
      <c r="A209" s="871" t="s">
        <v>769</v>
      </c>
      <c r="B209" s="817" t="str">
        <f t="shared" ca="1" si="31"/>
        <v>I26</v>
      </c>
      <c r="C209" s="817" t="str">
        <f t="shared" ca="1" si="26"/>
        <v>I</v>
      </c>
      <c r="D209" s="1351" t="s">
        <v>1357</v>
      </c>
      <c r="E209" s="817" t="s">
        <v>1358</v>
      </c>
      <c r="F209" s="1351"/>
      <c r="G209" s="1351"/>
      <c r="H209" s="1351"/>
      <c r="I209" s="1307" t="str">
        <f t="shared" si="29"/>
        <v>State</v>
      </c>
      <c r="J209" s="1351" t="str">
        <f>IF(P200="",Q$1&amp;M209,"")</f>
        <v>F116</v>
      </c>
      <c r="K209" s="1351" t="str">
        <f t="shared" si="30"/>
        <v>Required Info to Submit</v>
      </c>
      <c r="L209" s="850" t="s">
        <v>769</v>
      </c>
      <c r="M209" s="1351">
        <v>116</v>
      </c>
      <c r="N209" s="1351"/>
      <c r="O209" s="1348"/>
      <c r="P209" s="1348"/>
      <c r="Q209" s="1348"/>
      <c r="R209" s="1348"/>
      <c r="S209" s="1348"/>
      <c r="T209" s="1348"/>
      <c r="U209" s="1348"/>
      <c r="V209" s="1348"/>
      <c r="W209" s="1348"/>
      <c r="X209" s="1348"/>
      <c r="Y209" s="1348"/>
      <c r="Z209" s="1348"/>
    </row>
    <row r="210" spans="1:26" x14ac:dyDescent="0.25">
      <c r="A210" s="871" t="s">
        <v>204</v>
      </c>
      <c r="B210" s="817" t="str">
        <f t="shared" ca="1" si="31"/>
        <v>J26</v>
      </c>
      <c r="C210" s="817" t="str">
        <f t="shared" ca="1" si="26"/>
        <v>J</v>
      </c>
      <c r="D210" s="1351" t="s">
        <v>1357</v>
      </c>
      <c r="E210" s="817" t="s">
        <v>1358</v>
      </c>
      <c r="F210" s="1351"/>
      <c r="G210" s="1351"/>
      <c r="H210" s="1351"/>
      <c r="I210" s="1307" t="str">
        <f t="shared" si="29"/>
        <v>Zip Code</v>
      </c>
      <c r="J210" s="1351" t="str">
        <f>IF(P200="",Q$1&amp;M210,"")</f>
        <v>F117</v>
      </c>
      <c r="K210" s="1351" t="str">
        <f t="shared" si="30"/>
        <v>Required Info to Submit</v>
      </c>
      <c r="L210" s="850" t="s">
        <v>204</v>
      </c>
      <c r="M210" s="1351">
        <v>117</v>
      </c>
      <c r="N210" s="1351"/>
      <c r="O210" s="1348"/>
      <c r="P210" s="1348"/>
      <c r="Q210" s="1348"/>
      <c r="R210" s="1348"/>
      <c r="S210" s="1348"/>
      <c r="T210" s="1348"/>
      <c r="U210" s="1348"/>
      <c r="V210" s="1348"/>
      <c r="W210" s="1348"/>
      <c r="X210" s="1348"/>
      <c r="Y210" s="1348"/>
      <c r="Z210" s="1348"/>
    </row>
    <row r="211" spans="1:26" x14ac:dyDescent="0.25">
      <c r="A211" s="868" t="s">
        <v>1178</v>
      </c>
      <c r="B211" s="817" t="str">
        <f ca="1">_xlfn.IFNA(_xlfn.CONCAT(SUBSTITUTE(ADDRESS(1,MATCH(A211,INDIRECT("'"&amp;E211&amp;"'"&amp;"!A22:Z22"),0),4),1,""),27),"")</f>
        <v>E27</v>
      </c>
      <c r="C211" s="817" t="str">
        <f t="shared" ca="1" si="26"/>
        <v>E</v>
      </c>
      <c r="D211" s="1351" t="s">
        <v>1357</v>
      </c>
      <c r="E211" s="817" t="s">
        <v>1358</v>
      </c>
      <c r="F211" s="1351"/>
      <c r="G211" s="1351"/>
      <c r="H211" s="1351"/>
      <c r="I211" s="1307" t="str">
        <f t="shared" si="29"/>
        <v/>
      </c>
      <c r="J211" s="1351"/>
      <c r="K211" s="1351" t="str">
        <f t="shared" si="30"/>
        <v/>
      </c>
      <c r="L211" s="850"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9" t="s">
        <v>766</v>
      </c>
      <c r="B212" s="817" t="str">
        <f t="shared" ref="B212:B221" ca="1" si="32">_xlfn.IFNA(_xlfn.CONCAT(SUBSTITUTE(ADDRESS(1,MATCH(A212,INDIRECT("'"&amp;E212&amp;"'"&amp;"!A22:Z22"),0),4),1,""),27),"")</f>
        <v>F27</v>
      </c>
      <c r="C212" s="817" t="str">
        <f t="shared" ca="1" si="26"/>
        <v>F</v>
      </c>
      <c r="D212" s="1351" t="s">
        <v>1357</v>
      </c>
      <c r="E212" s="817" t="s">
        <v>1358</v>
      </c>
      <c r="F212" s="1351"/>
      <c r="G212" s="1351"/>
      <c r="H212" s="1351"/>
      <c r="I212" s="1307" t="str">
        <f t="shared" si="29"/>
        <v>Name</v>
      </c>
      <c r="J212" s="1351" t="str">
        <f>IF(P211="",Q$1&amp;M212,"")</f>
        <v>F120</v>
      </c>
      <c r="K212" s="1351" t="str">
        <f t="shared" si="30"/>
        <v>Required Info to Submit</v>
      </c>
      <c r="L212" s="850" t="s">
        <v>766</v>
      </c>
      <c r="M212" s="1351">
        <v>120</v>
      </c>
      <c r="N212" s="1351"/>
      <c r="O212" s="1348"/>
      <c r="P212" s="1348"/>
      <c r="Q212" s="1348"/>
      <c r="R212" s="1348"/>
      <c r="S212" s="1348"/>
      <c r="T212" s="1348"/>
      <c r="U212" s="1348"/>
      <c r="V212" s="1348"/>
      <c r="W212" s="1348"/>
      <c r="X212" s="1348"/>
      <c r="Y212" s="1348"/>
      <c r="Z212" s="1348"/>
    </row>
    <row r="213" spans="1:26" x14ac:dyDescent="0.25">
      <c r="A213" s="869" t="s">
        <v>765</v>
      </c>
      <c r="B213" s="817" t="str">
        <f t="shared" ca="1" si="32"/>
        <v>K27</v>
      </c>
      <c r="C213" s="817" t="str">
        <f t="shared" ca="1" si="26"/>
        <v>K</v>
      </c>
      <c r="D213" s="1351" t="s">
        <v>1357</v>
      </c>
      <c r="E213" s="817" t="s">
        <v>1358</v>
      </c>
      <c r="F213" s="1351"/>
      <c r="G213" s="1351"/>
      <c r="H213" s="1351"/>
      <c r="I213" s="1307" t="str">
        <f t="shared" si="29"/>
        <v/>
      </c>
      <c r="J213" s="1351"/>
      <c r="K213" s="1351" t="str">
        <f t="shared" si="30"/>
        <v/>
      </c>
      <c r="L213" s="850" t="s">
        <v>765</v>
      </c>
      <c r="M213" s="1351">
        <v>130</v>
      </c>
      <c r="N213" s="1351"/>
      <c r="O213" s="1348"/>
      <c r="P213" s="1348"/>
      <c r="Q213" s="1348"/>
      <c r="R213" s="1348"/>
      <c r="S213" s="1348"/>
      <c r="T213" s="1348"/>
      <c r="U213" s="1348"/>
      <c r="V213" s="1348"/>
      <c r="W213" s="1348"/>
      <c r="X213" s="1348"/>
      <c r="Y213" s="1348"/>
      <c r="Z213" s="1348"/>
    </row>
    <row r="214" spans="1:26" x14ac:dyDescent="0.25">
      <c r="A214" s="869" t="s">
        <v>1179</v>
      </c>
      <c r="B214" s="817" t="str">
        <f t="shared" ca="1" si="32"/>
        <v>L27</v>
      </c>
      <c r="C214" s="817" t="str">
        <f t="shared" ca="1" si="26"/>
        <v>L</v>
      </c>
      <c r="D214" s="1351" t="s">
        <v>1357</v>
      </c>
      <c r="E214" s="817" t="s">
        <v>1358</v>
      </c>
      <c r="F214" s="1351"/>
      <c r="G214" s="1351"/>
      <c r="H214" s="1351"/>
      <c r="I214" s="1307" t="str">
        <f t="shared" si="29"/>
        <v/>
      </c>
      <c r="J214" s="1351"/>
      <c r="K214" s="1351" t="str">
        <f t="shared" si="30"/>
        <v/>
      </c>
      <c r="L214" s="850" t="s">
        <v>1179</v>
      </c>
      <c r="M214" s="1351">
        <v>131</v>
      </c>
      <c r="N214" s="1351"/>
      <c r="O214" s="1348"/>
      <c r="P214" s="1348"/>
      <c r="Q214" s="1348"/>
      <c r="R214" s="1348"/>
      <c r="S214" s="1348"/>
      <c r="T214" s="1348"/>
      <c r="U214" s="1348"/>
      <c r="V214" s="1348"/>
      <c r="W214" s="1348"/>
      <c r="X214" s="1348"/>
      <c r="Y214" s="1348"/>
      <c r="Z214" s="1348"/>
    </row>
    <row r="215" spans="1:26" x14ac:dyDescent="0.25">
      <c r="A215" s="869" t="s">
        <v>1180</v>
      </c>
      <c r="B215" s="817" t="str">
        <f t="shared" ca="1" si="32"/>
        <v>M27</v>
      </c>
      <c r="C215" s="817" t="str">
        <f t="shared" ca="1" si="26"/>
        <v>M</v>
      </c>
      <c r="D215" s="1351" t="s">
        <v>1357</v>
      </c>
      <c r="E215" s="817" t="s">
        <v>1358</v>
      </c>
      <c r="F215" s="1351"/>
      <c r="G215" s="1351"/>
      <c r="H215" s="1351"/>
      <c r="I215" s="1307" t="str">
        <f t="shared" si="29"/>
        <v>Secondary or Internal Customer</v>
      </c>
      <c r="J215" s="1351" t="str">
        <f>IF(M215&lt;&gt;"",Q$1&amp;M215,"")</f>
        <v>F132</v>
      </c>
      <c r="K215" s="1351" t="str">
        <f t="shared" si="30"/>
        <v>Required Info to Submit</v>
      </c>
      <c r="L215" s="850" t="s">
        <v>1180</v>
      </c>
      <c r="M215" s="1351">
        <v>132</v>
      </c>
      <c r="N215" s="1351"/>
      <c r="O215" s="1348"/>
      <c r="P215" s="1348"/>
      <c r="Q215" s="1348"/>
      <c r="R215" s="1348"/>
      <c r="S215" s="1348"/>
      <c r="T215" s="1348"/>
      <c r="U215" s="1348"/>
      <c r="V215" s="1348"/>
      <c r="W215" s="1348"/>
      <c r="X215" s="1348"/>
      <c r="Y215" s="1348"/>
      <c r="Z215" s="1348"/>
    </row>
    <row r="216" spans="1:26" x14ac:dyDescent="0.25">
      <c r="A216" s="869" t="s">
        <v>1181</v>
      </c>
      <c r="B216" s="817" t="str">
        <f t="shared" ca="1" si="32"/>
        <v>N27</v>
      </c>
      <c r="C216" s="817" t="str">
        <f t="shared" ca="1" si="26"/>
        <v>N</v>
      </c>
      <c r="D216" s="1351" t="s">
        <v>1357</v>
      </c>
      <c r="E216" s="817" t="s">
        <v>1358</v>
      </c>
      <c r="F216" s="1351"/>
      <c r="G216" s="1351"/>
      <c r="H216" s="1351"/>
      <c r="I216" s="1307" t="str">
        <f t="shared" si="29"/>
        <v>Fuel Surcharge Applied</v>
      </c>
      <c r="J216" s="1351" t="str">
        <f>IF(M216&lt;&gt;"",Q$1&amp;M216,"")</f>
        <v>F133</v>
      </c>
      <c r="K216" s="1351" t="str">
        <f t="shared" si="30"/>
        <v>Required Info to Submit</v>
      </c>
      <c r="L216" s="850" t="s">
        <v>1367</v>
      </c>
      <c r="M216" s="1351">
        <v>133</v>
      </c>
      <c r="N216" s="1351"/>
      <c r="O216" s="1348"/>
      <c r="P216" s="1348"/>
      <c r="Q216" s="1348"/>
      <c r="R216" s="1348"/>
      <c r="S216" s="1348"/>
      <c r="T216" s="1348"/>
      <c r="U216" s="1348"/>
      <c r="V216" s="1348"/>
      <c r="W216" s="1348"/>
      <c r="X216" s="1348"/>
      <c r="Y216" s="1348"/>
      <c r="Z216" s="1348"/>
    </row>
    <row r="217" spans="1:26" x14ac:dyDescent="0.25">
      <c r="A217" s="869" t="s">
        <v>1297</v>
      </c>
      <c r="B217" s="817" t="str">
        <f t="shared" ca="1" si="32"/>
        <v>O27</v>
      </c>
      <c r="C217" s="817" t="str">
        <f t="shared" ca="1" si="26"/>
        <v>O</v>
      </c>
      <c r="D217" s="1351" t="s">
        <v>1357</v>
      </c>
      <c r="E217" s="817" t="s">
        <v>1358</v>
      </c>
      <c r="F217" s="1351"/>
      <c r="G217" s="1351"/>
      <c r="H217" s="1351"/>
      <c r="I217" s="1307" t="str">
        <f t="shared" si="29"/>
        <v>Minimum Delivery Charge Applied Flag</v>
      </c>
      <c r="J217" s="1351" t="str">
        <f>IF(M217&lt;&gt;"",Q$1&amp;M217,"")</f>
        <v>F134</v>
      </c>
      <c r="K217" s="1351" t="str">
        <f t="shared" si="30"/>
        <v>Required Info to Submit</v>
      </c>
      <c r="L217" s="850" t="s">
        <v>1297</v>
      </c>
      <c r="M217" s="1351">
        <v>134</v>
      </c>
      <c r="N217" s="1351"/>
      <c r="O217" s="1348"/>
      <c r="P217" s="1348"/>
      <c r="Q217" s="1348"/>
      <c r="R217" s="1348"/>
      <c r="S217" s="1348"/>
      <c r="T217" s="1348"/>
      <c r="U217" s="1348"/>
      <c r="V217" s="1348"/>
      <c r="W217" s="1348"/>
      <c r="X217" s="1348"/>
      <c r="Y217" s="1348"/>
      <c r="Z217" s="1348"/>
    </row>
    <row r="218" spans="1:26" x14ac:dyDescent="0.25">
      <c r="A218" s="869" t="s">
        <v>767</v>
      </c>
      <c r="B218" s="817" t="str">
        <f t="shared" ca="1" si="32"/>
        <v>G27</v>
      </c>
      <c r="C218" s="817" t="str">
        <f t="shared" ca="1" si="26"/>
        <v>G</v>
      </c>
      <c r="D218" s="1351" t="s">
        <v>1357</v>
      </c>
      <c r="E218" s="817" t="s">
        <v>1358</v>
      </c>
      <c r="F218" s="1351"/>
      <c r="G218" s="1351"/>
      <c r="H218" s="1351"/>
      <c r="I218" s="1307" t="str">
        <f t="shared" si="29"/>
        <v>Address</v>
      </c>
      <c r="J218" s="1351" t="str">
        <f>IF(P211="",Q$1&amp;M218,"")</f>
        <v>F135</v>
      </c>
      <c r="K218" s="1351" t="str">
        <f t="shared" si="30"/>
        <v>Required Info to Submit</v>
      </c>
      <c r="L218" s="850" t="s">
        <v>767</v>
      </c>
      <c r="M218" s="1351">
        <v>135</v>
      </c>
      <c r="N218" s="1351"/>
      <c r="O218" s="1348"/>
      <c r="P218" s="1348"/>
      <c r="Q218" s="1348"/>
      <c r="R218" s="1348"/>
      <c r="S218" s="1348"/>
      <c r="T218" s="1348"/>
      <c r="U218" s="1348"/>
      <c r="V218" s="1348"/>
      <c r="W218" s="1348"/>
      <c r="X218" s="1348"/>
      <c r="Y218" s="1348"/>
      <c r="Z218" s="1348"/>
    </row>
    <row r="219" spans="1:26" x14ac:dyDescent="0.25">
      <c r="A219" s="869" t="s">
        <v>768</v>
      </c>
      <c r="B219" s="817" t="str">
        <f t="shared" ca="1" si="32"/>
        <v>H27</v>
      </c>
      <c r="C219" s="817" t="str">
        <f t="shared" ca="1" si="26"/>
        <v>H</v>
      </c>
      <c r="D219" s="1351" t="s">
        <v>1357</v>
      </c>
      <c r="E219" s="817" t="s">
        <v>1358</v>
      </c>
      <c r="F219" s="1351"/>
      <c r="G219" s="1351"/>
      <c r="H219" s="1351"/>
      <c r="I219" s="1307" t="str">
        <f t="shared" si="29"/>
        <v>City</v>
      </c>
      <c r="J219" s="1351" t="str">
        <f>IF(P211="",Q$1&amp;M219,"")</f>
        <v>F136</v>
      </c>
      <c r="K219" s="1351" t="str">
        <f t="shared" si="30"/>
        <v>Required Info to Submit</v>
      </c>
      <c r="L219" s="850" t="s">
        <v>768</v>
      </c>
      <c r="M219" s="1351">
        <v>136</v>
      </c>
      <c r="N219" s="1351"/>
      <c r="O219" s="1348"/>
      <c r="P219" s="1348"/>
      <c r="Q219" s="1348"/>
      <c r="R219" s="1348"/>
      <c r="S219" s="1348"/>
      <c r="T219" s="1348"/>
      <c r="U219" s="1348"/>
      <c r="V219" s="1348"/>
      <c r="W219" s="1348"/>
      <c r="X219" s="1348"/>
      <c r="Y219" s="1348"/>
      <c r="Z219" s="1348"/>
    </row>
    <row r="220" spans="1:26" x14ac:dyDescent="0.25">
      <c r="A220" s="869" t="s">
        <v>769</v>
      </c>
      <c r="B220" s="817" t="str">
        <f t="shared" ca="1" si="32"/>
        <v>I27</v>
      </c>
      <c r="C220" s="817" t="str">
        <f t="shared" ca="1" si="26"/>
        <v>I</v>
      </c>
      <c r="D220" s="1351" t="s">
        <v>1357</v>
      </c>
      <c r="E220" s="817" t="s">
        <v>1358</v>
      </c>
      <c r="F220" s="1351"/>
      <c r="G220" s="1351"/>
      <c r="H220" s="1351"/>
      <c r="I220" s="1307" t="str">
        <f t="shared" si="29"/>
        <v>State</v>
      </c>
      <c r="J220" s="1351" t="str">
        <f>IF(P211="",Q$1&amp;M220,"")</f>
        <v>F137</v>
      </c>
      <c r="K220" s="1351" t="str">
        <f t="shared" si="30"/>
        <v>Required Info to Submit</v>
      </c>
      <c r="L220" s="850" t="s">
        <v>769</v>
      </c>
      <c r="M220" s="1351">
        <v>137</v>
      </c>
      <c r="N220" s="1351"/>
      <c r="O220" s="1348"/>
      <c r="P220" s="1348"/>
      <c r="Q220" s="1348"/>
      <c r="R220" s="1348"/>
      <c r="S220" s="1348"/>
      <c r="T220" s="1348"/>
      <c r="U220" s="1348"/>
      <c r="V220" s="1348"/>
      <c r="W220" s="1348"/>
      <c r="X220" s="1348"/>
      <c r="Y220" s="1348"/>
      <c r="Z220" s="1348"/>
    </row>
    <row r="221" spans="1:26" x14ac:dyDescent="0.25">
      <c r="A221" s="869" t="s">
        <v>204</v>
      </c>
      <c r="B221" s="817" t="str">
        <f t="shared" ca="1" si="32"/>
        <v>J27</v>
      </c>
      <c r="C221" s="817" t="str">
        <f t="shared" ca="1" si="26"/>
        <v>J</v>
      </c>
      <c r="D221" s="1351" t="s">
        <v>1357</v>
      </c>
      <c r="E221" s="817" t="s">
        <v>1358</v>
      </c>
      <c r="F221" s="1351"/>
      <c r="G221" s="1351"/>
      <c r="H221" s="1351"/>
      <c r="I221" s="1307" t="str">
        <f t="shared" si="29"/>
        <v>Zip Code</v>
      </c>
      <c r="J221" s="1351" t="str">
        <f>IF(P211="",Q$1&amp;M221,"")</f>
        <v>F138</v>
      </c>
      <c r="K221" s="1351" t="str">
        <f t="shared" si="30"/>
        <v>Required Info to Submit</v>
      </c>
      <c r="L221" s="850" t="s">
        <v>204</v>
      </c>
      <c r="M221" s="1351">
        <v>138</v>
      </c>
      <c r="N221" s="1351"/>
      <c r="O221" s="1348"/>
      <c r="P221" s="1348"/>
      <c r="Q221" s="1348"/>
      <c r="R221" s="1348"/>
      <c r="S221" s="1348"/>
      <c r="T221" s="1348"/>
      <c r="U221" s="1348"/>
      <c r="V221" s="1348"/>
      <c r="W221" s="1348"/>
      <c r="X221" s="1348"/>
      <c r="Y221" s="1348"/>
      <c r="Z221" s="1348"/>
    </row>
    <row r="222" spans="1:26" x14ac:dyDescent="0.25">
      <c r="A222" s="870" t="s">
        <v>1178</v>
      </c>
      <c r="B222" s="817" t="str">
        <f ca="1">_xlfn.IFNA(_xlfn.CONCAT(SUBSTITUTE(ADDRESS(1,MATCH(A222,INDIRECT("'"&amp;E222&amp;"'"&amp;"!A22:Z22"),0),4),1,""),28),"")</f>
        <v>E28</v>
      </c>
      <c r="C222" s="817" t="str">
        <f t="shared" ca="1" si="26"/>
        <v>E</v>
      </c>
      <c r="D222" s="1351" t="s">
        <v>1357</v>
      </c>
      <c r="E222" s="817" t="s">
        <v>1358</v>
      </c>
      <c r="F222" s="1351"/>
      <c r="G222" s="1351"/>
      <c r="H222" s="1351"/>
      <c r="I222" s="1307" t="str">
        <f t="shared" si="29"/>
        <v/>
      </c>
      <c r="J222" s="1351"/>
      <c r="K222" s="1351" t="str">
        <f t="shared" si="30"/>
        <v/>
      </c>
      <c r="L222" s="850"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1" t="s">
        <v>766</v>
      </c>
      <c r="B223" s="817" t="str">
        <f t="shared" ref="B223:B232" ca="1" si="33">_xlfn.IFNA(_xlfn.CONCAT(SUBSTITUTE(ADDRESS(1,MATCH(A223,INDIRECT("'"&amp;E223&amp;"'"&amp;"!A22:Z22"),0),4),1,""),28),"")</f>
        <v>F28</v>
      </c>
      <c r="C223" s="817" t="str">
        <f t="shared" ca="1" si="26"/>
        <v>F</v>
      </c>
      <c r="D223" s="1351" t="s">
        <v>1357</v>
      </c>
      <c r="E223" s="817" t="s">
        <v>1358</v>
      </c>
      <c r="F223" s="1351"/>
      <c r="G223" s="1351"/>
      <c r="H223" s="1351"/>
      <c r="I223" s="1307" t="str">
        <f t="shared" si="29"/>
        <v>Name</v>
      </c>
      <c r="J223" s="1351" t="str">
        <f>IF(P222="",Q$1&amp;M223,"")</f>
        <v>F141</v>
      </c>
      <c r="K223" s="1351" t="str">
        <f t="shared" si="30"/>
        <v>Required Info to Submit</v>
      </c>
      <c r="L223" s="850" t="s">
        <v>766</v>
      </c>
      <c r="M223" s="1351">
        <v>141</v>
      </c>
      <c r="N223" s="1351"/>
      <c r="O223" s="1348"/>
      <c r="P223" s="1348"/>
      <c r="Q223" s="1348"/>
      <c r="R223" s="1348"/>
      <c r="S223" s="1348"/>
      <c r="T223" s="1348"/>
      <c r="U223" s="1348"/>
      <c r="V223" s="1348"/>
      <c r="W223" s="1348"/>
      <c r="X223" s="1348"/>
      <c r="Y223" s="1348"/>
      <c r="Z223" s="1348"/>
    </row>
    <row r="224" spans="1:26" x14ac:dyDescent="0.25">
      <c r="A224" s="871" t="s">
        <v>765</v>
      </c>
      <c r="B224" s="817" t="str">
        <f t="shared" ca="1" si="33"/>
        <v>K28</v>
      </c>
      <c r="C224" s="817" t="str">
        <f t="shared" ca="1" si="26"/>
        <v>K</v>
      </c>
      <c r="D224" s="1351" t="s">
        <v>1357</v>
      </c>
      <c r="E224" s="817" t="s">
        <v>1358</v>
      </c>
      <c r="F224" s="1351"/>
      <c r="G224" s="1351"/>
      <c r="H224" s="1351"/>
      <c r="I224" s="1307" t="str">
        <f t="shared" si="29"/>
        <v/>
      </c>
      <c r="J224" s="1351"/>
      <c r="K224" s="1351" t="str">
        <f t="shared" si="30"/>
        <v/>
      </c>
      <c r="L224" s="850" t="s">
        <v>765</v>
      </c>
      <c r="M224" s="1351">
        <v>151</v>
      </c>
      <c r="N224" s="1351"/>
      <c r="O224" s="1348"/>
      <c r="P224" s="1348"/>
      <c r="Q224" s="1348"/>
      <c r="R224" s="1348"/>
      <c r="S224" s="1348"/>
      <c r="T224" s="1348"/>
      <c r="U224" s="1348"/>
      <c r="V224" s="1348"/>
      <c r="W224" s="1348"/>
      <c r="X224" s="1348"/>
      <c r="Y224" s="1348"/>
      <c r="Z224" s="1348"/>
    </row>
    <row r="225" spans="1:26" x14ac:dyDescent="0.25">
      <c r="A225" s="871" t="s">
        <v>1179</v>
      </c>
      <c r="B225" s="817" t="str">
        <f t="shared" ca="1" si="33"/>
        <v>L28</v>
      </c>
      <c r="C225" s="817" t="str">
        <f t="shared" ca="1" si="26"/>
        <v>L</v>
      </c>
      <c r="D225" s="1351" t="s">
        <v>1357</v>
      </c>
      <c r="E225" s="817" t="s">
        <v>1358</v>
      </c>
      <c r="F225" s="1351"/>
      <c r="G225" s="1351"/>
      <c r="H225" s="1351"/>
      <c r="I225" s="1307" t="str">
        <f t="shared" si="29"/>
        <v/>
      </c>
      <c r="J225" s="1351"/>
      <c r="K225" s="1351" t="str">
        <f t="shared" si="30"/>
        <v/>
      </c>
      <c r="L225" s="850" t="s">
        <v>1179</v>
      </c>
      <c r="M225" s="1351">
        <v>152</v>
      </c>
      <c r="N225" s="1351"/>
      <c r="O225" s="1348"/>
      <c r="P225" s="1348"/>
      <c r="Q225" s="1348"/>
      <c r="R225" s="1348"/>
      <c r="S225" s="1348"/>
      <c r="T225" s="1348"/>
      <c r="U225" s="1348"/>
      <c r="V225" s="1348"/>
      <c r="W225" s="1348"/>
      <c r="X225" s="1348"/>
      <c r="Y225" s="1348"/>
      <c r="Z225" s="1348"/>
    </row>
    <row r="226" spans="1:26" x14ac:dyDescent="0.25">
      <c r="A226" s="871" t="s">
        <v>1180</v>
      </c>
      <c r="B226" s="817" t="str">
        <f t="shared" ca="1" si="33"/>
        <v>M28</v>
      </c>
      <c r="C226" s="817" t="str">
        <f t="shared" ca="1" si="26"/>
        <v>M</v>
      </c>
      <c r="D226" s="1351" t="s">
        <v>1357</v>
      </c>
      <c r="E226" s="817" t="s">
        <v>1358</v>
      </c>
      <c r="F226" s="1351"/>
      <c r="G226" s="1351"/>
      <c r="H226" s="1351"/>
      <c r="I226" s="1307" t="str">
        <f t="shared" si="29"/>
        <v>Secondary or Internal Customer</v>
      </c>
      <c r="J226" s="1351" t="str">
        <f>IF(M226&lt;&gt;"",Q$1&amp;M226,"")</f>
        <v>F153</v>
      </c>
      <c r="K226" s="1351" t="str">
        <f t="shared" si="30"/>
        <v>Required Info to Submit</v>
      </c>
      <c r="L226" s="850" t="s">
        <v>1180</v>
      </c>
      <c r="M226" s="1351">
        <v>153</v>
      </c>
      <c r="N226" s="1351"/>
      <c r="O226" s="1348"/>
      <c r="P226" s="1348"/>
      <c r="Q226" s="1348"/>
      <c r="R226" s="1348"/>
      <c r="S226" s="1348"/>
      <c r="T226" s="1348"/>
      <c r="U226" s="1348"/>
      <c r="V226" s="1348"/>
      <c r="W226" s="1348"/>
      <c r="X226" s="1348"/>
      <c r="Y226" s="1348"/>
      <c r="Z226" s="1348"/>
    </row>
    <row r="227" spans="1:26" x14ac:dyDescent="0.25">
      <c r="A227" s="871" t="s">
        <v>1181</v>
      </c>
      <c r="B227" s="817" t="str">
        <f t="shared" ca="1" si="33"/>
        <v>N28</v>
      </c>
      <c r="C227" s="817" t="str">
        <f t="shared" ca="1" si="26"/>
        <v>N</v>
      </c>
      <c r="D227" s="1351" t="s">
        <v>1357</v>
      </c>
      <c r="E227" s="817" t="s">
        <v>1358</v>
      </c>
      <c r="F227" s="1351"/>
      <c r="G227" s="1351"/>
      <c r="H227" s="1351"/>
      <c r="I227" s="1307" t="str">
        <f t="shared" si="29"/>
        <v>Fuel Surcharge Applied</v>
      </c>
      <c r="J227" s="1351" t="str">
        <f>IF(M227&lt;&gt;"",Q$1&amp;M227,"")</f>
        <v>F154</v>
      </c>
      <c r="K227" s="1351" t="str">
        <f t="shared" si="30"/>
        <v>Required Info to Submit</v>
      </c>
      <c r="L227" s="850" t="s">
        <v>1367</v>
      </c>
      <c r="M227" s="1351">
        <v>154</v>
      </c>
      <c r="N227" s="1351"/>
      <c r="O227" s="1348"/>
      <c r="P227" s="1348"/>
      <c r="Q227" s="1348"/>
      <c r="R227" s="1348"/>
      <c r="S227" s="1348"/>
      <c r="T227" s="1348"/>
      <c r="U227" s="1348"/>
      <c r="V227" s="1348"/>
      <c r="W227" s="1348"/>
      <c r="X227" s="1348"/>
      <c r="Y227" s="1348"/>
      <c r="Z227" s="1348"/>
    </row>
    <row r="228" spans="1:26" x14ac:dyDescent="0.25">
      <c r="A228" s="871" t="s">
        <v>1297</v>
      </c>
      <c r="B228" s="817" t="str">
        <f t="shared" ca="1" si="33"/>
        <v>O28</v>
      </c>
      <c r="C228" s="817" t="str">
        <f t="shared" ca="1" si="26"/>
        <v>O</v>
      </c>
      <c r="D228" s="1351" t="s">
        <v>1357</v>
      </c>
      <c r="E228" s="817" t="s">
        <v>1358</v>
      </c>
      <c r="F228" s="1351"/>
      <c r="G228" s="1351"/>
      <c r="H228" s="1351"/>
      <c r="I228" s="1307" t="str">
        <f t="shared" si="29"/>
        <v>Minimum Delivery Charge Applied Flag</v>
      </c>
      <c r="J228" s="1351" t="str">
        <f>IF(M228&lt;&gt;"",Q$1&amp;M228,"")</f>
        <v>F155</v>
      </c>
      <c r="K228" s="1351" t="str">
        <f t="shared" si="30"/>
        <v>Required Info to Submit</v>
      </c>
      <c r="L228" s="850" t="s">
        <v>1297</v>
      </c>
      <c r="M228" s="1351">
        <v>155</v>
      </c>
      <c r="N228" s="1351"/>
      <c r="O228" s="1348"/>
      <c r="P228" s="1348"/>
      <c r="Q228" s="1348"/>
      <c r="R228" s="1348"/>
      <c r="S228" s="1348"/>
      <c r="T228" s="1348"/>
      <c r="U228" s="1348"/>
      <c r="V228" s="1348"/>
      <c r="W228" s="1348"/>
      <c r="X228" s="1348"/>
      <c r="Y228" s="1348"/>
      <c r="Z228" s="1348"/>
    </row>
    <row r="229" spans="1:26" x14ac:dyDescent="0.25">
      <c r="A229" s="871" t="s">
        <v>767</v>
      </c>
      <c r="B229" s="817" t="str">
        <f t="shared" ca="1" si="33"/>
        <v>G28</v>
      </c>
      <c r="C229" s="817" t="str">
        <f t="shared" ca="1" si="26"/>
        <v>G</v>
      </c>
      <c r="D229" s="1351" t="s">
        <v>1357</v>
      </c>
      <c r="E229" s="817" t="s">
        <v>1358</v>
      </c>
      <c r="F229" s="1351"/>
      <c r="G229" s="1351"/>
      <c r="H229" s="1351"/>
      <c r="I229" s="1307" t="str">
        <f t="shared" si="29"/>
        <v>Address</v>
      </c>
      <c r="J229" s="1351" t="str">
        <f>IF(P222="",Q$1&amp;M229,"")</f>
        <v>F156</v>
      </c>
      <c r="K229" s="1351" t="str">
        <f t="shared" si="30"/>
        <v>Required Info to Submit</v>
      </c>
      <c r="L229" s="850" t="s">
        <v>767</v>
      </c>
      <c r="M229" s="1351">
        <v>156</v>
      </c>
      <c r="N229" s="1351"/>
      <c r="O229" s="1348"/>
      <c r="P229" s="1348"/>
      <c r="Q229" s="1348"/>
      <c r="R229" s="1348"/>
      <c r="S229" s="1348"/>
      <c r="T229" s="1348"/>
      <c r="U229" s="1348"/>
      <c r="V229" s="1348"/>
      <c r="W229" s="1348"/>
      <c r="X229" s="1348"/>
      <c r="Y229" s="1348"/>
      <c r="Z229" s="1348"/>
    </row>
    <row r="230" spans="1:26" x14ac:dyDescent="0.25">
      <c r="A230" s="871" t="s">
        <v>768</v>
      </c>
      <c r="B230" s="817" t="str">
        <f t="shared" ca="1" si="33"/>
        <v>H28</v>
      </c>
      <c r="C230" s="817" t="str">
        <f t="shared" ca="1" si="26"/>
        <v>H</v>
      </c>
      <c r="D230" s="1351" t="s">
        <v>1357</v>
      </c>
      <c r="E230" s="817" t="s">
        <v>1358</v>
      </c>
      <c r="F230" s="1351"/>
      <c r="G230" s="1351"/>
      <c r="H230" s="1351"/>
      <c r="I230" s="1307" t="str">
        <f t="shared" si="29"/>
        <v>City</v>
      </c>
      <c r="J230" s="1351" t="str">
        <f>IF(P222="",Q$1&amp;M230,"")</f>
        <v>F157</v>
      </c>
      <c r="K230" s="1351" t="str">
        <f t="shared" si="30"/>
        <v>Required Info to Submit</v>
      </c>
      <c r="L230" s="850" t="s">
        <v>768</v>
      </c>
      <c r="M230" s="1351">
        <v>157</v>
      </c>
      <c r="N230" s="1351"/>
      <c r="O230" s="1348"/>
      <c r="P230" s="1348"/>
      <c r="Q230" s="1348"/>
      <c r="R230" s="1348"/>
      <c r="S230" s="1348"/>
      <c r="T230" s="1348"/>
      <c r="U230" s="1348"/>
      <c r="V230" s="1348"/>
      <c r="W230" s="1348"/>
      <c r="X230" s="1348"/>
      <c r="Y230" s="1348"/>
      <c r="Z230" s="1348"/>
    </row>
    <row r="231" spans="1:26" x14ac:dyDescent="0.25">
      <c r="A231" s="871" t="s">
        <v>769</v>
      </c>
      <c r="B231" s="817" t="str">
        <f t="shared" ca="1" si="33"/>
        <v>I28</v>
      </c>
      <c r="C231" s="817" t="str">
        <f t="shared" ca="1" si="26"/>
        <v>I</v>
      </c>
      <c r="D231" s="1351" t="s">
        <v>1357</v>
      </c>
      <c r="E231" s="817" t="s">
        <v>1358</v>
      </c>
      <c r="F231" s="1351"/>
      <c r="G231" s="1351"/>
      <c r="H231" s="1351"/>
      <c r="I231" s="1307" t="str">
        <f t="shared" si="29"/>
        <v>State</v>
      </c>
      <c r="J231" s="1351" t="str">
        <f>IF(P222="",Q$1&amp;M231,"")</f>
        <v>F158</v>
      </c>
      <c r="K231" s="1351" t="str">
        <f t="shared" si="30"/>
        <v>Required Info to Submit</v>
      </c>
      <c r="L231" s="850" t="s">
        <v>769</v>
      </c>
      <c r="M231" s="1351">
        <v>158</v>
      </c>
      <c r="N231" s="1351"/>
      <c r="O231" s="1348"/>
      <c r="P231" s="1348"/>
      <c r="Q231" s="1348"/>
      <c r="R231" s="1348"/>
      <c r="S231" s="1348"/>
      <c r="T231" s="1348"/>
      <c r="U231" s="1348"/>
      <c r="V231" s="1348"/>
      <c r="W231" s="1348"/>
      <c r="X231" s="1348"/>
      <c r="Y231" s="1348"/>
      <c r="Z231" s="1348"/>
    </row>
    <row r="232" spans="1:26" x14ac:dyDescent="0.25">
      <c r="A232" s="871" t="s">
        <v>204</v>
      </c>
      <c r="B232" s="817" t="str">
        <f t="shared" ca="1" si="33"/>
        <v>J28</v>
      </c>
      <c r="C232" s="817" t="str">
        <f t="shared" ref="C232:C276" ca="1" si="34">_xlfn.IFNA(SUBSTITUTE(ADDRESS(1,MATCH(A232,INDIRECT("'"&amp;E232&amp;"'"&amp;"!A22:Z22"),0),4),1,""),"")</f>
        <v>J</v>
      </c>
      <c r="D232" s="1351" t="s">
        <v>1357</v>
      </c>
      <c r="E232" s="817" t="s">
        <v>1358</v>
      </c>
      <c r="F232" s="1351"/>
      <c r="G232" s="1351"/>
      <c r="H232" s="1351"/>
      <c r="I232" s="1307" t="str">
        <f t="shared" si="29"/>
        <v>Zip Code</v>
      </c>
      <c r="J232" s="1351" t="str">
        <f>IF(P222="",Q$1&amp;M232,"")</f>
        <v>F159</v>
      </c>
      <c r="K232" s="1351" t="str">
        <f t="shared" si="30"/>
        <v>Required Info to Submit</v>
      </c>
      <c r="L232" s="850" t="s">
        <v>204</v>
      </c>
      <c r="M232" s="1351">
        <v>159</v>
      </c>
      <c r="N232" s="1351"/>
      <c r="O232" s="1348"/>
      <c r="P232" s="1348"/>
      <c r="Q232" s="1348"/>
      <c r="R232" s="1348"/>
      <c r="S232" s="1348"/>
      <c r="T232" s="1348"/>
      <c r="U232" s="1348"/>
      <c r="V232" s="1348"/>
      <c r="W232" s="1348"/>
      <c r="X232" s="1348"/>
      <c r="Y232" s="1348"/>
      <c r="Z232" s="1348"/>
    </row>
    <row r="233" spans="1:26" x14ac:dyDescent="0.25">
      <c r="A233" s="868" t="s">
        <v>1178</v>
      </c>
      <c r="B233" s="817" t="str">
        <f ca="1">_xlfn.IFNA(_xlfn.CONCAT(SUBSTITUTE(ADDRESS(1,MATCH(A233,INDIRECT("'"&amp;E233&amp;"'"&amp;"!A22:Z22"),0),4),1,""),29),"")</f>
        <v>E29</v>
      </c>
      <c r="C233" s="817" t="str">
        <f t="shared" ca="1" si="34"/>
        <v>E</v>
      </c>
      <c r="D233" s="1351" t="s">
        <v>1357</v>
      </c>
      <c r="E233" s="817" t="s">
        <v>1358</v>
      </c>
      <c r="F233" s="1351"/>
      <c r="G233" s="1351"/>
      <c r="H233" s="1351"/>
      <c r="I233" s="1307" t="str">
        <f t="shared" si="29"/>
        <v/>
      </c>
      <c r="J233" s="1351"/>
      <c r="K233" s="1351" t="str">
        <f t="shared" si="30"/>
        <v/>
      </c>
      <c r="L233" s="850"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9" t="s">
        <v>766</v>
      </c>
      <c r="B234" s="817" t="str">
        <f t="shared" ref="B234:B243" ca="1" si="35">_xlfn.IFNA(_xlfn.CONCAT(SUBSTITUTE(ADDRESS(1,MATCH(A234,INDIRECT("'"&amp;E234&amp;"'"&amp;"!A22:Z22"),0),4),1,""),29),"")</f>
        <v>F29</v>
      </c>
      <c r="C234" s="817" t="str">
        <f t="shared" ca="1" si="34"/>
        <v>F</v>
      </c>
      <c r="D234" s="1351" t="s">
        <v>1357</v>
      </c>
      <c r="E234" s="817" t="s">
        <v>1358</v>
      </c>
      <c r="F234" s="1351"/>
      <c r="G234" s="1351"/>
      <c r="H234" s="1351"/>
      <c r="I234" s="1307" t="str">
        <f t="shared" si="29"/>
        <v>Name</v>
      </c>
      <c r="J234" s="1351" t="str">
        <f>IF(P233="",Q$1&amp;M234,"")</f>
        <v>F162</v>
      </c>
      <c r="K234" s="1351" t="str">
        <f t="shared" si="30"/>
        <v>Required Info to Submit</v>
      </c>
      <c r="L234" s="850" t="s">
        <v>766</v>
      </c>
      <c r="M234" s="1351">
        <v>162</v>
      </c>
      <c r="N234" s="1351"/>
      <c r="O234" s="1348"/>
      <c r="P234" s="1348"/>
      <c r="Q234" s="1348"/>
      <c r="R234" s="1348"/>
      <c r="S234" s="1348"/>
      <c r="T234" s="1348"/>
      <c r="U234" s="1348"/>
      <c r="V234" s="1348"/>
      <c r="W234" s="1348"/>
      <c r="X234" s="1348"/>
      <c r="Y234" s="1348"/>
      <c r="Z234" s="1348"/>
    </row>
    <row r="235" spans="1:26" x14ac:dyDescent="0.25">
      <c r="A235" s="869" t="s">
        <v>765</v>
      </c>
      <c r="B235" s="817" t="str">
        <f t="shared" ca="1" si="35"/>
        <v>K29</v>
      </c>
      <c r="C235" s="817" t="str">
        <f t="shared" ca="1" si="34"/>
        <v>K</v>
      </c>
      <c r="D235" s="1351" t="s">
        <v>1357</v>
      </c>
      <c r="E235" s="817" t="s">
        <v>1358</v>
      </c>
      <c r="F235" s="1351"/>
      <c r="G235" s="1351"/>
      <c r="H235" s="1351"/>
      <c r="I235" s="1307" t="str">
        <f t="shared" si="29"/>
        <v/>
      </c>
      <c r="J235" s="1351"/>
      <c r="K235" s="1351" t="str">
        <f t="shared" si="30"/>
        <v/>
      </c>
      <c r="L235" s="850" t="s">
        <v>765</v>
      </c>
      <c r="M235" s="1351">
        <v>172</v>
      </c>
      <c r="N235" s="1351"/>
      <c r="O235" s="1348"/>
      <c r="P235" s="1348"/>
      <c r="Q235" s="1348"/>
      <c r="R235" s="1348"/>
      <c r="S235" s="1348"/>
      <c r="T235" s="1348"/>
      <c r="U235" s="1348"/>
      <c r="V235" s="1348"/>
      <c r="W235" s="1348"/>
      <c r="X235" s="1348"/>
      <c r="Y235" s="1348"/>
      <c r="Z235" s="1348"/>
    </row>
    <row r="236" spans="1:26" x14ac:dyDescent="0.25">
      <c r="A236" s="869" t="s">
        <v>1179</v>
      </c>
      <c r="B236" s="817" t="str">
        <f t="shared" ca="1" si="35"/>
        <v>L29</v>
      </c>
      <c r="C236" s="817" t="str">
        <f t="shared" ca="1" si="34"/>
        <v>L</v>
      </c>
      <c r="D236" s="1351" t="s">
        <v>1357</v>
      </c>
      <c r="E236" s="817" t="s">
        <v>1358</v>
      </c>
      <c r="F236" s="1351"/>
      <c r="G236" s="1351"/>
      <c r="H236" s="1351"/>
      <c r="I236" s="1307" t="str">
        <f t="shared" si="29"/>
        <v/>
      </c>
      <c r="J236" s="1351"/>
      <c r="K236" s="1351" t="str">
        <f t="shared" si="30"/>
        <v/>
      </c>
      <c r="L236" s="850" t="s">
        <v>1179</v>
      </c>
      <c r="M236" s="1351">
        <v>173</v>
      </c>
      <c r="N236" s="1351"/>
      <c r="O236" s="1348"/>
      <c r="P236" s="1348"/>
      <c r="Q236" s="1348"/>
      <c r="R236" s="1348"/>
      <c r="S236" s="1348"/>
      <c r="T236" s="1348"/>
      <c r="U236" s="1348"/>
      <c r="V236" s="1348"/>
      <c r="W236" s="1348"/>
      <c r="X236" s="1348"/>
      <c r="Y236" s="1348"/>
      <c r="Z236" s="1348"/>
    </row>
    <row r="237" spans="1:26" x14ac:dyDescent="0.25">
      <c r="A237" s="869" t="s">
        <v>1180</v>
      </c>
      <c r="B237" s="817" t="str">
        <f t="shared" ca="1" si="35"/>
        <v>M29</v>
      </c>
      <c r="C237" s="817" t="str">
        <f t="shared" ca="1" si="34"/>
        <v>M</v>
      </c>
      <c r="D237" s="1351" t="s">
        <v>1357</v>
      </c>
      <c r="E237" s="817" t="s">
        <v>1358</v>
      </c>
      <c r="F237" s="1351"/>
      <c r="G237" s="1351"/>
      <c r="H237" s="1351"/>
      <c r="I237" s="1307" t="str">
        <f t="shared" si="29"/>
        <v>Secondary or Internal Customer</v>
      </c>
      <c r="J237" s="1351" t="str">
        <f>IF(M237&lt;&gt;"",Q$1&amp;M237,"")</f>
        <v>F174</v>
      </c>
      <c r="K237" s="1351" t="str">
        <f t="shared" si="30"/>
        <v>Required Info to Submit</v>
      </c>
      <c r="L237" s="850" t="s">
        <v>1180</v>
      </c>
      <c r="M237" s="1351">
        <v>174</v>
      </c>
      <c r="N237" s="1351"/>
      <c r="O237" s="1348"/>
      <c r="P237" s="1348"/>
      <c r="Q237" s="1348"/>
      <c r="R237" s="1348"/>
      <c r="S237" s="1348"/>
      <c r="T237" s="1348"/>
      <c r="U237" s="1348"/>
      <c r="V237" s="1348"/>
      <c r="W237" s="1348"/>
      <c r="X237" s="1348"/>
      <c r="Y237" s="1348"/>
      <c r="Z237" s="1348"/>
    </row>
    <row r="238" spans="1:26" x14ac:dyDescent="0.25">
      <c r="A238" s="869" t="s">
        <v>1181</v>
      </c>
      <c r="B238" s="817" t="str">
        <f t="shared" ca="1" si="35"/>
        <v>N29</v>
      </c>
      <c r="C238" s="817" t="str">
        <f t="shared" ca="1" si="34"/>
        <v>N</v>
      </c>
      <c r="D238" s="1351" t="s">
        <v>1357</v>
      </c>
      <c r="E238" s="817" t="s">
        <v>1358</v>
      </c>
      <c r="F238" s="1351"/>
      <c r="G238" s="1351"/>
      <c r="H238" s="1351"/>
      <c r="I238" s="1307" t="str">
        <f t="shared" si="29"/>
        <v>Fuel Surcharge Applied</v>
      </c>
      <c r="J238" s="1351" t="str">
        <f>IF(M238&lt;&gt;"",Q$1&amp;M238,"")</f>
        <v>F175</v>
      </c>
      <c r="K238" s="1351" t="str">
        <f t="shared" si="30"/>
        <v>Required Info to Submit</v>
      </c>
      <c r="L238" s="850" t="s">
        <v>1367</v>
      </c>
      <c r="M238" s="1351">
        <v>175</v>
      </c>
      <c r="N238" s="1351"/>
      <c r="O238" s="1348"/>
      <c r="P238" s="1348"/>
      <c r="Q238" s="1348"/>
      <c r="R238" s="1348"/>
      <c r="S238" s="1348"/>
      <c r="T238" s="1348"/>
      <c r="U238" s="1348"/>
      <c r="V238" s="1348"/>
      <c r="W238" s="1348"/>
      <c r="X238" s="1348"/>
      <c r="Y238" s="1348"/>
      <c r="Z238" s="1348"/>
    </row>
    <row r="239" spans="1:26" x14ac:dyDescent="0.25">
      <c r="A239" s="869" t="s">
        <v>1297</v>
      </c>
      <c r="B239" s="817" t="str">
        <f t="shared" ca="1" si="35"/>
        <v>O29</v>
      </c>
      <c r="C239" s="817" t="str">
        <f t="shared" ca="1" si="34"/>
        <v>O</v>
      </c>
      <c r="D239" s="1351" t="s">
        <v>1357</v>
      </c>
      <c r="E239" s="817" t="s">
        <v>1358</v>
      </c>
      <c r="F239" s="1351"/>
      <c r="G239" s="1351"/>
      <c r="H239" s="1351"/>
      <c r="I239" s="1307" t="str">
        <f t="shared" si="29"/>
        <v>Minimum Delivery Charge Applied Flag</v>
      </c>
      <c r="J239" s="1351" t="str">
        <f>IF(M239&lt;&gt;"",Q$1&amp;M239,"")</f>
        <v>F176</v>
      </c>
      <c r="K239" s="1351" t="str">
        <f t="shared" si="30"/>
        <v>Required Info to Submit</v>
      </c>
      <c r="L239" s="850" t="s">
        <v>1297</v>
      </c>
      <c r="M239" s="1351">
        <v>176</v>
      </c>
      <c r="N239" s="1351"/>
      <c r="O239" s="1348"/>
      <c r="P239" s="1348"/>
      <c r="Q239" s="1348"/>
      <c r="R239" s="1348"/>
      <c r="S239" s="1348"/>
      <c r="T239" s="1348"/>
      <c r="U239" s="1348"/>
      <c r="V239" s="1348"/>
      <c r="W239" s="1348"/>
      <c r="X239" s="1348"/>
      <c r="Y239" s="1348"/>
      <c r="Z239" s="1348"/>
    </row>
    <row r="240" spans="1:26" x14ac:dyDescent="0.25">
      <c r="A240" s="869" t="s">
        <v>767</v>
      </c>
      <c r="B240" s="817" t="str">
        <f t="shared" ca="1" si="35"/>
        <v>G29</v>
      </c>
      <c r="C240" s="817" t="str">
        <f t="shared" ca="1" si="34"/>
        <v>G</v>
      </c>
      <c r="D240" s="1351" t="s">
        <v>1357</v>
      </c>
      <c r="E240" s="817" t="s">
        <v>1358</v>
      </c>
      <c r="F240" s="1351"/>
      <c r="G240" s="1351"/>
      <c r="H240" s="1351"/>
      <c r="I240" s="1307" t="str">
        <f t="shared" si="29"/>
        <v>Address</v>
      </c>
      <c r="J240" s="1351" t="str">
        <f>IF(P233="",Q$1&amp;M240,"")</f>
        <v>F177</v>
      </c>
      <c r="K240" s="1351" t="str">
        <f t="shared" si="30"/>
        <v>Required Info to Submit</v>
      </c>
      <c r="L240" s="850" t="s">
        <v>767</v>
      </c>
      <c r="M240" s="1351">
        <v>177</v>
      </c>
      <c r="N240" s="1351"/>
      <c r="O240" s="1348"/>
      <c r="P240" s="1348"/>
      <c r="Q240" s="1348"/>
      <c r="R240" s="1348"/>
      <c r="S240" s="1348"/>
      <c r="T240" s="1348"/>
      <c r="U240" s="1348"/>
      <c r="V240" s="1348"/>
      <c r="W240" s="1348"/>
      <c r="X240" s="1348"/>
      <c r="Y240" s="1348"/>
      <c r="Z240" s="1348"/>
    </row>
    <row r="241" spans="1:26" x14ac:dyDescent="0.25">
      <c r="A241" s="869" t="s">
        <v>768</v>
      </c>
      <c r="B241" s="817" t="str">
        <f t="shared" ca="1" si="35"/>
        <v>H29</v>
      </c>
      <c r="C241" s="817" t="str">
        <f t="shared" ca="1" si="34"/>
        <v>H</v>
      </c>
      <c r="D241" s="1351" t="s">
        <v>1357</v>
      </c>
      <c r="E241" s="817" t="s">
        <v>1358</v>
      </c>
      <c r="F241" s="1351"/>
      <c r="G241" s="1351"/>
      <c r="H241" s="1351"/>
      <c r="I241" s="1307" t="str">
        <f t="shared" si="29"/>
        <v>City</v>
      </c>
      <c r="J241" s="1351" t="str">
        <f>IF(P233="",Q$1&amp;M241,"")</f>
        <v>F178</v>
      </c>
      <c r="K241" s="1351" t="str">
        <f t="shared" si="30"/>
        <v>Required Info to Submit</v>
      </c>
      <c r="L241" s="850" t="s">
        <v>768</v>
      </c>
      <c r="M241" s="1351">
        <v>178</v>
      </c>
      <c r="N241" s="1351"/>
      <c r="O241" s="1348"/>
      <c r="P241" s="1348"/>
      <c r="Q241" s="1348"/>
      <c r="R241" s="1348"/>
      <c r="S241" s="1348"/>
      <c r="T241" s="1348"/>
      <c r="U241" s="1348"/>
      <c r="V241" s="1348"/>
      <c r="W241" s="1348"/>
      <c r="X241" s="1348"/>
      <c r="Y241" s="1348"/>
      <c r="Z241" s="1348"/>
    </row>
    <row r="242" spans="1:26" x14ac:dyDescent="0.25">
      <c r="A242" s="869" t="s">
        <v>769</v>
      </c>
      <c r="B242" s="817" t="str">
        <f t="shared" ca="1" si="35"/>
        <v>I29</v>
      </c>
      <c r="C242" s="817" t="str">
        <f t="shared" ca="1" si="34"/>
        <v>I</v>
      </c>
      <c r="D242" s="1351" t="s">
        <v>1357</v>
      </c>
      <c r="E242" s="817" t="s">
        <v>1358</v>
      </c>
      <c r="F242" s="1351"/>
      <c r="G242" s="1351"/>
      <c r="H242" s="1351"/>
      <c r="I242" s="1307" t="str">
        <f t="shared" si="29"/>
        <v>State</v>
      </c>
      <c r="J242" s="1351" t="str">
        <f>IF(P233="",Q$1&amp;M242,"")</f>
        <v>F179</v>
      </c>
      <c r="K242" s="1351" t="str">
        <f t="shared" si="30"/>
        <v>Required Info to Submit</v>
      </c>
      <c r="L242" s="850" t="s">
        <v>769</v>
      </c>
      <c r="M242" s="1351">
        <v>179</v>
      </c>
      <c r="N242" s="1351"/>
      <c r="O242" s="1348"/>
      <c r="P242" s="1348"/>
      <c r="Q242" s="1348"/>
      <c r="R242" s="1348"/>
      <c r="S242" s="1348"/>
      <c r="T242" s="1348"/>
      <c r="U242" s="1348"/>
      <c r="V242" s="1348"/>
      <c r="W242" s="1348"/>
      <c r="X242" s="1348"/>
      <c r="Y242" s="1348"/>
      <c r="Z242" s="1348"/>
    </row>
    <row r="243" spans="1:26" x14ac:dyDescent="0.25">
      <c r="A243" s="869" t="s">
        <v>204</v>
      </c>
      <c r="B243" s="817" t="str">
        <f t="shared" ca="1" si="35"/>
        <v>J29</v>
      </c>
      <c r="C243" s="817" t="str">
        <f t="shared" ca="1" si="34"/>
        <v>J</v>
      </c>
      <c r="D243" s="1351" t="s">
        <v>1357</v>
      </c>
      <c r="E243" s="817" t="s">
        <v>1358</v>
      </c>
      <c r="F243" s="1351"/>
      <c r="G243" s="1351"/>
      <c r="H243" s="1351"/>
      <c r="I243" s="1307" t="str">
        <f t="shared" si="29"/>
        <v>Zip Code</v>
      </c>
      <c r="J243" s="1351" t="str">
        <f>IF(P233="",Q$1&amp;M243,"")</f>
        <v>F180</v>
      </c>
      <c r="K243" s="1351" t="str">
        <f t="shared" si="30"/>
        <v>Required Info to Submit</v>
      </c>
      <c r="L243" s="850" t="s">
        <v>204</v>
      </c>
      <c r="M243" s="1351">
        <v>180</v>
      </c>
      <c r="N243" s="1351"/>
      <c r="O243" s="1348"/>
      <c r="P243" s="1348"/>
      <c r="Q243" s="1348"/>
      <c r="R243" s="1348"/>
      <c r="S243" s="1348"/>
      <c r="T243" s="1348"/>
      <c r="U243" s="1348"/>
      <c r="V243" s="1348"/>
      <c r="W243" s="1348"/>
      <c r="X243" s="1348"/>
      <c r="Y243" s="1348"/>
      <c r="Z243" s="1348"/>
    </row>
    <row r="244" spans="1:26" x14ac:dyDescent="0.25">
      <c r="A244" s="870" t="s">
        <v>1178</v>
      </c>
      <c r="B244" s="817" t="str">
        <f ca="1">_xlfn.IFNA(_xlfn.CONCAT(SUBSTITUTE(ADDRESS(1,MATCH(A244,INDIRECT("'"&amp;E244&amp;"'"&amp;"!A22:Z22"),0),4),1,""),30),"")</f>
        <v>E30</v>
      </c>
      <c r="C244" s="817" t="str">
        <f t="shared" ca="1" si="34"/>
        <v>E</v>
      </c>
      <c r="D244" s="1351" t="s">
        <v>1357</v>
      </c>
      <c r="E244" s="817" t="s">
        <v>1358</v>
      </c>
      <c r="F244" s="1351"/>
      <c r="G244" s="1351"/>
      <c r="H244" s="1351"/>
      <c r="I244" s="1307" t="str">
        <f t="shared" si="29"/>
        <v/>
      </c>
      <c r="J244" s="1351"/>
      <c r="K244" s="1351" t="str">
        <f t="shared" si="30"/>
        <v/>
      </c>
      <c r="L244" s="850"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1" t="s">
        <v>766</v>
      </c>
      <c r="B245" s="817" t="str">
        <f t="shared" ref="B245:B254" ca="1" si="36">_xlfn.IFNA(_xlfn.CONCAT(SUBSTITUTE(ADDRESS(1,MATCH(A245,INDIRECT("'"&amp;E245&amp;"'"&amp;"!A22:Z22"),0),4),1,""),30),"")</f>
        <v>F30</v>
      </c>
      <c r="C245" s="817" t="str">
        <f t="shared" ca="1" si="34"/>
        <v>F</v>
      </c>
      <c r="D245" s="1351" t="s">
        <v>1357</v>
      </c>
      <c r="E245" s="817" t="s">
        <v>1358</v>
      </c>
      <c r="F245" s="1351"/>
      <c r="G245" s="1351"/>
      <c r="H245" s="1351"/>
      <c r="I245" s="1307" t="str">
        <f t="shared" si="29"/>
        <v>Name</v>
      </c>
      <c r="J245" s="1351" t="str">
        <f>IF(P244="",Q$1&amp;M245,"")</f>
        <v>F183</v>
      </c>
      <c r="K245" s="1351" t="str">
        <f t="shared" si="30"/>
        <v>Required Info to Submit</v>
      </c>
      <c r="L245" s="850" t="s">
        <v>766</v>
      </c>
      <c r="M245" s="1351">
        <v>183</v>
      </c>
      <c r="N245" s="1351"/>
      <c r="O245" s="1348"/>
      <c r="P245" s="1348"/>
      <c r="Q245" s="1348"/>
      <c r="R245" s="1348"/>
      <c r="S245" s="1348"/>
      <c r="T245" s="1348"/>
      <c r="U245" s="1348"/>
      <c r="V245" s="1348"/>
      <c r="W245" s="1348"/>
      <c r="X245" s="1348"/>
      <c r="Y245" s="1348"/>
      <c r="Z245" s="1348"/>
    </row>
    <row r="246" spans="1:26" x14ac:dyDescent="0.25">
      <c r="A246" s="871" t="s">
        <v>765</v>
      </c>
      <c r="B246" s="817" t="str">
        <f t="shared" ca="1" si="36"/>
        <v>K30</v>
      </c>
      <c r="C246" s="817" t="str">
        <f t="shared" ca="1" si="34"/>
        <v>K</v>
      </c>
      <c r="D246" s="1351" t="s">
        <v>1357</v>
      </c>
      <c r="E246" s="817" t="s">
        <v>1358</v>
      </c>
      <c r="F246" s="1351"/>
      <c r="G246" s="1351"/>
      <c r="H246" s="1351"/>
      <c r="I246" s="1307" t="str">
        <f t="shared" si="29"/>
        <v/>
      </c>
      <c r="J246" s="1351"/>
      <c r="K246" s="1351" t="str">
        <f t="shared" si="30"/>
        <v/>
      </c>
      <c r="L246" s="850" t="s">
        <v>765</v>
      </c>
      <c r="M246" s="1351">
        <v>193</v>
      </c>
      <c r="N246" s="1351"/>
      <c r="O246" s="1348"/>
      <c r="P246" s="1348"/>
      <c r="Q246" s="1348"/>
      <c r="R246" s="1348"/>
      <c r="S246" s="1348"/>
      <c r="T246" s="1348"/>
      <c r="U246" s="1348"/>
      <c r="V246" s="1348"/>
      <c r="W246" s="1348"/>
      <c r="X246" s="1348"/>
      <c r="Y246" s="1348"/>
      <c r="Z246" s="1348"/>
    </row>
    <row r="247" spans="1:26" x14ac:dyDescent="0.25">
      <c r="A247" s="871" t="s">
        <v>1179</v>
      </c>
      <c r="B247" s="817" t="str">
        <f t="shared" ca="1" si="36"/>
        <v>L30</v>
      </c>
      <c r="C247" s="817" t="str">
        <f t="shared" ca="1" si="34"/>
        <v>L</v>
      </c>
      <c r="D247" s="1351" t="s">
        <v>1357</v>
      </c>
      <c r="E247" s="817" t="s">
        <v>1358</v>
      </c>
      <c r="F247" s="1351"/>
      <c r="G247" s="1351"/>
      <c r="H247" s="1351"/>
      <c r="I247" s="1307" t="str">
        <f t="shared" si="29"/>
        <v/>
      </c>
      <c r="J247" s="1351"/>
      <c r="K247" s="1351" t="str">
        <f t="shared" si="30"/>
        <v/>
      </c>
      <c r="L247" s="850" t="s">
        <v>1179</v>
      </c>
      <c r="M247" s="1351">
        <v>194</v>
      </c>
      <c r="N247" s="1351"/>
      <c r="O247" s="1348"/>
      <c r="P247" s="1348"/>
      <c r="Q247" s="1348"/>
      <c r="R247" s="1348"/>
      <c r="S247" s="1348"/>
      <c r="T247" s="1348"/>
      <c r="U247" s="1348"/>
      <c r="V247" s="1348"/>
      <c r="W247" s="1348"/>
      <c r="X247" s="1348"/>
      <c r="Y247" s="1348"/>
      <c r="Z247" s="1348"/>
    </row>
    <row r="248" spans="1:26" x14ac:dyDescent="0.25">
      <c r="A248" s="871" t="s">
        <v>1180</v>
      </c>
      <c r="B248" s="817" t="str">
        <f t="shared" ca="1" si="36"/>
        <v>M30</v>
      </c>
      <c r="C248" s="817" t="str">
        <f t="shared" ca="1" si="34"/>
        <v>M</v>
      </c>
      <c r="D248" s="1351" t="s">
        <v>1357</v>
      </c>
      <c r="E248" s="817" t="s">
        <v>1358</v>
      </c>
      <c r="F248" s="1351"/>
      <c r="G248" s="1351"/>
      <c r="H248" s="1351"/>
      <c r="I248" s="1307" t="str">
        <f t="shared" si="29"/>
        <v>Secondary or Internal Customer</v>
      </c>
      <c r="J248" s="1351" t="str">
        <f>IF(M248&lt;&gt;"",Q$1&amp;M248,"")</f>
        <v>F195</v>
      </c>
      <c r="K248" s="1351" t="str">
        <f t="shared" si="30"/>
        <v>Required Info to Submit</v>
      </c>
      <c r="L248" s="850" t="s">
        <v>1180</v>
      </c>
      <c r="M248" s="1351">
        <v>195</v>
      </c>
      <c r="N248" s="1351"/>
      <c r="O248" s="1348"/>
      <c r="P248" s="1348"/>
      <c r="Q248" s="1348"/>
      <c r="R248" s="1348"/>
      <c r="S248" s="1348"/>
      <c r="T248" s="1348"/>
      <c r="U248" s="1348"/>
      <c r="V248" s="1348"/>
      <c r="W248" s="1348"/>
      <c r="X248" s="1348"/>
      <c r="Y248" s="1348"/>
      <c r="Z248" s="1348"/>
    </row>
    <row r="249" spans="1:26" x14ac:dyDescent="0.25">
      <c r="A249" s="871" t="s">
        <v>1181</v>
      </c>
      <c r="B249" s="817" t="str">
        <f t="shared" ca="1" si="36"/>
        <v>N30</v>
      </c>
      <c r="C249" s="817" t="str">
        <f t="shared" ca="1" si="34"/>
        <v>N</v>
      </c>
      <c r="D249" s="1351" t="s">
        <v>1357</v>
      </c>
      <c r="E249" s="817" t="s">
        <v>1358</v>
      </c>
      <c r="F249" s="1351"/>
      <c r="G249" s="1351"/>
      <c r="H249" s="1351"/>
      <c r="I249" s="1307" t="str">
        <f t="shared" si="29"/>
        <v>Fuel Surcharge Applied</v>
      </c>
      <c r="J249" s="1351" t="str">
        <f>IF(M249&lt;&gt;"",Q$1&amp;M249,"")</f>
        <v>F196</v>
      </c>
      <c r="K249" s="1351" t="str">
        <f t="shared" si="30"/>
        <v>Required Info to Submit</v>
      </c>
      <c r="L249" s="850" t="s">
        <v>1367</v>
      </c>
      <c r="M249" s="1351">
        <v>196</v>
      </c>
      <c r="N249" s="1351"/>
      <c r="O249" s="1348"/>
      <c r="P249" s="1348"/>
      <c r="Q249" s="1348"/>
      <c r="R249" s="1348"/>
      <c r="S249" s="1348"/>
      <c r="T249" s="1348"/>
      <c r="U249" s="1348"/>
      <c r="V249" s="1348"/>
      <c r="W249" s="1348"/>
      <c r="X249" s="1348"/>
      <c r="Y249" s="1348"/>
      <c r="Z249" s="1348"/>
    </row>
    <row r="250" spans="1:26" x14ac:dyDescent="0.25">
      <c r="A250" s="871" t="s">
        <v>1297</v>
      </c>
      <c r="B250" s="817" t="str">
        <f t="shared" ca="1" si="36"/>
        <v>O30</v>
      </c>
      <c r="C250" s="817" t="str">
        <f t="shared" ca="1" si="34"/>
        <v>O</v>
      </c>
      <c r="D250" s="1351" t="s">
        <v>1357</v>
      </c>
      <c r="E250" s="817" t="s">
        <v>1358</v>
      </c>
      <c r="F250" s="1351"/>
      <c r="G250" s="1351"/>
      <c r="H250" s="1351"/>
      <c r="I250" s="1307" t="str">
        <f t="shared" si="29"/>
        <v>Minimum Delivery Charge Applied Flag</v>
      </c>
      <c r="J250" s="1351" t="str">
        <f>IF(M250&lt;&gt;"",Q$1&amp;M250,"")</f>
        <v>F197</v>
      </c>
      <c r="K250" s="1351" t="str">
        <f t="shared" si="30"/>
        <v>Required Info to Submit</v>
      </c>
      <c r="L250" s="850" t="s">
        <v>1297</v>
      </c>
      <c r="M250" s="1351">
        <v>197</v>
      </c>
      <c r="N250" s="1351"/>
      <c r="O250" s="1348"/>
      <c r="P250" s="1348"/>
      <c r="Q250" s="1348"/>
      <c r="R250" s="1348"/>
      <c r="S250" s="1348"/>
      <c r="T250" s="1348"/>
      <c r="U250" s="1348"/>
      <c r="V250" s="1348"/>
      <c r="W250" s="1348"/>
      <c r="X250" s="1348"/>
      <c r="Y250" s="1348"/>
      <c r="Z250" s="1348"/>
    </row>
    <row r="251" spans="1:26" x14ac:dyDescent="0.25">
      <c r="A251" s="871" t="s">
        <v>767</v>
      </c>
      <c r="B251" s="817" t="str">
        <f t="shared" ca="1" si="36"/>
        <v>G30</v>
      </c>
      <c r="C251" s="817" t="str">
        <f t="shared" ca="1" si="34"/>
        <v>G</v>
      </c>
      <c r="D251" s="1351" t="s">
        <v>1357</v>
      </c>
      <c r="E251" s="817" t="s">
        <v>1358</v>
      </c>
      <c r="F251" s="1351"/>
      <c r="G251" s="1351"/>
      <c r="H251" s="1351"/>
      <c r="I251" s="1307" t="str">
        <f t="shared" si="29"/>
        <v>Address</v>
      </c>
      <c r="J251" s="1351" t="str">
        <f>IF(P244="",Q$1&amp;M251,"")</f>
        <v>F198</v>
      </c>
      <c r="K251" s="1351" t="str">
        <f t="shared" si="30"/>
        <v>Required Info to Submit</v>
      </c>
      <c r="L251" s="850" t="s">
        <v>767</v>
      </c>
      <c r="M251" s="1351">
        <v>198</v>
      </c>
      <c r="N251" s="1351"/>
      <c r="O251" s="1348"/>
      <c r="P251" s="1348"/>
      <c r="Q251" s="1348"/>
      <c r="R251" s="1348"/>
      <c r="S251" s="1348"/>
      <c r="T251" s="1348"/>
      <c r="U251" s="1348"/>
      <c r="V251" s="1348"/>
      <c r="W251" s="1348"/>
      <c r="X251" s="1348"/>
      <c r="Y251" s="1348"/>
      <c r="Z251" s="1348"/>
    </row>
    <row r="252" spans="1:26" x14ac:dyDescent="0.25">
      <c r="A252" s="871" t="s">
        <v>768</v>
      </c>
      <c r="B252" s="817" t="str">
        <f t="shared" ca="1" si="36"/>
        <v>H30</v>
      </c>
      <c r="C252" s="817" t="str">
        <f t="shared" ca="1" si="34"/>
        <v>H</v>
      </c>
      <c r="D252" s="1351" t="s">
        <v>1357</v>
      </c>
      <c r="E252" s="817" t="s">
        <v>1358</v>
      </c>
      <c r="F252" s="1351"/>
      <c r="G252" s="1351"/>
      <c r="H252" s="1351"/>
      <c r="I252" s="1307" t="str">
        <f t="shared" si="29"/>
        <v>City</v>
      </c>
      <c r="J252" s="1351" t="str">
        <f>IF(P244="",Q$1&amp;M252,"")</f>
        <v>F199</v>
      </c>
      <c r="K252" s="1351" t="str">
        <f t="shared" si="30"/>
        <v>Required Info to Submit</v>
      </c>
      <c r="L252" s="850" t="s">
        <v>768</v>
      </c>
      <c r="M252" s="1351">
        <v>199</v>
      </c>
      <c r="N252" s="1351"/>
      <c r="O252" s="1348"/>
      <c r="P252" s="1348"/>
      <c r="Q252" s="1348"/>
      <c r="R252" s="1348"/>
      <c r="S252" s="1348"/>
      <c r="T252" s="1348"/>
      <c r="U252" s="1348"/>
      <c r="V252" s="1348"/>
      <c r="W252" s="1348"/>
      <c r="X252" s="1348"/>
      <c r="Y252" s="1348"/>
      <c r="Z252" s="1348"/>
    </row>
    <row r="253" spans="1:26" x14ac:dyDescent="0.25">
      <c r="A253" s="871" t="s">
        <v>769</v>
      </c>
      <c r="B253" s="817" t="str">
        <f t="shared" ca="1" si="36"/>
        <v>I30</v>
      </c>
      <c r="C253" s="817" t="str">
        <f t="shared" ca="1" si="34"/>
        <v>I</v>
      </c>
      <c r="D253" s="1351" t="s">
        <v>1357</v>
      </c>
      <c r="E253" s="817" t="s">
        <v>1358</v>
      </c>
      <c r="F253" s="1351"/>
      <c r="G253" s="1351"/>
      <c r="H253" s="1351"/>
      <c r="I253" s="1307" t="str">
        <f t="shared" si="29"/>
        <v>State</v>
      </c>
      <c r="J253" s="1351" t="str">
        <f>IF(P244="",Q$1&amp;M253,"")</f>
        <v>F200</v>
      </c>
      <c r="K253" s="1351" t="str">
        <f t="shared" si="30"/>
        <v>Required Info to Submit</v>
      </c>
      <c r="L253" s="850" t="s">
        <v>769</v>
      </c>
      <c r="M253" s="1351">
        <v>200</v>
      </c>
      <c r="N253" s="1351"/>
      <c r="O253" s="1348"/>
      <c r="P253" s="1348"/>
      <c r="Q253" s="1348"/>
      <c r="R253" s="1348"/>
      <c r="S253" s="1348"/>
      <c r="T253" s="1348"/>
      <c r="U253" s="1348"/>
      <c r="V253" s="1348"/>
      <c r="W253" s="1348"/>
      <c r="X253" s="1348"/>
      <c r="Y253" s="1348"/>
      <c r="Z253" s="1348"/>
    </row>
    <row r="254" spans="1:26" x14ac:dyDescent="0.25">
      <c r="A254" s="871" t="s">
        <v>204</v>
      </c>
      <c r="B254" s="817" t="str">
        <f t="shared" ca="1" si="36"/>
        <v>J30</v>
      </c>
      <c r="C254" s="817" t="str">
        <f t="shared" ca="1" si="34"/>
        <v>J</v>
      </c>
      <c r="D254" s="1351" t="s">
        <v>1357</v>
      </c>
      <c r="E254" s="817" t="s">
        <v>1358</v>
      </c>
      <c r="F254" s="1351"/>
      <c r="G254" s="1351"/>
      <c r="H254" s="1351"/>
      <c r="I254" s="1307" t="str">
        <f t="shared" si="29"/>
        <v>Zip Code</v>
      </c>
      <c r="J254" s="1351" t="str">
        <f>IF(P244="",Q$1&amp;M254,"")</f>
        <v>F201</v>
      </c>
      <c r="K254" s="1351" t="str">
        <f t="shared" si="30"/>
        <v>Required Info to Submit</v>
      </c>
      <c r="L254" s="850" t="s">
        <v>204</v>
      </c>
      <c r="M254" s="1351">
        <v>201</v>
      </c>
      <c r="N254" s="1351"/>
      <c r="O254" s="1348"/>
      <c r="P254" s="1348"/>
      <c r="Q254" s="1348"/>
      <c r="R254" s="1348"/>
      <c r="S254" s="1348"/>
      <c r="T254" s="1348"/>
      <c r="U254" s="1348"/>
      <c r="V254" s="1348"/>
      <c r="W254" s="1348"/>
      <c r="X254" s="1348"/>
      <c r="Y254" s="1348"/>
      <c r="Z254" s="1348"/>
    </row>
    <row r="255" spans="1:26" x14ac:dyDescent="0.25">
      <c r="A255" s="868" t="s">
        <v>1178</v>
      </c>
      <c r="B255" s="817" t="str">
        <f ca="1">_xlfn.IFNA(_xlfn.CONCAT(SUBSTITUTE(ADDRESS(1,MATCH(A255,INDIRECT("'"&amp;E255&amp;"'"&amp;"!A22:Z22"),0),4),1,""),31),"")</f>
        <v>E31</v>
      </c>
      <c r="C255" s="817" t="str">
        <f t="shared" ca="1" si="34"/>
        <v>E</v>
      </c>
      <c r="D255" s="1351" t="s">
        <v>1357</v>
      </c>
      <c r="E255" s="817" t="s">
        <v>1358</v>
      </c>
      <c r="F255" s="1351"/>
      <c r="G255" s="1351"/>
      <c r="H255" s="1351"/>
      <c r="I255" s="1307" t="str">
        <f t="shared" si="29"/>
        <v/>
      </c>
      <c r="J255" s="1351"/>
      <c r="K255" s="1351" t="str">
        <f t="shared" si="30"/>
        <v/>
      </c>
      <c r="L255" s="850"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9" t="s">
        <v>766</v>
      </c>
      <c r="B256" s="817" t="str">
        <f t="shared" ref="B256:B265" ca="1" si="37">_xlfn.IFNA(_xlfn.CONCAT(SUBSTITUTE(ADDRESS(1,MATCH(A256,INDIRECT("'"&amp;E256&amp;"'"&amp;"!A22:Z22"),0),4),1,""),31),"")</f>
        <v>F31</v>
      </c>
      <c r="C256" s="817" t="str">
        <f t="shared" ca="1" si="34"/>
        <v>F</v>
      </c>
      <c r="D256" s="1351" t="s">
        <v>1357</v>
      </c>
      <c r="E256" s="817" t="s">
        <v>1358</v>
      </c>
      <c r="F256" s="1351"/>
      <c r="G256" s="1351"/>
      <c r="H256" s="1351"/>
      <c r="I256" s="1307" t="str">
        <f t="shared" si="29"/>
        <v>Name</v>
      </c>
      <c r="J256" s="1351" t="str">
        <f>IF(P255="",Q$1&amp;M256,"")</f>
        <v>F204</v>
      </c>
      <c r="K256" s="1351" t="str">
        <f t="shared" si="30"/>
        <v>Required Info to Submit</v>
      </c>
      <c r="L256" s="850" t="s">
        <v>766</v>
      </c>
      <c r="M256" s="1351">
        <v>204</v>
      </c>
      <c r="N256" s="1351"/>
      <c r="O256" s="1348"/>
      <c r="P256" s="1348"/>
      <c r="Q256" s="1348"/>
      <c r="R256" s="1348"/>
      <c r="S256" s="1348"/>
      <c r="T256" s="1348"/>
      <c r="U256" s="1348"/>
      <c r="V256" s="1348"/>
      <c r="W256" s="1348"/>
      <c r="X256" s="1348"/>
      <c r="Y256" s="1348"/>
      <c r="Z256" s="1348"/>
    </row>
    <row r="257" spans="1:26" x14ac:dyDescent="0.25">
      <c r="A257" s="869" t="s">
        <v>765</v>
      </c>
      <c r="B257" s="817" t="str">
        <f t="shared" ca="1" si="37"/>
        <v>K31</v>
      </c>
      <c r="C257" s="817" t="str">
        <f t="shared" ca="1" si="34"/>
        <v>K</v>
      </c>
      <c r="D257" s="1351" t="s">
        <v>1357</v>
      </c>
      <c r="E257" s="817" t="s">
        <v>1358</v>
      </c>
      <c r="F257" s="1351"/>
      <c r="G257" s="1351"/>
      <c r="H257" s="1351"/>
      <c r="I257" s="1307" t="str">
        <f t="shared" si="29"/>
        <v/>
      </c>
      <c r="J257" s="1351"/>
      <c r="K257" s="1351" t="str">
        <f t="shared" si="30"/>
        <v/>
      </c>
      <c r="L257" s="850" t="s">
        <v>765</v>
      </c>
      <c r="M257" s="1351">
        <v>214</v>
      </c>
      <c r="N257" s="1351"/>
      <c r="O257" s="1348"/>
      <c r="P257" s="1348"/>
      <c r="Q257" s="1348"/>
      <c r="R257" s="1348"/>
      <c r="S257" s="1348"/>
      <c r="T257" s="1348"/>
      <c r="U257" s="1348"/>
      <c r="V257" s="1348"/>
      <c r="W257" s="1348"/>
      <c r="X257" s="1348"/>
      <c r="Y257" s="1348"/>
      <c r="Z257" s="1348"/>
    </row>
    <row r="258" spans="1:26" x14ac:dyDescent="0.25">
      <c r="A258" s="869" t="s">
        <v>1179</v>
      </c>
      <c r="B258" s="817" t="str">
        <f t="shared" ca="1" si="37"/>
        <v>L31</v>
      </c>
      <c r="C258" s="817" t="str">
        <f t="shared" ca="1" si="34"/>
        <v>L</v>
      </c>
      <c r="D258" s="1351" t="s">
        <v>1357</v>
      </c>
      <c r="E258" s="817" t="s">
        <v>1358</v>
      </c>
      <c r="F258" s="1351"/>
      <c r="G258" s="1351"/>
      <c r="H258" s="1351"/>
      <c r="I258" s="1307" t="str">
        <f t="shared" si="29"/>
        <v/>
      </c>
      <c r="J258" s="1351"/>
      <c r="K258" s="1351" t="str">
        <f t="shared" si="30"/>
        <v/>
      </c>
      <c r="L258" s="850" t="s">
        <v>1179</v>
      </c>
      <c r="M258" s="1351">
        <v>215</v>
      </c>
      <c r="N258" s="1351"/>
      <c r="O258" s="1348"/>
      <c r="P258" s="1348"/>
      <c r="Q258" s="1348"/>
      <c r="R258" s="1348"/>
      <c r="S258" s="1348"/>
      <c r="T258" s="1348"/>
      <c r="U258" s="1348"/>
      <c r="V258" s="1348"/>
      <c r="W258" s="1348"/>
      <c r="X258" s="1348"/>
      <c r="Y258" s="1348"/>
      <c r="Z258" s="1348"/>
    </row>
    <row r="259" spans="1:26" x14ac:dyDescent="0.25">
      <c r="A259" s="869" t="s">
        <v>1180</v>
      </c>
      <c r="B259" s="817" t="str">
        <f t="shared" ca="1" si="37"/>
        <v>M31</v>
      </c>
      <c r="C259" s="817" t="str">
        <f t="shared" ca="1" si="34"/>
        <v>M</v>
      </c>
      <c r="D259" s="1351" t="s">
        <v>1357</v>
      </c>
      <c r="E259" s="817" t="s">
        <v>1358</v>
      </c>
      <c r="F259" s="1351"/>
      <c r="G259" s="1351"/>
      <c r="H259" s="1351"/>
      <c r="I259" s="1307" t="str">
        <f t="shared" si="29"/>
        <v>Secondary or Internal Customer</v>
      </c>
      <c r="J259" s="1351" t="str">
        <f>IF(M259&lt;&gt;"",Q$1&amp;M259,"")</f>
        <v>F216</v>
      </c>
      <c r="K259" s="1351" t="str">
        <f t="shared" si="30"/>
        <v>Required Info to Submit</v>
      </c>
      <c r="L259" s="850" t="s">
        <v>1180</v>
      </c>
      <c r="M259" s="1351">
        <v>216</v>
      </c>
      <c r="N259" s="1351"/>
      <c r="O259" s="1348"/>
      <c r="P259" s="1348"/>
      <c r="Q259" s="1348"/>
      <c r="R259" s="1348"/>
      <c r="S259" s="1348"/>
      <c r="T259" s="1348"/>
      <c r="U259" s="1348"/>
      <c r="V259" s="1348"/>
      <c r="W259" s="1348"/>
      <c r="X259" s="1348"/>
      <c r="Y259" s="1348"/>
      <c r="Z259" s="1348"/>
    </row>
    <row r="260" spans="1:26" x14ac:dyDescent="0.25">
      <c r="A260" s="869" t="s">
        <v>1181</v>
      </c>
      <c r="B260" s="817" t="str">
        <f t="shared" ca="1" si="37"/>
        <v>N31</v>
      </c>
      <c r="C260" s="817" t="str">
        <f t="shared" ca="1" si="34"/>
        <v>N</v>
      </c>
      <c r="D260" s="1351" t="s">
        <v>1357</v>
      </c>
      <c r="E260" s="817"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50" t="s">
        <v>1367</v>
      </c>
      <c r="M260" s="1351">
        <v>217</v>
      </c>
      <c r="N260" s="1351"/>
      <c r="O260" s="1348"/>
      <c r="P260" s="1348"/>
      <c r="Q260" s="1348"/>
      <c r="R260" s="1348"/>
      <c r="S260" s="1348"/>
      <c r="T260" s="1348"/>
      <c r="U260" s="1348"/>
      <c r="V260" s="1348"/>
      <c r="W260" s="1348"/>
      <c r="X260" s="1348"/>
      <c r="Y260" s="1348"/>
      <c r="Z260" s="1348"/>
    </row>
    <row r="261" spans="1:26" x14ac:dyDescent="0.25">
      <c r="A261" s="869" t="s">
        <v>1297</v>
      </c>
      <c r="B261" s="817" t="str">
        <f t="shared" ca="1" si="37"/>
        <v>O31</v>
      </c>
      <c r="C261" s="817" t="str">
        <f t="shared" ca="1" si="34"/>
        <v>O</v>
      </c>
      <c r="D261" s="1351" t="s">
        <v>1357</v>
      </c>
      <c r="E261" s="817" t="s">
        <v>1358</v>
      </c>
      <c r="F261" s="1351"/>
      <c r="G261" s="1351"/>
      <c r="H261" s="1351"/>
      <c r="I261" s="1307" t="str">
        <f t="shared" si="38"/>
        <v>Minimum Delivery Charge Applied Flag</v>
      </c>
      <c r="J261" s="1351" t="str">
        <f>IF(M261&lt;&gt;"",Q$1&amp;M261,"")</f>
        <v>F218</v>
      </c>
      <c r="K261" s="1351" t="str">
        <f t="shared" si="39"/>
        <v>Required Info to Submit</v>
      </c>
      <c r="L261" s="850" t="s">
        <v>1297</v>
      </c>
      <c r="M261" s="1351">
        <v>218</v>
      </c>
      <c r="N261" s="1351"/>
      <c r="O261" s="1348"/>
      <c r="P261" s="1348"/>
      <c r="Q261" s="1348"/>
      <c r="R261" s="1348"/>
      <c r="S261" s="1348"/>
      <c r="T261" s="1348"/>
      <c r="U261" s="1348"/>
      <c r="V261" s="1348"/>
      <c r="W261" s="1348"/>
      <c r="X261" s="1348"/>
      <c r="Y261" s="1348"/>
      <c r="Z261" s="1348"/>
    </row>
    <row r="262" spans="1:26" x14ac:dyDescent="0.25">
      <c r="A262" s="869" t="s">
        <v>767</v>
      </c>
      <c r="B262" s="817" t="str">
        <f t="shared" ca="1" si="37"/>
        <v>G31</v>
      </c>
      <c r="C262" s="817" t="str">
        <f t="shared" ca="1" si="34"/>
        <v>G</v>
      </c>
      <c r="D262" s="1351" t="s">
        <v>1357</v>
      </c>
      <c r="E262" s="817" t="s">
        <v>1358</v>
      </c>
      <c r="F262" s="1351"/>
      <c r="G262" s="1351"/>
      <c r="H262" s="1351"/>
      <c r="I262" s="1307" t="str">
        <f t="shared" si="38"/>
        <v>Address</v>
      </c>
      <c r="J262" s="1351" t="str">
        <f>IF(P255="",Q$1&amp;M262,"")</f>
        <v>F219</v>
      </c>
      <c r="K262" s="1351" t="str">
        <f t="shared" si="39"/>
        <v>Required Info to Submit</v>
      </c>
      <c r="L262" s="850" t="s">
        <v>767</v>
      </c>
      <c r="M262" s="1351">
        <v>219</v>
      </c>
      <c r="N262" s="1351"/>
      <c r="O262" s="1348"/>
      <c r="P262" s="1348"/>
      <c r="Q262" s="1348"/>
      <c r="R262" s="1348"/>
      <c r="S262" s="1348"/>
      <c r="T262" s="1348"/>
      <c r="U262" s="1348"/>
      <c r="V262" s="1348"/>
      <c r="W262" s="1348"/>
      <c r="X262" s="1348"/>
      <c r="Y262" s="1348"/>
      <c r="Z262" s="1348"/>
    </row>
    <row r="263" spans="1:26" x14ac:dyDescent="0.25">
      <c r="A263" s="869" t="s">
        <v>768</v>
      </c>
      <c r="B263" s="817" t="str">
        <f t="shared" ca="1" si="37"/>
        <v>H31</v>
      </c>
      <c r="C263" s="817" t="str">
        <f t="shared" ca="1" si="34"/>
        <v>H</v>
      </c>
      <c r="D263" s="1351" t="s">
        <v>1357</v>
      </c>
      <c r="E263" s="817" t="s">
        <v>1358</v>
      </c>
      <c r="F263" s="1351"/>
      <c r="G263" s="1351"/>
      <c r="H263" s="1351"/>
      <c r="I263" s="1307" t="str">
        <f t="shared" si="38"/>
        <v>City</v>
      </c>
      <c r="J263" s="1351" t="str">
        <f>IF(P255="",Q$1&amp;M263,"")</f>
        <v>F220</v>
      </c>
      <c r="K263" s="1351" t="str">
        <f t="shared" si="39"/>
        <v>Required Info to Submit</v>
      </c>
      <c r="L263" s="850" t="s">
        <v>768</v>
      </c>
      <c r="M263" s="1351">
        <v>220</v>
      </c>
      <c r="N263" s="1351"/>
      <c r="O263" s="1348"/>
      <c r="P263" s="1348"/>
      <c r="Q263" s="1348"/>
      <c r="R263" s="1348"/>
      <c r="S263" s="1348"/>
      <c r="T263" s="1348"/>
      <c r="U263" s="1348"/>
      <c r="V263" s="1348"/>
      <c r="W263" s="1348"/>
      <c r="X263" s="1348"/>
      <c r="Y263" s="1348"/>
      <c r="Z263" s="1348"/>
    </row>
    <row r="264" spans="1:26" x14ac:dyDescent="0.25">
      <c r="A264" s="869" t="s">
        <v>769</v>
      </c>
      <c r="B264" s="817" t="str">
        <f t="shared" ca="1" si="37"/>
        <v>I31</v>
      </c>
      <c r="C264" s="817" t="str">
        <f t="shared" ca="1" si="34"/>
        <v>I</v>
      </c>
      <c r="D264" s="1351" t="s">
        <v>1357</v>
      </c>
      <c r="E264" s="817" t="s">
        <v>1358</v>
      </c>
      <c r="F264" s="1351"/>
      <c r="G264" s="1351"/>
      <c r="H264" s="1351"/>
      <c r="I264" s="1307" t="str">
        <f t="shared" si="38"/>
        <v>State</v>
      </c>
      <c r="J264" s="1351" t="str">
        <f>IF(P255="",Q$1&amp;M264,"")</f>
        <v>F221</v>
      </c>
      <c r="K264" s="1351" t="str">
        <f t="shared" si="39"/>
        <v>Required Info to Submit</v>
      </c>
      <c r="L264" s="850" t="s">
        <v>769</v>
      </c>
      <c r="M264" s="1351">
        <v>221</v>
      </c>
      <c r="N264" s="1351"/>
      <c r="O264" s="1348"/>
      <c r="P264" s="1348"/>
      <c r="Q264" s="1348"/>
      <c r="R264" s="1348"/>
      <c r="S264" s="1348"/>
      <c r="T264" s="1348"/>
      <c r="U264" s="1348"/>
      <c r="V264" s="1348"/>
      <c r="W264" s="1348"/>
      <c r="X264" s="1348"/>
      <c r="Y264" s="1348"/>
      <c r="Z264" s="1348"/>
    </row>
    <row r="265" spans="1:26" x14ac:dyDescent="0.25">
      <c r="A265" s="869" t="s">
        <v>204</v>
      </c>
      <c r="B265" s="817" t="str">
        <f t="shared" ca="1" si="37"/>
        <v>J31</v>
      </c>
      <c r="C265" s="817" t="str">
        <f t="shared" ca="1" si="34"/>
        <v>J</v>
      </c>
      <c r="D265" s="1351" t="s">
        <v>1357</v>
      </c>
      <c r="E265" s="817" t="s">
        <v>1358</v>
      </c>
      <c r="F265" s="1351"/>
      <c r="G265" s="1351"/>
      <c r="H265" s="1351"/>
      <c r="I265" s="1307" t="str">
        <f t="shared" si="38"/>
        <v>Zip Code</v>
      </c>
      <c r="J265" s="1351" t="str">
        <f>IF(P255="",Q$1&amp;M265,"")</f>
        <v>F222</v>
      </c>
      <c r="K265" s="1351" t="str">
        <f t="shared" si="39"/>
        <v>Required Info to Submit</v>
      </c>
      <c r="L265" s="850" t="s">
        <v>204</v>
      </c>
      <c r="M265" s="1351">
        <v>222</v>
      </c>
      <c r="N265" s="1351"/>
      <c r="O265" s="1348"/>
      <c r="P265" s="1348"/>
      <c r="Q265" s="1348"/>
      <c r="R265" s="1348"/>
      <c r="S265" s="1348"/>
      <c r="T265" s="1348"/>
      <c r="U265" s="1348"/>
      <c r="V265" s="1348"/>
      <c r="W265" s="1348"/>
      <c r="X265" s="1348"/>
      <c r="Y265" s="1348"/>
      <c r="Z265" s="1348"/>
    </row>
    <row r="266" spans="1:26" x14ac:dyDescent="0.25">
      <c r="A266" s="870" t="s">
        <v>1178</v>
      </c>
      <c r="B266" s="817" t="str">
        <f ca="1">_xlfn.IFNA(_xlfn.CONCAT(SUBSTITUTE(ADDRESS(1,MATCH(A266,INDIRECT("'"&amp;E266&amp;"'"&amp;"!A22:Z22"),0),4),1,""),32),"")</f>
        <v>E32</v>
      </c>
      <c r="C266" s="817" t="str">
        <f t="shared" ca="1" si="34"/>
        <v>E</v>
      </c>
      <c r="D266" s="1351" t="s">
        <v>1357</v>
      </c>
      <c r="E266" s="817" t="s">
        <v>1358</v>
      </c>
      <c r="F266" s="1351"/>
      <c r="G266" s="1351"/>
      <c r="H266" s="1351"/>
      <c r="I266" s="1307" t="str">
        <f t="shared" si="38"/>
        <v/>
      </c>
      <c r="J266" s="1351"/>
      <c r="K266" s="1351" t="str">
        <f t="shared" si="39"/>
        <v/>
      </c>
      <c r="L266" s="850"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1" t="s">
        <v>766</v>
      </c>
      <c r="B267" s="817" t="str">
        <f t="shared" ref="B267:B276" ca="1" si="40">_xlfn.IFNA(_xlfn.CONCAT(SUBSTITUTE(ADDRESS(1,MATCH(A267,INDIRECT("'"&amp;E267&amp;"'"&amp;"!A22:Z22"),0),4),1,""),32),"")</f>
        <v>F32</v>
      </c>
      <c r="C267" s="817" t="str">
        <f t="shared" ca="1" si="34"/>
        <v>F</v>
      </c>
      <c r="D267" s="1351" t="s">
        <v>1357</v>
      </c>
      <c r="E267" s="817" t="s">
        <v>1358</v>
      </c>
      <c r="F267" s="1351"/>
      <c r="G267" s="1351"/>
      <c r="H267" s="1351"/>
      <c r="I267" s="1307" t="str">
        <f t="shared" si="38"/>
        <v>Name</v>
      </c>
      <c r="J267" s="1351" t="str">
        <f>IF(P266="",Q$1&amp;M267,"")</f>
        <v>F225</v>
      </c>
      <c r="K267" s="1351" t="str">
        <f t="shared" si="39"/>
        <v>Required Info to Submit</v>
      </c>
      <c r="L267" s="850" t="s">
        <v>766</v>
      </c>
      <c r="M267" s="1351">
        <v>225</v>
      </c>
      <c r="N267" s="1351"/>
      <c r="O267" s="1348"/>
      <c r="P267" s="1348"/>
      <c r="Q267" s="1348"/>
      <c r="R267" s="1348"/>
      <c r="S267" s="1348"/>
      <c r="T267" s="1348"/>
      <c r="U267" s="1348"/>
      <c r="V267" s="1348"/>
      <c r="W267" s="1348"/>
      <c r="X267" s="1348"/>
      <c r="Y267" s="1348"/>
      <c r="Z267" s="1348"/>
    </row>
    <row r="268" spans="1:26" x14ac:dyDescent="0.25">
      <c r="A268" s="871" t="s">
        <v>765</v>
      </c>
      <c r="B268" s="817" t="str">
        <f t="shared" ca="1" si="40"/>
        <v>K32</v>
      </c>
      <c r="C268" s="817" t="str">
        <f t="shared" ca="1" si="34"/>
        <v>K</v>
      </c>
      <c r="D268" s="1351" t="s">
        <v>1357</v>
      </c>
      <c r="E268" s="817" t="s">
        <v>1358</v>
      </c>
      <c r="F268" s="1351"/>
      <c r="G268" s="1351"/>
      <c r="H268" s="1351"/>
      <c r="I268" s="1307" t="str">
        <f t="shared" si="38"/>
        <v/>
      </c>
      <c r="J268" s="1351"/>
      <c r="K268" s="1351" t="str">
        <f t="shared" si="39"/>
        <v/>
      </c>
      <c r="L268" s="850" t="s">
        <v>765</v>
      </c>
      <c r="M268" s="1351">
        <v>235</v>
      </c>
      <c r="N268" s="1351"/>
      <c r="O268" s="1348"/>
      <c r="P268" s="1348"/>
      <c r="Q268" s="1348"/>
      <c r="R268" s="1348"/>
      <c r="S268" s="1348"/>
      <c r="T268" s="1348"/>
      <c r="U268" s="1348"/>
      <c r="V268" s="1348"/>
      <c r="W268" s="1348"/>
      <c r="X268" s="1348"/>
      <c r="Y268" s="1348"/>
      <c r="Z268" s="1348"/>
    </row>
    <row r="269" spans="1:26" x14ac:dyDescent="0.25">
      <c r="A269" s="871" t="s">
        <v>1179</v>
      </c>
      <c r="B269" s="817" t="str">
        <f t="shared" ca="1" si="40"/>
        <v>L32</v>
      </c>
      <c r="C269" s="817" t="str">
        <f t="shared" ca="1" si="34"/>
        <v>L</v>
      </c>
      <c r="D269" s="1351" t="s">
        <v>1357</v>
      </c>
      <c r="E269" s="817" t="s">
        <v>1358</v>
      </c>
      <c r="F269" s="1351"/>
      <c r="G269" s="1351"/>
      <c r="H269" s="1351"/>
      <c r="I269" s="1307" t="str">
        <f t="shared" si="38"/>
        <v/>
      </c>
      <c r="J269" s="1351"/>
      <c r="K269" s="1351" t="str">
        <f t="shared" si="39"/>
        <v/>
      </c>
      <c r="L269" s="850" t="s">
        <v>1179</v>
      </c>
      <c r="M269" s="1351">
        <v>236</v>
      </c>
      <c r="N269" s="1351"/>
      <c r="O269" s="1348"/>
      <c r="P269" s="1348"/>
      <c r="Q269" s="1348"/>
      <c r="R269" s="1348"/>
      <c r="S269" s="1348"/>
      <c r="T269" s="1348"/>
      <c r="U269" s="1348"/>
      <c r="V269" s="1348"/>
      <c r="W269" s="1348"/>
      <c r="X269" s="1348"/>
      <c r="Y269" s="1348"/>
      <c r="Z269" s="1348"/>
    </row>
    <row r="270" spans="1:26" x14ac:dyDescent="0.25">
      <c r="A270" s="871" t="s">
        <v>1180</v>
      </c>
      <c r="B270" s="817" t="str">
        <f t="shared" ca="1" si="40"/>
        <v>M32</v>
      </c>
      <c r="C270" s="817" t="str">
        <f t="shared" ca="1" si="34"/>
        <v>M</v>
      </c>
      <c r="D270" s="1351" t="s">
        <v>1357</v>
      </c>
      <c r="E270" s="817" t="s">
        <v>1358</v>
      </c>
      <c r="F270" s="1351"/>
      <c r="G270" s="1351"/>
      <c r="H270" s="1351"/>
      <c r="I270" s="1307" t="str">
        <f t="shared" si="38"/>
        <v>Secondary or Internal Customer</v>
      </c>
      <c r="J270" s="1351" t="str">
        <f>IF(M270&lt;&gt;"",Q$1&amp;M270,"")</f>
        <v>F237</v>
      </c>
      <c r="K270" s="1351" t="str">
        <f t="shared" si="39"/>
        <v>Required Info to Submit</v>
      </c>
      <c r="L270" s="850" t="s">
        <v>1180</v>
      </c>
      <c r="M270" s="1351">
        <v>237</v>
      </c>
      <c r="N270" s="1351"/>
      <c r="O270" s="1348"/>
      <c r="P270" s="1348"/>
      <c r="Q270" s="1348"/>
      <c r="R270" s="1348"/>
      <c r="S270" s="1348"/>
      <c r="T270" s="1348"/>
      <c r="U270" s="1348"/>
      <c r="V270" s="1348"/>
      <c r="W270" s="1348"/>
      <c r="X270" s="1348"/>
      <c r="Y270" s="1348"/>
      <c r="Z270" s="1348"/>
    </row>
    <row r="271" spans="1:26" x14ac:dyDescent="0.25">
      <c r="A271" s="871" t="s">
        <v>1181</v>
      </c>
      <c r="B271" s="817" t="str">
        <f t="shared" ca="1" si="40"/>
        <v>N32</v>
      </c>
      <c r="C271" s="817" t="str">
        <f t="shared" ca="1" si="34"/>
        <v>N</v>
      </c>
      <c r="D271" s="1351" t="s">
        <v>1357</v>
      </c>
      <c r="E271" s="817" t="s">
        <v>1358</v>
      </c>
      <c r="F271" s="1351"/>
      <c r="G271" s="1351"/>
      <c r="H271" s="1351"/>
      <c r="I271" s="1307" t="str">
        <f t="shared" si="38"/>
        <v>Fuel Surcharge Applied</v>
      </c>
      <c r="J271" s="1351" t="str">
        <f>IF(M271&lt;&gt;"",Q$1&amp;M271,"")</f>
        <v>F238</v>
      </c>
      <c r="K271" s="1351" t="str">
        <f t="shared" si="39"/>
        <v>Required Info to Submit</v>
      </c>
      <c r="L271" s="850" t="s">
        <v>1367</v>
      </c>
      <c r="M271" s="1351">
        <v>238</v>
      </c>
      <c r="N271" s="1351"/>
      <c r="O271" s="1348"/>
      <c r="P271" s="1348"/>
      <c r="Q271" s="1348"/>
      <c r="R271" s="1348"/>
      <c r="S271" s="1348"/>
      <c r="T271" s="1348"/>
      <c r="U271" s="1348"/>
      <c r="V271" s="1348"/>
      <c r="W271" s="1348"/>
      <c r="X271" s="1348"/>
      <c r="Y271" s="1348"/>
      <c r="Z271" s="1348"/>
    </row>
    <row r="272" spans="1:26" x14ac:dyDescent="0.25">
      <c r="A272" s="871" t="s">
        <v>1297</v>
      </c>
      <c r="B272" s="817" t="str">
        <f t="shared" ca="1" si="40"/>
        <v>O32</v>
      </c>
      <c r="C272" s="817" t="str">
        <f t="shared" ca="1" si="34"/>
        <v>O</v>
      </c>
      <c r="D272" s="1351" t="s">
        <v>1357</v>
      </c>
      <c r="E272" s="817" t="s">
        <v>1358</v>
      </c>
      <c r="F272" s="1351"/>
      <c r="G272" s="1351"/>
      <c r="H272" s="1351"/>
      <c r="I272" s="1307" t="str">
        <f t="shared" si="38"/>
        <v>Minimum Delivery Charge Applied Flag</v>
      </c>
      <c r="J272" s="1351" t="str">
        <f>IF(M272&lt;&gt;"",Q$1&amp;M272,"")</f>
        <v>F239</v>
      </c>
      <c r="K272" s="1351" t="str">
        <f t="shared" si="39"/>
        <v>Required Info to Submit</v>
      </c>
      <c r="L272" s="850" t="s">
        <v>1297</v>
      </c>
      <c r="M272" s="1351">
        <v>239</v>
      </c>
      <c r="N272" s="1351"/>
      <c r="O272" s="1348"/>
      <c r="P272" s="1348"/>
      <c r="Q272" s="1348"/>
      <c r="R272" s="1348"/>
      <c r="S272" s="1348"/>
      <c r="T272" s="1348"/>
      <c r="U272" s="1348"/>
      <c r="V272" s="1348"/>
      <c r="W272" s="1348"/>
      <c r="X272" s="1348"/>
      <c r="Y272" s="1348"/>
      <c r="Z272" s="1348"/>
    </row>
    <row r="273" spans="1:26" x14ac:dyDescent="0.25">
      <c r="A273" s="871" t="s">
        <v>767</v>
      </c>
      <c r="B273" s="817" t="str">
        <f t="shared" ca="1" si="40"/>
        <v>G32</v>
      </c>
      <c r="C273" s="817" t="str">
        <f t="shared" ca="1" si="34"/>
        <v>G</v>
      </c>
      <c r="D273" s="1351" t="s">
        <v>1357</v>
      </c>
      <c r="E273" s="817" t="s">
        <v>1358</v>
      </c>
      <c r="F273" s="1351"/>
      <c r="G273" s="1351"/>
      <c r="H273" s="1351"/>
      <c r="I273" s="1307" t="str">
        <f t="shared" si="38"/>
        <v>Address</v>
      </c>
      <c r="J273" s="1351" t="str">
        <f>IF(P266="",Q$1&amp;M273,"")</f>
        <v>F240</v>
      </c>
      <c r="K273" s="1351" t="str">
        <f t="shared" si="39"/>
        <v>Required Info to Submit</v>
      </c>
      <c r="L273" s="850" t="s">
        <v>767</v>
      </c>
      <c r="M273" s="1351">
        <v>240</v>
      </c>
      <c r="N273" s="1351"/>
      <c r="O273" s="1348"/>
      <c r="P273" s="1348"/>
      <c r="Q273" s="1348"/>
      <c r="R273" s="1348"/>
      <c r="S273" s="1348"/>
      <c r="T273" s="1348"/>
      <c r="U273" s="1348"/>
      <c r="V273" s="1348"/>
      <c r="W273" s="1348"/>
      <c r="X273" s="1348"/>
      <c r="Y273" s="1348"/>
      <c r="Z273" s="1348"/>
    </row>
    <row r="274" spans="1:26" x14ac:dyDescent="0.25">
      <c r="A274" s="871" t="s">
        <v>768</v>
      </c>
      <c r="B274" s="817" t="str">
        <f t="shared" ca="1" si="40"/>
        <v>H32</v>
      </c>
      <c r="C274" s="817" t="str">
        <f t="shared" ca="1" si="34"/>
        <v>H</v>
      </c>
      <c r="D274" s="1351" t="s">
        <v>1357</v>
      </c>
      <c r="E274" s="817" t="s">
        <v>1358</v>
      </c>
      <c r="F274" s="1351"/>
      <c r="G274" s="1351"/>
      <c r="H274" s="1351"/>
      <c r="I274" s="1307" t="str">
        <f t="shared" si="38"/>
        <v>City</v>
      </c>
      <c r="J274" s="1351" t="str">
        <f>IF(P266="",Q$1&amp;M274,"")</f>
        <v>F241</v>
      </c>
      <c r="K274" s="1351" t="str">
        <f t="shared" si="39"/>
        <v>Required Info to Submit</v>
      </c>
      <c r="L274" s="850" t="s">
        <v>768</v>
      </c>
      <c r="M274" s="1351">
        <v>241</v>
      </c>
      <c r="N274" s="1351"/>
      <c r="O274" s="1348"/>
      <c r="P274" s="1348"/>
      <c r="Q274" s="1348"/>
      <c r="R274" s="1348"/>
      <c r="S274" s="1348"/>
      <c r="T274" s="1348"/>
      <c r="U274" s="1348"/>
      <c r="V274" s="1348"/>
      <c r="W274" s="1348"/>
      <c r="X274" s="1348"/>
      <c r="Y274" s="1348"/>
      <c r="Z274" s="1348"/>
    </row>
    <row r="275" spans="1:26" x14ac:dyDescent="0.25">
      <c r="A275" s="871" t="s">
        <v>769</v>
      </c>
      <c r="B275" s="817" t="str">
        <f t="shared" ca="1" si="40"/>
        <v>I32</v>
      </c>
      <c r="C275" s="817" t="str">
        <f t="shared" ca="1" si="34"/>
        <v>I</v>
      </c>
      <c r="D275" s="1351" t="s">
        <v>1357</v>
      </c>
      <c r="E275" s="817" t="s">
        <v>1358</v>
      </c>
      <c r="F275" s="1351"/>
      <c r="G275" s="1351"/>
      <c r="H275" s="1351"/>
      <c r="I275" s="1307" t="str">
        <f t="shared" si="38"/>
        <v>State</v>
      </c>
      <c r="J275" s="1351" t="str">
        <f>IF(P266="",Q$1&amp;M275,"")</f>
        <v>F242</v>
      </c>
      <c r="K275" s="1351" t="str">
        <f t="shared" si="39"/>
        <v>Required Info to Submit</v>
      </c>
      <c r="L275" s="850" t="s">
        <v>769</v>
      </c>
      <c r="M275" s="1351">
        <v>242</v>
      </c>
      <c r="N275" s="1351"/>
      <c r="O275" s="1348"/>
      <c r="P275" s="1348"/>
      <c r="Q275" s="1348"/>
      <c r="R275" s="1348"/>
      <c r="S275" s="1348"/>
      <c r="T275" s="1348"/>
      <c r="U275" s="1348"/>
      <c r="V275" s="1348"/>
      <c r="W275" s="1348"/>
      <c r="X275" s="1348"/>
      <c r="Y275" s="1348"/>
      <c r="Z275" s="1348"/>
    </row>
    <row r="276" spans="1:26" x14ac:dyDescent="0.25">
      <c r="A276" s="871" t="s">
        <v>204</v>
      </c>
      <c r="B276" s="817" t="str">
        <f t="shared" ca="1" si="40"/>
        <v>J32</v>
      </c>
      <c r="C276" s="817" t="str">
        <f t="shared" ca="1" si="34"/>
        <v>J</v>
      </c>
      <c r="D276" s="1351" t="s">
        <v>1357</v>
      </c>
      <c r="E276" s="817" t="s">
        <v>1358</v>
      </c>
      <c r="F276" s="1351"/>
      <c r="G276" s="1351"/>
      <c r="H276" s="1351"/>
      <c r="I276" s="1307" t="str">
        <f t="shared" si="38"/>
        <v>Zip Code</v>
      </c>
      <c r="J276" s="1351" t="str">
        <f>IF(P266="",Q$1&amp;M276,"")</f>
        <v>F243</v>
      </c>
      <c r="K276" s="1351" t="str">
        <f t="shared" si="39"/>
        <v>Required Info to Submit</v>
      </c>
      <c r="L276" s="850" t="s">
        <v>204</v>
      </c>
      <c r="M276" s="1351">
        <v>243</v>
      </c>
      <c r="N276" s="1351"/>
      <c r="O276" s="1348"/>
      <c r="P276" s="1348"/>
      <c r="Q276" s="1348"/>
      <c r="R276" s="1348"/>
      <c r="S276" s="1348"/>
      <c r="T276" s="1348"/>
      <c r="U276" s="1348"/>
      <c r="V276" s="1348"/>
      <c r="W276" s="1348"/>
      <c r="X276" s="1348"/>
      <c r="Y276" s="1348"/>
      <c r="Z276" s="134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7" t="s">
        <v>1464</v>
      </c>
      <c r="M277" s="1351">
        <v>521</v>
      </c>
      <c r="N277" s="1351"/>
      <c r="O277" s="1348"/>
      <c r="P277" s="1348"/>
      <c r="Q277" s="1348"/>
      <c r="R277" s="1348"/>
      <c r="S277" s="1348"/>
      <c r="T277" s="1348"/>
      <c r="U277" s="1348"/>
      <c r="V277" s="1348"/>
      <c r="W277" s="1348"/>
      <c r="X277" s="1348"/>
      <c r="Y277" s="1348"/>
      <c r="Z277" s="1348"/>
    </row>
    <row r="278" spans="1:26" x14ac:dyDescent="0.25">
      <c r="A278" s="872"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7" t="s">
        <v>1357</v>
      </c>
      <c r="E278" s="817" t="s">
        <v>1279</v>
      </c>
      <c r="F278" s="1351"/>
      <c r="G278" s="1351"/>
      <c r="H278" s="1351"/>
      <c r="I278" s="1307" t="str">
        <f t="shared" si="38"/>
        <v/>
      </c>
      <c r="J278" s="1351"/>
      <c r="K278" s="1351" t="str">
        <f t="shared" si="39"/>
        <v/>
      </c>
      <c r="L278" s="853" t="s">
        <v>1289</v>
      </c>
      <c r="M278" s="1351">
        <v>247</v>
      </c>
      <c r="N278" s="1351"/>
      <c r="O278" s="1348"/>
      <c r="P278" s="1348"/>
      <c r="Q278" s="1348"/>
      <c r="R278" s="1348"/>
      <c r="S278" s="1348"/>
      <c r="T278" s="1348"/>
      <c r="U278" s="1348"/>
      <c r="V278" s="1348"/>
      <c r="W278" s="1348"/>
      <c r="X278" s="1348"/>
      <c r="Y278" s="1348"/>
      <c r="Z278" s="1348"/>
    </row>
    <row r="279" spans="1:26" x14ac:dyDescent="0.25">
      <c r="A279" s="873"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7" t="s">
        <v>1357</v>
      </c>
      <c r="E279" s="817" t="s">
        <v>1279</v>
      </c>
      <c r="F279" s="1351"/>
      <c r="G279" s="1351"/>
      <c r="H279" s="1351"/>
      <c r="I279" s="1307" t="str">
        <f t="shared" si="38"/>
        <v/>
      </c>
      <c r="J279" s="1351"/>
      <c r="K279" s="1351" t="str">
        <f t="shared" si="39"/>
        <v/>
      </c>
      <c r="L279" s="853" t="s">
        <v>252</v>
      </c>
      <c r="M279" s="1351">
        <v>248</v>
      </c>
      <c r="N279" s="1351"/>
      <c r="O279" s="1348"/>
      <c r="P279" s="1348"/>
      <c r="Q279" s="1348"/>
      <c r="R279" s="1348"/>
      <c r="S279" s="1348"/>
      <c r="T279" s="1348"/>
      <c r="U279" s="1348"/>
      <c r="V279" s="1348"/>
      <c r="W279" s="1348"/>
      <c r="X279" s="1348"/>
      <c r="Y279" s="1348"/>
      <c r="Z279" s="1348"/>
    </row>
    <row r="280" spans="1:26" x14ac:dyDescent="0.25">
      <c r="A280" s="873"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7" t="s">
        <v>1357</v>
      </c>
      <c r="E280" s="817" t="s">
        <v>1279</v>
      </c>
      <c r="F280" s="1351"/>
      <c r="G280" s="1351"/>
      <c r="H280" s="1351"/>
      <c r="I280" s="1307" t="str">
        <f t="shared" si="38"/>
        <v/>
      </c>
      <c r="J280" s="1351"/>
      <c r="K280" s="1351" t="str">
        <f t="shared" si="39"/>
        <v/>
      </c>
      <c r="L280" s="853" t="s">
        <v>1246</v>
      </c>
      <c r="M280" s="1351">
        <v>249</v>
      </c>
      <c r="N280" s="1351"/>
      <c r="O280" s="1348"/>
      <c r="P280" s="1348"/>
      <c r="Q280" s="1348"/>
      <c r="R280" s="1348"/>
      <c r="S280" s="1348"/>
      <c r="T280" s="1348"/>
      <c r="U280" s="1348"/>
      <c r="V280" s="1348"/>
      <c r="W280" s="1348"/>
      <c r="X280" s="1348"/>
      <c r="Y280" s="1348"/>
      <c r="Z280" s="1348"/>
    </row>
    <row r="281" spans="1:26" x14ac:dyDescent="0.25">
      <c r="A281" s="873"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7" t="s">
        <v>1357</v>
      </c>
      <c r="E281" s="817" t="s">
        <v>1279</v>
      </c>
      <c r="F281" s="1351"/>
      <c r="G281" s="1351"/>
      <c r="H281" s="1351"/>
      <c r="I281" s="1307" t="str">
        <f t="shared" si="38"/>
        <v/>
      </c>
      <c r="J281" s="1351"/>
      <c r="K281" s="1351" t="str">
        <f t="shared" si="39"/>
        <v/>
      </c>
      <c r="L281" s="853" t="s">
        <v>225</v>
      </c>
      <c r="M281" s="1351">
        <v>250</v>
      </c>
      <c r="N281" s="1351"/>
      <c r="O281" s="1348"/>
      <c r="P281" s="1348"/>
      <c r="Q281" s="1348"/>
      <c r="R281" s="1348"/>
      <c r="S281" s="1348"/>
      <c r="T281" s="1348"/>
      <c r="U281" s="1348"/>
      <c r="V281" s="1348"/>
      <c r="W281" s="1348"/>
      <c r="X281" s="1348"/>
      <c r="Y281" s="1348"/>
      <c r="Z281" s="1348"/>
    </row>
    <row r="282" spans="1:26" x14ac:dyDescent="0.25">
      <c r="A282" s="874" t="s">
        <v>463</v>
      </c>
      <c r="B282" s="1307" t="str">
        <f ca="1">_xlfn.CONCAT(IFERROR(SUBSTITUTE(ADDRESS(1,MATCH(A282,INDIRECT("'"&amp;E282&amp;"'"&amp;"!A9:Z9"),0),4),1,""),""),10)</f>
        <v>E10</v>
      </c>
      <c r="C282" s="1307" t="str">
        <f ca="1">_xlfn.CONCAT(IFERROR(SUBSTITUTE(ADDRESS(1,MATCH(A282,INDIRECT("'"&amp;E282&amp;"'"&amp;"!A9:Z9"),0),4),1,""),""))</f>
        <v>E</v>
      </c>
      <c r="D282" s="1351" t="s">
        <v>1357</v>
      </c>
      <c r="E282" s="817" t="s">
        <v>208</v>
      </c>
      <c r="F282" s="1351"/>
      <c r="G282" s="1351"/>
      <c r="H282" s="1351"/>
      <c r="I282" s="1307" t="str">
        <f t="shared" si="38"/>
        <v>Exclude PIM Classes Below</v>
      </c>
      <c r="J282" s="1351" t="str">
        <f t="shared" si="41"/>
        <v>F251</v>
      </c>
      <c r="K282" s="1351" t="str">
        <f t="shared" si="39"/>
        <v>PIM Model</v>
      </c>
      <c r="L282" s="853" t="s">
        <v>463</v>
      </c>
      <c r="M282" s="1351">
        <v>251</v>
      </c>
      <c r="N282" s="1351"/>
      <c r="O282" s="1348"/>
      <c r="P282" s="1348"/>
      <c r="Q282" s="1348"/>
      <c r="R282" s="1348"/>
      <c r="S282" s="1348"/>
      <c r="T282" s="1348"/>
      <c r="U282" s="1348"/>
      <c r="V282" s="1348"/>
      <c r="W282" s="1348"/>
      <c r="X282" s="1348"/>
      <c r="Y282" s="1348"/>
      <c r="Z282" s="1348"/>
    </row>
    <row r="283" spans="1:26" x14ac:dyDescent="0.25">
      <c r="A283" s="874"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7" t="s">
        <v>1357</v>
      </c>
      <c r="E283" s="817" t="s">
        <v>1279</v>
      </c>
      <c r="F283" s="1351"/>
      <c r="G283" s="1351"/>
      <c r="H283" s="1351"/>
      <c r="I283" s="1307" t="str">
        <f t="shared" si="38"/>
        <v>Special Pricing Code</v>
      </c>
      <c r="J283" s="1351" t="str">
        <f t="shared" si="41"/>
        <v>F252</v>
      </c>
      <c r="K283" s="1351" t="str">
        <f t="shared" si="39"/>
        <v>Pricing Schedule</v>
      </c>
      <c r="L283" s="853" t="s">
        <v>1282</v>
      </c>
      <c r="M283" s="1351">
        <v>252</v>
      </c>
      <c r="N283" s="1351"/>
      <c r="O283" s="1348"/>
      <c r="P283" s="1348"/>
      <c r="Q283" s="1348"/>
      <c r="R283" s="1348"/>
      <c r="S283" s="1348"/>
      <c r="T283" s="1348"/>
      <c r="U283" s="1348"/>
      <c r="V283" s="1348"/>
      <c r="W283" s="1348"/>
      <c r="X283" s="1348"/>
      <c r="Y283" s="1348"/>
      <c r="Z283" s="1348"/>
    </row>
    <row r="284" spans="1:26" x14ac:dyDescent="0.25">
      <c r="A284" s="874"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7" t="s">
        <v>1357</v>
      </c>
      <c r="E284" s="817" t="s">
        <v>1279</v>
      </c>
      <c r="F284" s="1130"/>
      <c r="G284" s="1351"/>
      <c r="H284" s="1351"/>
      <c r="I284" s="1307" t="str">
        <f t="shared" si="38"/>
        <v>EB Markup Amt</v>
      </c>
      <c r="J284" s="1351" t="str">
        <f t="shared" si="41"/>
        <v>F253</v>
      </c>
      <c r="K284" s="1351" t="str">
        <f t="shared" si="39"/>
        <v>Pricing Schedule</v>
      </c>
      <c r="L284" s="853" t="s">
        <v>1284</v>
      </c>
      <c r="M284" s="1351">
        <v>253</v>
      </c>
      <c r="N284" s="1351"/>
      <c r="O284" s="1348"/>
      <c r="P284" s="1348"/>
      <c r="Q284" s="1348"/>
      <c r="R284" s="1348"/>
      <c r="S284" s="1348"/>
      <c r="T284" s="1348"/>
      <c r="U284" s="1348"/>
      <c r="V284" s="1348"/>
      <c r="W284" s="1348"/>
      <c r="X284" s="1348"/>
      <c r="Y284" s="1348"/>
      <c r="Z284" s="1348"/>
    </row>
    <row r="285" spans="1:26" x14ac:dyDescent="0.25">
      <c r="A285" s="874"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7" t="s">
        <v>1357</v>
      </c>
      <c r="E285" s="817" t="s">
        <v>1279</v>
      </c>
      <c r="F285" s="1130"/>
      <c r="G285" s="1351"/>
      <c r="H285" s="1351"/>
      <c r="I285" s="1307" t="str">
        <f t="shared" si="38"/>
        <v>Min CS Markup Override Flag</v>
      </c>
      <c r="J285" s="1351" t="str">
        <f t="shared" si="41"/>
        <v>F254</v>
      </c>
      <c r="K285" s="1351" t="str">
        <f t="shared" si="39"/>
        <v>Pricing Schedule</v>
      </c>
      <c r="L285" s="853" t="s">
        <v>1285</v>
      </c>
      <c r="M285" s="1351">
        <v>254</v>
      </c>
      <c r="N285" s="1351"/>
      <c r="O285" s="1348"/>
      <c r="P285" s="1348"/>
      <c r="Q285" s="1348"/>
      <c r="R285" s="1348"/>
      <c r="S285" s="1348"/>
      <c r="T285" s="1348"/>
      <c r="U285" s="1348"/>
      <c r="V285" s="1348"/>
      <c r="W285" s="1348"/>
      <c r="X285" s="1348"/>
      <c r="Y285" s="1348"/>
      <c r="Z285" s="1348"/>
    </row>
    <row r="286" spans="1:26" x14ac:dyDescent="0.25">
      <c r="A286" s="874"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7" t="s">
        <v>1357</v>
      </c>
      <c r="E286" s="817" t="s">
        <v>1279</v>
      </c>
      <c r="F286" s="1130"/>
      <c r="G286" s="1351"/>
      <c r="H286" s="1351"/>
      <c r="I286" s="1307" t="str">
        <f t="shared" si="38"/>
        <v>Min CS Markup Amt</v>
      </c>
      <c r="J286" s="1351" t="str">
        <f t="shared" si="41"/>
        <v>F255</v>
      </c>
      <c r="K286" s="1351" t="str">
        <f t="shared" si="39"/>
        <v>Pricing Schedule</v>
      </c>
      <c r="L286" s="853" t="s">
        <v>1286</v>
      </c>
      <c r="M286" s="1351">
        <v>255</v>
      </c>
      <c r="N286" s="1351"/>
      <c r="O286" s="1348"/>
      <c r="P286" s="1348"/>
      <c r="Q286" s="1348"/>
      <c r="R286" s="1348"/>
      <c r="S286" s="1348"/>
      <c r="T286" s="1348"/>
      <c r="U286" s="1348"/>
      <c r="V286" s="1348"/>
      <c r="W286" s="1348"/>
      <c r="X286" s="1348"/>
      <c r="Y286" s="1348"/>
      <c r="Z286" s="1348"/>
    </row>
    <row r="287" spans="1:26" x14ac:dyDescent="0.25">
      <c r="A287" s="874"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7" t="s">
        <v>1357</v>
      </c>
      <c r="E287" s="817" t="s">
        <v>1279</v>
      </c>
      <c r="F287" s="1130"/>
      <c r="G287" s="1351"/>
      <c r="H287" s="1351"/>
      <c r="I287" s="1307" t="str">
        <f t="shared" si="38"/>
        <v>Split Case Fee Override Flag</v>
      </c>
      <c r="J287" s="1351" t="str">
        <f t="shared" si="41"/>
        <v>F256</v>
      </c>
      <c r="K287" s="1351" t="str">
        <f t="shared" si="39"/>
        <v>Pricing Schedule</v>
      </c>
      <c r="L287" s="853" t="s">
        <v>1287</v>
      </c>
      <c r="M287" s="1351">
        <v>256</v>
      </c>
      <c r="N287" s="1351"/>
      <c r="O287" s="1348"/>
      <c r="P287" s="1348"/>
      <c r="Q287" s="1348"/>
      <c r="R287" s="1348"/>
      <c r="S287" s="1348"/>
      <c r="T287" s="1348"/>
      <c r="U287" s="1348"/>
      <c r="V287" s="1348"/>
      <c r="W287" s="1348"/>
      <c r="X287" s="1348"/>
      <c r="Y287" s="1348"/>
      <c r="Z287" s="1348"/>
    </row>
    <row r="288" spans="1:26" x14ac:dyDescent="0.25">
      <c r="A288" s="874"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7" t="s">
        <v>1357</v>
      </c>
      <c r="E288" s="817" t="s">
        <v>1279</v>
      </c>
      <c r="F288" s="1130"/>
      <c r="G288" s="1351"/>
      <c r="H288" s="1351"/>
      <c r="I288" s="1307" t="str">
        <f t="shared" si="38"/>
        <v>Split Case Fee</v>
      </c>
      <c r="J288" s="1351" t="str">
        <f t="shared" si="41"/>
        <v>F257</v>
      </c>
      <c r="K288" s="1351" t="str">
        <f t="shared" si="39"/>
        <v>Pricing Schedule</v>
      </c>
      <c r="L288" s="853" t="s">
        <v>1288</v>
      </c>
      <c r="M288" s="1351">
        <v>257</v>
      </c>
      <c r="N288" s="1351"/>
      <c r="O288" s="1348"/>
      <c r="P288" s="1348"/>
      <c r="Q288" s="1348"/>
      <c r="R288" s="1348"/>
      <c r="S288" s="1348"/>
      <c r="T288" s="1348"/>
      <c r="U288" s="1348"/>
      <c r="V288" s="1348"/>
      <c r="W288" s="1348"/>
      <c r="X288" s="1348"/>
      <c r="Y288" s="1348"/>
      <c r="Z288" s="1348"/>
    </row>
    <row r="289" spans="1:26" x14ac:dyDescent="0.25">
      <c r="A289" s="874"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7" t="s">
        <v>1357</v>
      </c>
      <c r="E289" s="817" t="s">
        <v>1279</v>
      </c>
      <c r="F289" s="1130"/>
      <c r="G289" s="1351"/>
      <c r="H289" s="1351"/>
      <c r="I289" s="1307" t="str">
        <f t="shared" si="38"/>
        <v>Split Case Per</v>
      </c>
      <c r="J289" s="1351" t="str">
        <f t="shared" si="41"/>
        <v>F258</v>
      </c>
      <c r="K289" s="1351" t="str">
        <f t="shared" si="39"/>
        <v>Pricing Schedule</v>
      </c>
      <c r="L289" s="853" t="s">
        <v>1228</v>
      </c>
      <c r="M289" s="1351">
        <v>258</v>
      </c>
      <c r="N289" s="1351"/>
      <c r="O289" s="1348"/>
      <c r="P289" s="1348"/>
      <c r="Q289" s="1348"/>
      <c r="R289" s="1348"/>
      <c r="S289" s="1348"/>
      <c r="T289" s="1348"/>
      <c r="U289" s="1348"/>
      <c r="V289" s="1348"/>
      <c r="W289" s="1348"/>
      <c r="X289" s="1348"/>
      <c r="Y289" s="1348"/>
      <c r="Z289" s="1348"/>
    </row>
    <row r="290" spans="1:26" x14ac:dyDescent="0.25">
      <c r="A290" s="875"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7" t="s">
        <v>1357</v>
      </c>
      <c r="E290" s="817" t="s">
        <v>1279</v>
      </c>
      <c r="F290" s="1351"/>
      <c r="G290" s="1351"/>
      <c r="H290" s="1351"/>
      <c r="I290" s="1307" t="str">
        <f t="shared" si="38"/>
        <v/>
      </c>
      <c r="J290" s="1351"/>
      <c r="K290" s="1351" t="str">
        <f t="shared" si="39"/>
        <v/>
      </c>
      <c r="L290" s="853" t="s">
        <v>1289</v>
      </c>
      <c r="M290" s="1351">
        <v>259</v>
      </c>
      <c r="N290" s="1351"/>
      <c r="O290" s="1348"/>
      <c r="P290" s="1348"/>
      <c r="Q290" s="1348"/>
      <c r="R290" s="1348"/>
      <c r="S290" s="1348"/>
      <c r="T290" s="1348"/>
      <c r="U290" s="1348"/>
      <c r="V290" s="1348"/>
      <c r="W290" s="1348"/>
      <c r="X290" s="1348"/>
      <c r="Y290" s="1348"/>
      <c r="Z290" s="1348"/>
    </row>
    <row r="291" spans="1:26" x14ac:dyDescent="0.25">
      <c r="A291" s="876"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7" t="s">
        <v>1357</v>
      </c>
      <c r="E291" s="817" t="s">
        <v>1279</v>
      </c>
      <c r="F291" s="1351"/>
      <c r="G291" s="1351"/>
      <c r="H291" s="1351"/>
      <c r="I291" s="1307" t="str">
        <f t="shared" si="38"/>
        <v/>
      </c>
      <c r="J291" s="1351"/>
      <c r="K291" s="1351" t="str">
        <f t="shared" si="39"/>
        <v/>
      </c>
      <c r="L291" s="853" t="s">
        <v>252</v>
      </c>
      <c r="M291" s="1351">
        <v>260</v>
      </c>
      <c r="N291" s="1351"/>
      <c r="O291" s="1348"/>
      <c r="P291" s="1348"/>
      <c r="Q291" s="1348"/>
      <c r="R291" s="1348"/>
      <c r="S291" s="1348"/>
      <c r="T291" s="1348"/>
      <c r="U291" s="1348"/>
      <c r="V291" s="1348"/>
      <c r="W291" s="1348"/>
      <c r="X291" s="1348"/>
      <c r="Y291" s="1348"/>
      <c r="Z291" s="1348"/>
    </row>
    <row r="292" spans="1:26" x14ac:dyDescent="0.25">
      <c r="A292" s="876"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7" t="s">
        <v>1357</v>
      </c>
      <c r="E292" s="817" t="s">
        <v>1279</v>
      </c>
      <c r="F292" s="1351"/>
      <c r="G292" s="1351"/>
      <c r="H292" s="1351"/>
      <c r="I292" s="1307" t="str">
        <f t="shared" si="38"/>
        <v/>
      </c>
      <c r="J292" s="1351"/>
      <c r="K292" s="1351" t="str">
        <f t="shared" si="39"/>
        <v/>
      </c>
      <c r="L292" s="853" t="s">
        <v>1246</v>
      </c>
      <c r="M292" s="1351">
        <v>261</v>
      </c>
      <c r="N292" s="1351"/>
      <c r="O292" s="1348"/>
      <c r="P292" s="1348"/>
      <c r="Q292" s="1348"/>
      <c r="R292" s="1348"/>
      <c r="S292" s="1348"/>
      <c r="T292" s="1348"/>
      <c r="U292" s="1348"/>
      <c r="V292" s="1348"/>
      <c r="W292" s="1348"/>
      <c r="X292" s="1348"/>
      <c r="Y292" s="1348"/>
      <c r="Z292" s="1348"/>
    </row>
    <row r="293" spans="1:26" x14ac:dyDescent="0.25">
      <c r="A293" s="876"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7" t="s">
        <v>1357</v>
      </c>
      <c r="E293" s="817" t="s">
        <v>1279</v>
      </c>
      <c r="F293" s="1351"/>
      <c r="G293" s="1351"/>
      <c r="H293" s="1351"/>
      <c r="I293" s="1307" t="str">
        <f t="shared" si="38"/>
        <v/>
      </c>
      <c r="J293" s="1351"/>
      <c r="K293" s="1351" t="str">
        <f t="shared" si="39"/>
        <v/>
      </c>
      <c r="L293" s="853" t="s">
        <v>225</v>
      </c>
      <c r="M293" s="1351">
        <v>262</v>
      </c>
      <c r="N293" s="1351"/>
      <c r="O293" s="1348"/>
      <c r="P293" s="1348"/>
      <c r="Q293" s="1348"/>
      <c r="R293" s="1348"/>
      <c r="S293" s="1348"/>
      <c r="T293" s="1348"/>
      <c r="U293" s="1348"/>
      <c r="V293" s="1348"/>
      <c r="W293" s="1348"/>
      <c r="X293" s="1348"/>
      <c r="Y293" s="1348"/>
      <c r="Z293" s="1348"/>
    </row>
    <row r="294" spans="1:26" x14ac:dyDescent="0.25">
      <c r="A294" s="877" t="s">
        <v>463</v>
      </c>
      <c r="B294" s="1307" t="str">
        <f ca="1">_xlfn.CONCAT(IFERROR(SUBSTITUTE(ADDRESS(1,MATCH(A294,INDIRECT("'"&amp;E294&amp;"'"&amp;"!A9:Z9"),0),4),1,""),""),11)</f>
        <v>E11</v>
      </c>
      <c r="C294" s="1307" t="str">
        <f ca="1">_xlfn.CONCAT(IFERROR(SUBSTITUTE(ADDRESS(1,MATCH(A294,INDIRECT("'"&amp;E294&amp;"'"&amp;"!A9:Z9"),0),4),1,""),""))</f>
        <v>E</v>
      </c>
      <c r="D294" s="1351" t="s">
        <v>1357</v>
      </c>
      <c r="E294" s="817" t="s">
        <v>208</v>
      </c>
      <c r="F294" s="1351"/>
      <c r="G294" s="1351"/>
      <c r="H294" s="1351"/>
      <c r="I294" s="1307" t="str">
        <f t="shared" si="38"/>
        <v>Exclude PIM Classes Below</v>
      </c>
      <c r="J294" s="1351" t="str">
        <f t="shared" si="41"/>
        <v>F263</v>
      </c>
      <c r="K294" s="1351" t="str">
        <f t="shared" si="39"/>
        <v>PIM Model</v>
      </c>
      <c r="L294" s="853" t="s">
        <v>463</v>
      </c>
      <c r="M294" s="1351">
        <v>263</v>
      </c>
      <c r="N294" s="1351"/>
      <c r="O294" s="1348"/>
      <c r="P294" s="1348"/>
      <c r="Q294" s="1348"/>
      <c r="R294" s="1348"/>
      <c r="S294" s="1348"/>
      <c r="T294" s="1348"/>
      <c r="U294" s="1348"/>
      <c r="V294" s="1348"/>
      <c r="W294" s="1348"/>
      <c r="X294" s="1348"/>
      <c r="Y294" s="1348"/>
      <c r="Z294" s="1348"/>
    </row>
    <row r="295" spans="1:26" x14ac:dyDescent="0.25">
      <c r="A295" s="877"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7" t="s">
        <v>1357</v>
      </c>
      <c r="E295" s="817" t="s">
        <v>1279</v>
      </c>
      <c r="F295" s="1351"/>
      <c r="G295" s="1351"/>
      <c r="H295" s="1351"/>
      <c r="I295" s="1307" t="str">
        <f t="shared" si="38"/>
        <v>Special Pricing Code</v>
      </c>
      <c r="J295" s="1351" t="str">
        <f t="shared" si="41"/>
        <v>F264</v>
      </c>
      <c r="K295" s="1351" t="str">
        <f t="shared" si="39"/>
        <v>Pricing Schedule</v>
      </c>
      <c r="L295" s="853" t="s">
        <v>1282</v>
      </c>
      <c r="M295" s="1351">
        <v>264</v>
      </c>
      <c r="N295" s="1351"/>
      <c r="O295" s="1348"/>
      <c r="P295" s="1348"/>
      <c r="Q295" s="1348"/>
      <c r="R295" s="1348"/>
      <c r="S295" s="1348"/>
      <c r="T295" s="1348"/>
      <c r="U295" s="1348"/>
      <c r="V295" s="1348"/>
      <c r="W295" s="1348"/>
      <c r="X295" s="1348"/>
      <c r="Y295" s="1348"/>
      <c r="Z295" s="1348"/>
    </row>
    <row r="296" spans="1:26" x14ac:dyDescent="0.25">
      <c r="A296" s="877"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7" t="s">
        <v>1357</v>
      </c>
      <c r="E296" s="817" t="s">
        <v>1279</v>
      </c>
      <c r="F296" s="1130"/>
      <c r="G296" s="1351"/>
      <c r="H296" s="1351"/>
      <c r="I296" s="1307" t="str">
        <f t="shared" si="38"/>
        <v>EB Markup Amt</v>
      </c>
      <c r="J296" s="1351" t="str">
        <f t="shared" si="41"/>
        <v>F265</v>
      </c>
      <c r="K296" s="1351" t="str">
        <f t="shared" si="39"/>
        <v>Pricing Schedule</v>
      </c>
      <c r="L296" s="853" t="s">
        <v>1284</v>
      </c>
      <c r="M296" s="1351">
        <v>265</v>
      </c>
      <c r="N296" s="1351"/>
      <c r="O296" s="1348"/>
      <c r="P296" s="1348"/>
      <c r="Q296" s="1348"/>
      <c r="R296" s="1348"/>
      <c r="S296" s="1348"/>
      <c r="T296" s="1348"/>
      <c r="U296" s="1348"/>
      <c r="V296" s="1348"/>
      <c r="W296" s="1348"/>
      <c r="X296" s="1348"/>
      <c r="Y296" s="1348"/>
      <c r="Z296" s="1348"/>
    </row>
    <row r="297" spans="1:26" x14ac:dyDescent="0.25">
      <c r="A297" s="877"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7" t="s">
        <v>1357</v>
      </c>
      <c r="E297" s="817" t="s">
        <v>1279</v>
      </c>
      <c r="F297" s="1130"/>
      <c r="G297" s="1351"/>
      <c r="H297" s="1351"/>
      <c r="I297" s="1307" t="str">
        <f t="shared" si="38"/>
        <v>Min CS Markup Override Flag</v>
      </c>
      <c r="J297" s="1351" t="str">
        <f t="shared" si="41"/>
        <v>F266</v>
      </c>
      <c r="K297" s="1351" t="str">
        <f t="shared" si="39"/>
        <v>Pricing Schedule</v>
      </c>
      <c r="L297" s="853" t="s">
        <v>1285</v>
      </c>
      <c r="M297" s="1351">
        <v>266</v>
      </c>
      <c r="N297" s="1351"/>
      <c r="O297" s="1348"/>
      <c r="P297" s="1348"/>
      <c r="Q297" s="1348"/>
      <c r="R297" s="1348"/>
      <c r="S297" s="1348"/>
      <c r="T297" s="1348"/>
      <c r="U297" s="1348"/>
      <c r="V297" s="1348"/>
      <c r="W297" s="1348"/>
      <c r="X297" s="1348"/>
      <c r="Y297" s="1348"/>
      <c r="Z297" s="1348"/>
    </row>
    <row r="298" spans="1:26" x14ac:dyDescent="0.25">
      <c r="A298" s="877"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7" t="s">
        <v>1357</v>
      </c>
      <c r="E298" s="817" t="s">
        <v>1279</v>
      </c>
      <c r="F298" s="1130"/>
      <c r="G298" s="1351"/>
      <c r="H298" s="1351"/>
      <c r="I298" s="1307" t="str">
        <f t="shared" si="38"/>
        <v>Min CS Markup Amt</v>
      </c>
      <c r="J298" s="1351" t="str">
        <f t="shared" si="41"/>
        <v>F267</v>
      </c>
      <c r="K298" s="1351" t="str">
        <f t="shared" si="39"/>
        <v>Pricing Schedule</v>
      </c>
      <c r="L298" s="853" t="s">
        <v>1286</v>
      </c>
      <c r="M298" s="1351">
        <v>267</v>
      </c>
      <c r="N298" s="1351"/>
      <c r="O298" s="1348"/>
      <c r="P298" s="1348"/>
      <c r="Q298" s="1348"/>
      <c r="R298" s="1348"/>
      <c r="S298" s="1348"/>
      <c r="T298" s="1348"/>
      <c r="U298" s="1348"/>
      <c r="V298" s="1348"/>
      <c r="W298" s="1348"/>
      <c r="X298" s="1348"/>
      <c r="Y298" s="1348"/>
      <c r="Z298" s="1348"/>
    </row>
    <row r="299" spans="1:26" x14ac:dyDescent="0.25">
      <c r="A299" s="877"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7" t="s">
        <v>1357</v>
      </c>
      <c r="E299" s="817" t="s">
        <v>1279</v>
      </c>
      <c r="F299" s="1130"/>
      <c r="G299" s="1351"/>
      <c r="H299" s="1351"/>
      <c r="I299" s="1307" t="str">
        <f t="shared" si="38"/>
        <v>Split Case Fee Override Flag</v>
      </c>
      <c r="J299" s="1351" t="str">
        <f t="shared" si="41"/>
        <v>F268</v>
      </c>
      <c r="K299" s="1351" t="str">
        <f t="shared" si="39"/>
        <v>Pricing Schedule</v>
      </c>
      <c r="L299" s="853" t="s">
        <v>1287</v>
      </c>
      <c r="M299" s="1351">
        <v>268</v>
      </c>
      <c r="N299" s="1351"/>
      <c r="O299" s="1348"/>
      <c r="P299" s="1348"/>
      <c r="Q299" s="1348"/>
      <c r="R299" s="1348"/>
      <c r="S299" s="1348"/>
      <c r="T299" s="1348"/>
      <c r="U299" s="1348"/>
      <c r="V299" s="1348"/>
      <c r="W299" s="1348"/>
      <c r="X299" s="1348"/>
      <c r="Y299" s="1348"/>
      <c r="Z299" s="1348"/>
    </row>
    <row r="300" spans="1:26" x14ac:dyDescent="0.25">
      <c r="A300" s="877"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7" t="s">
        <v>1357</v>
      </c>
      <c r="E300" s="817" t="s">
        <v>1279</v>
      </c>
      <c r="F300" s="1130"/>
      <c r="G300" s="1351"/>
      <c r="H300" s="1351"/>
      <c r="I300" s="1307" t="str">
        <f t="shared" si="38"/>
        <v>Split Case Fee</v>
      </c>
      <c r="J300" s="1351" t="str">
        <f t="shared" si="41"/>
        <v>F269</v>
      </c>
      <c r="K300" s="1351" t="str">
        <f t="shared" si="39"/>
        <v>Pricing Schedule</v>
      </c>
      <c r="L300" s="853" t="s">
        <v>1288</v>
      </c>
      <c r="M300" s="1351">
        <v>269</v>
      </c>
      <c r="N300" s="1351"/>
      <c r="O300" s="1348"/>
      <c r="P300" s="1348"/>
      <c r="Q300" s="1348"/>
      <c r="R300" s="1348"/>
      <c r="S300" s="1348"/>
      <c r="T300" s="1348"/>
      <c r="U300" s="1348"/>
      <c r="V300" s="1348"/>
      <c r="W300" s="1348"/>
      <c r="X300" s="1348"/>
      <c r="Y300" s="1348"/>
      <c r="Z300" s="1348"/>
    </row>
    <row r="301" spans="1:26" x14ac:dyDescent="0.25">
      <c r="A301" s="877"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7" t="s">
        <v>1357</v>
      </c>
      <c r="E301" s="817" t="s">
        <v>1279</v>
      </c>
      <c r="F301" s="1130"/>
      <c r="G301" s="1351"/>
      <c r="H301" s="1351"/>
      <c r="I301" s="1307" t="str">
        <f t="shared" si="38"/>
        <v>Split Case Per</v>
      </c>
      <c r="J301" s="1351" t="str">
        <f t="shared" si="41"/>
        <v>F270</v>
      </c>
      <c r="K301" s="1351" t="str">
        <f t="shared" si="39"/>
        <v>Pricing Schedule</v>
      </c>
      <c r="L301" s="853"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7" t="s">
        <v>1357</v>
      </c>
      <c r="E302" s="817" t="s">
        <v>1279</v>
      </c>
      <c r="F302" s="1351"/>
      <c r="G302" s="1351"/>
      <c r="H302" s="1351"/>
      <c r="I302" s="1307" t="str">
        <f t="shared" si="38"/>
        <v/>
      </c>
      <c r="J302" s="1351"/>
      <c r="K302" s="1351" t="str">
        <f t="shared" si="39"/>
        <v/>
      </c>
      <c r="L302" s="853"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7" t="s">
        <v>1357</v>
      </c>
      <c r="E303" s="817" t="s">
        <v>1279</v>
      </c>
      <c r="F303" s="1351"/>
      <c r="G303" s="1351"/>
      <c r="H303" s="1351"/>
      <c r="I303" s="1307" t="str">
        <f t="shared" si="38"/>
        <v/>
      </c>
      <c r="J303" s="1351"/>
      <c r="K303" s="1351" t="str">
        <f t="shared" si="39"/>
        <v/>
      </c>
      <c r="L303" s="853"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7" t="s">
        <v>1357</v>
      </c>
      <c r="E304" s="817" t="s">
        <v>1279</v>
      </c>
      <c r="F304" s="1351"/>
      <c r="G304" s="1351"/>
      <c r="H304" s="1351"/>
      <c r="I304" s="1307" t="str">
        <f t="shared" si="38"/>
        <v/>
      </c>
      <c r="J304" s="1351"/>
      <c r="K304" s="1351" t="str">
        <f t="shared" si="39"/>
        <v/>
      </c>
      <c r="L304" s="853"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7" t="s">
        <v>1357</v>
      </c>
      <c r="E305" s="817" t="s">
        <v>1279</v>
      </c>
      <c r="F305" s="1351"/>
      <c r="G305" s="1351"/>
      <c r="H305" s="1351"/>
      <c r="I305" s="1307" t="str">
        <f t="shared" si="38"/>
        <v/>
      </c>
      <c r="J305" s="1351"/>
      <c r="K305" s="1351" t="str">
        <f t="shared" si="39"/>
        <v/>
      </c>
      <c r="L305" s="853" t="s">
        <v>225</v>
      </c>
      <c r="M305" s="1351">
        <v>274</v>
      </c>
      <c r="N305" s="1351"/>
      <c r="O305" s="1348"/>
      <c r="P305" s="1348"/>
      <c r="Q305" s="1348"/>
      <c r="R305" s="1348"/>
      <c r="S305" s="1348"/>
      <c r="T305" s="1348"/>
      <c r="U305" s="1348"/>
      <c r="V305" s="1348"/>
      <c r="W305" s="1348"/>
      <c r="X305" s="1348"/>
      <c r="Y305" s="1348"/>
      <c r="Z305" s="1348"/>
    </row>
    <row r="306" spans="1:26" x14ac:dyDescent="0.25">
      <c r="A306" s="874" t="s">
        <v>463</v>
      </c>
      <c r="B306" s="1307" t="str">
        <f ca="1">_xlfn.CONCAT(IFERROR(SUBSTITUTE(ADDRESS(1,MATCH(A306,INDIRECT("'"&amp;E306&amp;"'"&amp;"!A9:Z9"),0),4),1,""),""),12)</f>
        <v>E12</v>
      </c>
      <c r="C306" s="1307" t="str">
        <f ca="1">_xlfn.CONCAT(IFERROR(SUBSTITUTE(ADDRESS(1,MATCH(A306,INDIRECT("'"&amp;E306&amp;"'"&amp;"!A9:Z9"),0),4),1,""),""))</f>
        <v>E</v>
      </c>
      <c r="D306" s="1351" t="s">
        <v>1357</v>
      </c>
      <c r="E306" s="817" t="s">
        <v>208</v>
      </c>
      <c r="F306" s="1351"/>
      <c r="G306" s="1351"/>
      <c r="H306" s="1351"/>
      <c r="I306" s="1307" t="str">
        <f t="shared" si="38"/>
        <v>Exclude PIM Classes Below</v>
      </c>
      <c r="J306" s="1351" t="str">
        <f t="shared" si="41"/>
        <v>F275</v>
      </c>
      <c r="K306" s="1351" t="str">
        <f t="shared" si="39"/>
        <v>PIM Model</v>
      </c>
      <c r="L306" s="853"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7" t="s">
        <v>1357</v>
      </c>
      <c r="E307" s="817" t="s">
        <v>1279</v>
      </c>
      <c r="F307" s="1351"/>
      <c r="G307" s="1351"/>
      <c r="H307" s="1351"/>
      <c r="I307" s="1307" t="str">
        <f t="shared" si="38"/>
        <v>Special Pricing Code</v>
      </c>
      <c r="J307" s="1351" t="str">
        <f t="shared" si="41"/>
        <v>F276</v>
      </c>
      <c r="K307" s="1351" t="str">
        <f t="shared" si="39"/>
        <v>Pricing Schedule</v>
      </c>
      <c r="L307" s="853"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7" t="s">
        <v>1357</v>
      </c>
      <c r="E308" s="817" t="s">
        <v>1279</v>
      </c>
      <c r="F308" s="1130"/>
      <c r="G308" s="1351"/>
      <c r="H308" s="1351"/>
      <c r="I308" s="1307" t="str">
        <f t="shared" si="38"/>
        <v>EB Markup Amt</v>
      </c>
      <c r="J308" s="1351" t="str">
        <f t="shared" si="41"/>
        <v>F277</v>
      </c>
      <c r="K308" s="1351" t="str">
        <f t="shared" si="39"/>
        <v>Pricing Schedule</v>
      </c>
      <c r="L308" s="853"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7" t="s">
        <v>1357</v>
      </c>
      <c r="E309" s="817" t="s">
        <v>1279</v>
      </c>
      <c r="F309" s="1130"/>
      <c r="G309" s="1351"/>
      <c r="H309" s="1351"/>
      <c r="I309" s="1307" t="str">
        <f t="shared" si="38"/>
        <v>Min CS Markup Override Flag</v>
      </c>
      <c r="J309" s="1351" t="str">
        <f t="shared" si="41"/>
        <v>F278</v>
      </c>
      <c r="K309" s="1351" t="str">
        <f t="shared" si="39"/>
        <v>Pricing Schedule</v>
      </c>
      <c r="L309" s="853"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7" t="s">
        <v>1357</v>
      </c>
      <c r="E310" s="817" t="s">
        <v>1279</v>
      </c>
      <c r="F310" s="1130"/>
      <c r="G310" s="1351"/>
      <c r="H310" s="1351"/>
      <c r="I310" s="1307" t="str">
        <f t="shared" si="38"/>
        <v>Min CS Markup Amt</v>
      </c>
      <c r="J310" s="1351" t="str">
        <f t="shared" si="41"/>
        <v>F279</v>
      </c>
      <c r="K310" s="1351" t="str">
        <f t="shared" si="39"/>
        <v>Pricing Schedule</v>
      </c>
      <c r="L310" s="853"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7" t="s">
        <v>1357</v>
      </c>
      <c r="E311" s="817" t="s">
        <v>1279</v>
      </c>
      <c r="F311" s="1130"/>
      <c r="G311" s="1351"/>
      <c r="H311" s="1351"/>
      <c r="I311" s="1307" t="str">
        <f t="shared" si="38"/>
        <v>Split Case Fee Override Flag</v>
      </c>
      <c r="J311" s="1351" t="str">
        <f t="shared" si="41"/>
        <v>F280</v>
      </c>
      <c r="K311" s="1351" t="str">
        <f t="shared" si="39"/>
        <v>Pricing Schedule</v>
      </c>
      <c r="L311" s="853"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7" t="s">
        <v>1357</v>
      </c>
      <c r="E312" s="817" t="s">
        <v>1279</v>
      </c>
      <c r="F312" s="1130"/>
      <c r="G312" s="1351"/>
      <c r="H312" s="1351"/>
      <c r="I312" s="1307" t="str">
        <f t="shared" si="38"/>
        <v>Split Case Fee</v>
      </c>
      <c r="J312" s="1351" t="str">
        <f t="shared" si="41"/>
        <v>F281</v>
      </c>
      <c r="K312" s="1351" t="str">
        <f t="shared" si="39"/>
        <v>Pricing Schedule</v>
      </c>
      <c r="L312" s="853"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7" t="s">
        <v>1357</v>
      </c>
      <c r="E313" s="817" t="s">
        <v>1279</v>
      </c>
      <c r="F313" s="1130"/>
      <c r="G313" s="1351"/>
      <c r="H313" s="1351"/>
      <c r="I313" s="1307" t="str">
        <f t="shared" si="38"/>
        <v>Split Case Per</v>
      </c>
      <c r="J313" s="1351" t="str">
        <f t="shared" si="41"/>
        <v>F282</v>
      </c>
      <c r="K313" s="1351" t="str">
        <f t="shared" si="39"/>
        <v>Pricing Schedule</v>
      </c>
      <c r="L313" s="853" t="s">
        <v>1228</v>
      </c>
      <c r="M313" s="1351">
        <v>282</v>
      </c>
      <c r="N313" s="1351"/>
      <c r="O313" s="1348"/>
      <c r="P313" s="1348"/>
      <c r="Q313" s="1348"/>
      <c r="R313" s="1348"/>
      <c r="S313" s="1348"/>
      <c r="T313" s="1348"/>
      <c r="U313" s="1348"/>
      <c r="V313" s="1348"/>
      <c r="W313" s="1348"/>
      <c r="X313" s="1348"/>
      <c r="Y313" s="1348"/>
      <c r="Z313" s="1348"/>
    </row>
    <row r="314" spans="1:26" x14ac:dyDescent="0.25">
      <c r="A314" s="875"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7" t="s">
        <v>1357</v>
      </c>
      <c r="E314" s="817" t="s">
        <v>1279</v>
      </c>
      <c r="F314" s="1351"/>
      <c r="G314" s="1351"/>
      <c r="H314" s="1351"/>
      <c r="I314" s="1307" t="str">
        <f t="shared" si="38"/>
        <v/>
      </c>
      <c r="J314" s="1351"/>
      <c r="K314" s="1351" t="str">
        <f t="shared" si="39"/>
        <v/>
      </c>
      <c r="L314" s="853" t="s">
        <v>1289</v>
      </c>
      <c r="M314" s="1351">
        <v>283</v>
      </c>
      <c r="N314" s="1351"/>
      <c r="O314" s="1348"/>
      <c r="P314" s="1348"/>
      <c r="Q314" s="1348"/>
      <c r="R314" s="1348"/>
      <c r="S314" s="1348"/>
      <c r="T314" s="1348"/>
      <c r="U314" s="1348"/>
      <c r="V314" s="1348"/>
      <c r="W314" s="1348"/>
      <c r="X314" s="1348"/>
      <c r="Y314" s="1348"/>
      <c r="Z314" s="1348"/>
    </row>
    <row r="315" spans="1:26" x14ac:dyDescent="0.25">
      <c r="A315" s="876"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7" t="s">
        <v>1357</v>
      </c>
      <c r="E315" s="817" t="s">
        <v>1279</v>
      </c>
      <c r="F315" s="1351"/>
      <c r="G315" s="1351"/>
      <c r="H315" s="1351"/>
      <c r="I315" s="1307" t="str">
        <f t="shared" si="38"/>
        <v/>
      </c>
      <c r="J315" s="1351"/>
      <c r="K315" s="1351" t="str">
        <f t="shared" si="39"/>
        <v/>
      </c>
      <c r="L315" s="853" t="s">
        <v>252</v>
      </c>
      <c r="M315" s="1351">
        <v>284</v>
      </c>
      <c r="N315" s="1351"/>
      <c r="O315" s="1348"/>
      <c r="P315" s="1348"/>
      <c r="Q315" s="1348"/>
      <c r="R315" s="1348"/>
      <c r="S315" s="1348"/>
      <c r="T315" s="1348"/>
      <c r="U315" s="1348"/>
      <c r="V315" s="1348"/>
      <c r="W315" s="1348"/>
      <c r="X315" s="1348"/>
      <c r="Y315" s="1348"/>
      <c r="Z315" s="1348"/>
    </row>
    <row r="316" spans="1:26" x14ac:dyDescent="0.25">
      <c r="A316" s="876"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7" t="s">
        <v>1357</v>
      </c>
      <c r="E316" s="817" t="s">
        <v>1279</v>
      </c>
      <c r="F316" s="1351"/>
      <c r="G316" s="1351"/>
      <c r="H316" s="1351"/>
      <c r="I316" s="1307" t="str">
        <f t="shared" si="38"/>
        <v/>
      </c>
      <c r="J316" s="1351"/>
      <c r="K316" s="1351" t="str">
        <f t="shared" si="39"/>
        <v/>
      </c>
      <c r="L316" s="853" t="s">
        <v>1246</v>
      </c>
      <c r="M316" s="1351">
        <v>285</v>
      </c>
      <c r="N316" s="1351"/>
      <c r="O316" s="1348"/>
      <c r="P316" s="1348"/>
      <c r="Q316" s="1348"/>
      <c r="R316" s="1348"/>
      <c r="S316" s="1348"/>
      <c r="T316" s="1348"/>
      <c r="U316" s="1348"/>
      <c r="V316" s="1348"/>
      <c r="W316" s="1348"/>
      <c r="X316" s="1348"/>
      <c r="Y316" s="1348"/>
      <c r="Z316" s="1348"/>
    </row>
    <row r="317" spans="1:26" x14ac:dyDescent="0.25">
      <c r="A317" s="876"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7" t="s">
        <v>1357</v>
      </c>
      <c r="E317" s="817" t="s">
        <v>1279</v>
      </c>
      <c r="F317" s="1351"/>
      <c r="G317" s="1351"/>
      <c r="H317" s="1351"/>
      <c r="I317" s="1307" t="str">
        <f t="shared" si="38"/>
        <v/>
      </c>
      <c r="J317" s="1351"/>
      <c r="K317" s="1351" t="str">
        <f t="shared" si="39"/>
        <v/>
      </c>
      <c r="L317" s="853" t="s">
        <v>225</v>
      </c>
      <c r="M317" s="1351">
        <v>286</v>
      </c>
      <c r="N317" s="1351"/>
      <c r="O317" s="1348"/>
      <c r="P317" s="1348"/>
      <c r="Q317" s="1348"/>
      <c r="R317" s="1348"/>
      <c r="S317" s="1348"/>
      <c r="T317" s="1348"/>
      <c r="U317" s="1348"/>
      <c r="V317" s="1348"/>
      <c r="W317" s="1348"/>
      <c r="X317" s="1348"/>
      <c r="Y317" s="1348"/>
      <c r="Z317" s="1348"/>
    </row>
    <row r="318" spans="1:26" x14ac:dyDescent="0.25">
      <c r="A318" s="877" t="s">
        <v>463</v>
      </c>
      <c r="B318" s="1307" t="str">
        <f ca="1">_xlfn.CONCAT(IFERROR(SUBSTITUTE(ADDRESS(1,MATCH(A318,INDIRECT("'"&amp;E318&amp;"'"&amp;"!A9:Z9"),0),4),1,""),""),13)</f>
        <v>E13</v>
      </c>
      <c r="C318" s="1307" t="str">
        <f ca="1">_xlfn.CONCAT(IFERROR(SUBSTITUTE(ADDRESS(1,MATCH(A318,INDIRECT("'"&amp;E318&amp;"'"&amp;"!A9:Z9"),0),4),1,""),""))</f>
        <v>E</v>
      </c>
      <c r="D318" s="1351" t="s">
        <v>1357</v>
      </c>
      <c r="E318" s="817" t="s">
        <v>208</v>
      </c>
      <c r="F318" s="1351"/>
      <c r="G318" s="1351"/>
      <c r="H318" s="1351"/>
      <c r="I318" s="1307" t="str">
        <f t="shared" si="38"/>
        <v>Exclude PIM Classes Below</v>
      </c>
      <c r="J318" s="1351" t="str">
        <f t="shared" si="41"/>
        <v>F287</v>
      </c>
      <c r="K318" s="1351" t="str">
        <f t="shared" si="39"/>
        <v>PIM Model</v>
      </c>
      <c r="L318" s="853" t="s">
        <v>463</v>
      </c>
      <c r="M318" s="1351">
        <v>287</v>
      </c>
      <c r="N318" s="1351"/>
      <c r="O318" s="1348"/>
      <c r="P318" s="1348"/>
      <c r="Q318" s="1348"/>
      <c r="R318" s="1348"/>
      <c r="S318" s="1348"/>
      <c r="T318" s="1348"/>
      <c r="U318" s="1348"/>
      <c r="V318" s="1348"/>
      <c r="W318" s="1348"/>
      <c r="X318" s="1348"/>
      <c r="Y318" s="1348"/>
      <c r="Z318" s="1348"/>
    </row>
    <row r="319" spans="1:26" x14ac:dyDescent="0.25">
      <c r="A319" s="877"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7" t="s">
        <v>1357</v>
      </c>
      <c r="E319" s="817" t="s">
        <v>1279</v>
      </c>
      <c r="F319" s="1351"/>
      <c r="G319" s="1351"/>
      <c r="H319" s="1351"/>
      <c r="I319" s="1307" t="str">
        <f t="shared" si="38"/>
        <v>Special Pricing Code</v>
      </c>
      <c r="J319" s="1351" t="str">
        <f t="shared" si="41"/>
        <v>F288</v>
      </c>
      <c r="K319" s="1351" t="str">
        <f t="shared" si="39"/>
        <v>Pricing Schedule</v>
      </c>
      <c r="L319" s="853" t="s">
        <v>1282</v>
      </c>
      <c r="M319" s="1351">
        <v>288</v>
      </c>
      <c r="N319" s="1351"/>
      <c r="O319" s="1348"/>
      <c r="P319" s="1348"/>
      <c r="Q319" s="1348"/>
      <c r="R319" s="1348"/>
      <c r="S319" s="1348"/>
      <c r="T319" s="1348"/>
      <c r="U319" s="1348"/>
      <c r="V319" s="1348"/>
      <c r="W319" s="1348"/>
      <c r="X319" s="1348"/>
      <c r="Y319" s="1348"/>
      <c r="Z319" s="1348"/>
    </row>
    <row r="320" spans="1:26" x14ac:dyDescent="0.25">
      <c r="A320" s="877"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7" t="s">
        <v>1357</v>
      </c>
      <c r="E320" s="817" t="s">
        <v>1279</v>
      </c>
      <c r="F320" s="1130"/>
      <c r="G320" s="1351"/>
      <c r="H320" s="1351"/>
      <c r="I320" s="1307" t="str">
        <f t="shared" si="38"/>
        <v>EB Markup Amt</v>
      </c>
      <c r="J320" s="1351" t="str">
        <f t="shared" si="41"/>
        <v>F289</v>
      </c>
      <c r="K320" s="1351" t="str">
        <f t="shared" si="39"/>
        <v>Pricing Schedule</v>
      </c>
      <c r="L320" s="853" t="s">
        <v>1284</v>
      </c>
      <c r="M320" s="1351">
        <v>289</v>
      </c>
      <c r="N320" s="1351"/>
      <c r="O320" s="1348"/>
      <c r="P320" s="1348"/>
      <c r="Q320" s="1348"/>
      <c r="R320" s="1348"/>
      <c r="S320" s="1348"/>
      <c r="T320" s="1348"/>
      <c r="U320" s="1348"/>
      <c r="V320" s="1348"/>
      <c r="W320" s="1348"/>
      <c r="X320" s="1348"/>
      <c r="Y320" s="1348"/>
      <c r="Z320" s="1348"/>
    </row>
    <row r="321" spans="1:26" x14ac:dyDescent="0.25">
      <c r="A321" s="877"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7" t="s">
        <v>1357</v>
      </c>
      <c r="E321" s="817" t="s">
        <v>1279</v>
      </c>
      <c r="F321" s="1130"/>
      <c r="G321" s="1351"/>
      <c r="H321" s="1351"/>
      <c r="I321" s="1307" t="str">
        <f t="shared" si="38"/>
        <v>Min CS Markup Override Flag</v>
      </c>
      <c r="J321" s="1351" t="str">
        <f t="shared" si="41"/>
        <v>F290</v>
      </c>
      <c r="K321" s="1351" t="str">
        <f t="shared" si="39"/>
        <v>Pricing Schedule</v>
      </c>
      <c r="L321" s="853" t="s">
        <v>1285</v>
      </c>
      <c r="M321" s="1351">
        <v>290</v>
      </c>
      <c r="N321" s="1351"/>
      <c r="O321" s="1348"/>
      <c r="P321" s="1348"/>
      <c r="Q321" s="1348"/>
      <c r="R321" s="1348"/>
      <c r="S321" s="1348"/>
      <c r="T321" s="1348"/>
      <c r="U321" s="1348"/>
      <c r="V321" s="1348"/>
      <c r="W321" s="1348"/>
      <c r="X321" s="1348"/>
      <c r="Y321" s="1348"/>
      <c r="Z321" s="1348"/>
    </row>
    <row r="322" spans="1:26" x14ac:dyDescent="0.25">
      <c r="A322" s="877"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7" t="s">
        <v>1357</v>
      </c>
      <c r="E322" s="817" t="s">
        <v>1279</v>
      </c>
      <c r="F322" s="1130"/>
      <c r="G322" s="1351"/>
      <c r="H322" s="1351"/>
      <c r="I322" s="1307" t="str">
        <f t="shared" si="38"/>
        <v>Min CS Markup Amt</v>
      </c>
      <c r="J322" s="1351" t="str">
        <f t="shared" si="41"/>
        <v>F291</v>
      </c>
      <c r="K322" s="1351" t="str">
        <f t="shared" si="39"/>
        <v>Pricing Schedule</v>
      </c>
      <c r="L322" s="853" t="s">
        <v>1286</v>
      </c>
      <c r="M322" s="1351">
        <v>291</v>
      </c>
      <c r="N322" s="1351"/>
      <c r="O322" s="1348"/>
      <c r="P322" s="1348"/>
      <c r="Q322" s="1348"/>
      <c r="R322" s="1348"/>
      <c r="S322" s="1348"/>
      <c r="T322" s="1348"/>
      <c r="U322" s="1348"/>
      <c r="V322" s="1348"/>
      <c r="W322" s="1348"/>
      <c r="X322" s="1348"/>
      <c r="Y322" s="1348"/>
      <c r="Z322" s="1348"/>
    </row>
    <row r="323" spans="1:26" x14ac:dyDescent="0.25">
      <c r="A323" s="877"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7" t="s">
        <v>1357</v>
      </c>
      <c r="E323" s="817" t="s">
        <v>1279</v>
      </c>
      <c r="F323" s="1130"/>
      <c r="G323" s="1351"/>
      <c r="H323" s="1351"/>
      <c r="I323" s="1307" t="str">
        <f t="shared" si="38"/>
        <v>Split Case Fee Override Flag</v>
      </c>
      <c r="J323" s="1351" t="str">
        <f t="shared" si="41"/>
        <v>F292</v>
      </c>
      <c r="K323" s="1351" t="str">
        <f t="shared" si="39"/>
        <v>Pricing Schedule</v>
      </c>
      <c r="L323" s="853" t="s">
        <v>1287</v>
      </c>
      <c r="M323" s="1351">
        <v>292</v>
      </c>
      <c r="N323" s="1351"/>
      <c r="O323" s="1348"/>
      <c r="P323" s="1348"/>
      <c r="Q323" s="1348"/>
      <c r="R323" s="1348"/>
      <c r="S323" s="1348"/>
      <c r="T323" s="1348"/>
      <c r="U323" s="1348"/>
      <c r="V323" s="1348"/>
      <c r="W323" s="1348"/>
      <c r="X323" s="1348"/>
      <c r="Y323" s="1348"/>
      <c r="Z323" s="1348"/>
    </row>
    <row r="324" spans="1:26" x14ac:dyDescent="0.25">
      <c r="A324" s="877"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7" t="s">
        <v>1357</v>
      </c>
      <c r="E324" s="817" t="s">
        <v>1279</v>
      </c>
      <c r="F324" s="1130"/>
      <c r="G324" s="1351"/>
      <c r="H324" s="1351"/>
      <c r="I324" s="1307" t="str">
        <f t="shared" ref="I324:I387" si="42">IF(J324&lt;&gt;"",A324,"")</f>
        <v>Split Case Fee</v>
      </c>
      <c r="J324" s="1351" t="str">
        <f t="shared" si="41"/>
        <v>F293</v>
      </c>
      <c r="K324" s="1351" t="str">
        <f t="shared" ref="K324:K387" si="43">IF(J324&lt;&gt;"",E324,"")</f>
        <v>Pricing Schedule</v>
      </c>
      <c r="L324" s="853" t="s">
        <v>1288</v>
      </c>
      <c r="M324" s="1351">
        <v>293</v>
      </c>
      <c r="N324" s="1351"/>
      <c r="O324" s="1348"/>
      <c r="P324" s="1348"/>
      <c r="Q324" s="1348"/>
      <c r="R324" s="1348"/>
      <c r="S324" s="1348"/>
      <c r="T324" s="1348"/>
      <c r="U324" s="1348"/>
      <c r="V324" s="1348"/>
      <c r="W324" s="1348"/>
      <c r="X324" s="1348"/>
      <c r="Y324" s="1348"/>
      <c r="Z324" s="1348"/>
    </row>
    <row r="325" spans="1:26" x14ac:dyDescent="0.25">
      <c r="A325" s="877"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7" t="s">
        <v>1357</v>
      </c>
      <c r="E325" s="817" t="s">
        <v>1279</v>
      </c>
      <c r="F325" s="1130"/>
      <c r="G325" s="1351"/>
      <c r="H325" s="1351"/>
      <c r="I325" s="1307" t="str">
        <f t="shared" si="42"/>
        <v>Split Case Per</v>
      </c>
      <c r="J325" s="1351" t="str">
        <f t="shared" si="41"/>
        <v>F294</v>
      </c>
      <c r="K325" s="1351" t="str">
        <f t="shared" si="43"/>
        <v>Pricing Schedule</v>
      </c>
      <c r="L325" s="853" t="s">
        <v>1228</v>
      </c>
      <c r="M325" s="1351">
        <v>294</v>
      </c>
      <c r="N325" s="1351"/>
      <c r="O325" s="1348"/>
      <c r="P325" s="1348"/>
      <c r="Q325" s="1348"/>
      <c r="R325" s="1348"/>
      <c r="S325" s="1348"/>
      <c r="T325" s="1348"/>
      <c r="U325" s="1348"/>
      <c r="V325" s="1348"/>
      <c r="W325" s="1348"/>
      <c r="X325" s="1348"/>
      <c r="Y325" s="1348"/>
      <c r="Z325" s="1348"/>
    </row>
    <row r="326" spans="1:26" x14ac:dyDescent="0.25">
      <c r="A326" s="872"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7" t="s">
        <v>1357</v>
      </c>
      <c r="E326" s="817" t="s">
        <v>1279</v>
      </c>
      <c r="F326" s="1351"/>
      <c r="G326" s="1351"/>
      <c r="H326" s="1351"/>
      <c r="I326" s="1307" t="str">
        <f t="shared" si="42"/>
        <v/>
      </c>
      <c r="J326" s="1351"/>
      <c r="K326" s="1351" t="str">
        <f t="shared" si="43"/>
        <v/>
      </c>
      <c r="L326" s="853" t="s">
        <v>1289</v>
      </c>
      <c r="M326" s="1351">
        <v>295</v>
      </c>
      <c r="N326" s="1351"/>
      <c r="O326" s="1348"/>
      <c r="P326" s="1348"/>
      <c r="Q326" s="1348"/>
      <c r="R326" s="1348"/>
      <c r="S326" s="1348"/>
      <c r="T326" s="1348"/>
      <c r="U326" s="1348"/>
      <c r="V326" s="1348"/>
      <c r="W326" s="1348"/>
      <c r="X326" s="1348"/>
      <c r="Y326" s="1348"/>
      <c r="Z326" s="1348"/>
    </row>
    <row r="327" spans="1:26" x14ac:dyDescent="0.25">
      <c r="A327" s="873"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7" t="s">
        <v>1357</v>
      </c>
      <c r="E327" s="817" t="s">
        <v>1279</v>
      </c>
      <c r="F327" s="1351"/>
      <c r="G327" s="1351"/>
      <c r="H327" s="1351"/>
      <c r="I327" s="1307" t="str">
        <f t="shared" si="42"/>
        <v/>
      </c>
      <c r="J327" s="1351"/>
      <c r="K327" s="1351" t="str">
        <f t="shared" si="43"/>
        <v/>
      </c>
      <c r="L327" s="853" t="s">
        <v>252</v>
      </c>
      <c r="M327" s="1351">
        <v>296</v>
      </c>
      <c r="N327" s="1351"/>
      <c r="O327" s="1348"/>
      <c r="P327" s="1348"/>
      <c r="Q327" s="1348"/>
      <c r="R327" s="1348"/>
      <c r="S327" s="1348"/>
      <c r="T327" s="1348"/>
      <c r="U327" s="1348"/>
      <c r="V327" s="1348"/>
      <c r="W327" s="1348"/>
      <c r="X327" s="1348"/>
      <c r="Y327" s="1348"/>
      <c r="Z327" s="1348"/>
    </row>
    <row r="328" spans="1:26" x14ac:dyDescent="0.25">
      <c r="A328" s="873"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7" t="s">
        <v>1357</v>
      </c>
      <c r="E328" s="817" t="s">
        <v>1279</v>
      </c>
      <c r="F328" s="1351"/>
      <c r="G328" s="1351"/>
      <c r="H328" s="1351"/>
      <c r="I328" s="1307" t="str">
        <f t="shared" si="42"/>
        <v/>
      </c>
      <c r="J328" s="1351"/>
      <c r="K328" s="1351" t="str">
        <f t="shared" si="43"/>
        <v/>
      </c>
      <c r="L328" s="853" t="s">
        <v>1246</v>
      </c>
      <c r="M328" s="1351">
        <v>297</v>
      </c>
      <c r="N328" s="1351"/>
      <c r="O328" s="1348"/>
      <c r="P328" s="1348"/>
      <c r="Q328" s="1348"/>
      <c r="R328" s="1348"/>
      <c r="S328" s="1348"/>
      <c r="T328" s="1348"/>
      <c r="U328" s="1348"/>
      <c r="V328" s="1348"/>
      <c r="W328" s="1348"/>
      <c r="X328" s="1348"/>
      <c r="Y328" s="1348"/>
      <c r="Z328" s="1348"/>
    </row>
    <row r="329" spans="1:26" x14ac:dyDescent="0.25">
      <c r="A329" s="873"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7" t="s">
        <v>1357</v>
      </c>
      <c r="E329" s="817" t="s">
        <v>1279</v>
      </c>
      <c r="F329" s="1351"/>
      <c r="G329" s="1351"/>
      <c r="H329" s="1351"/>
      <c r="I329" s="1307" t="str">
        <f t="shared" si="42"/>
        <v/>
      </c>
      <c r="J329" s="1351"/>
      <c r="K329" s="1351" t="str">
        <f t="shared" si="43"/>
        <v/>
      </c>
      <c r="L329" s="853" t="s">
        <v>225</v>
      </c>
      <c r="M329" s="1351">
        <v>298</v>
      </c>
      <c r="N329" s="1351"/>
      <c r="O329" s="1348"/>
      <c r="P329" s="1348"/>
      <c r="Q329" s="1348"/>
      <c r="R329" s="1348"/>
      <c r="S329" s="1348"/>
      <c r="T329" s="1348"/>
      <c r="U329" s="1348"/>
      <c r="V329" s="1348"/>
      <c r="W329" s="1348"/>
      <c r="X329" s="1348"/>
      <c r="Y329" s="1348"/>
      <c r="Z329" s="1348"/>
    </row>
    <row r="330" spans="1:26" x14ac:dyDescent="0.25">
      <c r="A330" s="874" t="s">
        <v>463</v>
      </c>
      <c r="B330" s="1307" t="str">
        <f ca="1">_xlfn.CONCAT(IFERROR(SUBSTITUTE(ADDRESS(1,MATCH(A330,INDIRECT("'"&amp;E330&amp;"'"&amp;"!A9:Z9"),0),4),1,""),""),14)</f>
        <v>E14</v>
      </c>
      <c r="C330" s="1307" t="str">
        <f ca="1">_xlfn.CONCAT(IFERROR(SUBSTITUTE(ADDRESS(1,MATCH(A330,INDIRECT("'"&amp;E330&amp;"'"&amp;"!A9:Z9"),0),4),1,""),""))</f>
        <v>E</v>
      </c>
      <c r="D330" s="1351" t="s">
        <v>1357</v>
      </c>
      <c r="E330" s="817" t="s">
        <v>208</v>
      </c>
      <c r="F330" s="1351"/>
      <c r="G330" s="1351"/>
      <c r="H330" s="1351"/>
      <c r="I330" s="1307" t="str">
        <f t="shared" si="42"/>
        <v>Exclude PIM Classes Below</v>
      </c>
      <c r="J330" s="1351" t="str">
        <f t="shared" ref="J330:J385" si="44">IF(M330&lt;&gt;"",Q$1&amp;M330,"")</f>
        <v>F299</v>
      </c>
      <c r="K330" s="1351" t="str">
        <f t="shared" si="43"/>
        <v>PIM Model</v>
      </c>
      <c r="L330" s="853" t="s">
        <v>463</v>
      </c>
      <c r="M330" s="1351">
        <v>299</v>
      </c>
      <c r="N330" s="1351"/>
      <c r="O330" s="1348"/>
      <c r="P330" s="1348"/>
      <c r="Q330" s="1348"/>
      <c r="R330" s="1348"/>
      <c r="S330" s="1348"/>
      <c r="T330" s="1348"/>
      <c r="U330" s="1348"/>
      <c r="V330" s="1348"/>
      <c r="W330" s="1348"/>
      <c r="X330" s="1348"/>
      <c r="Y330" s="1348"/>
      <c r="Z330" s="1348"/>
    </row>
    <row r="331" spans="1:26" x14ac:dyDescent="0.25">
      <c r="A331" s="874"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7" t="s">
        <v>1357</v>
      </c>
      <c r="E331" s="817" t="s">
        <v>1279</v>
      </c>
      <c r="F331" s="1351"/>
      <c r="G331" s="1351"/>
      <c r="H331" s="1351"/>
      <c r="I331" s="1307" t="str">
        <f t="shared" si="42"/>
        <v>Special Pricing Code</v>
      </c>
      <c r="J331" s="1351" t="str">
        <f t="shared" si="44"/>
        <v>F300</v>
      </c>
      <c r="K331" s="1351" t="str">
        <f t="shared" si="43"/>
        <v>Pricing Schedule</v>
      </c>
      <c r="L331" s="853" t="s">
        <v>1282</v>
      </c>
      <c r="M331" s="1351">
        <v>300</v>
      </c>
      <c r="N331" s="1351"/>
      <c r="O331" s="1348"/>
      <c r="P331" s="1348"/>
      <c r="Q331" s="1348"/>
      <c r="R331" s="1348"/>
      <c r="S331" s="1348"/>
      <c r="T331" s="1348"/>
      <c r="U331" s="1348"/>
      <c r="V331" s="1348"/>
      <c r="W331" s="1348"/>
      <c r="X331" s="1348"/>
      <c r="Y331" s="1348"/>
      <c r="Z331" s="1348"/>
    </row>
    <row r="332" spans="1:26" x14ac:dyDescent="0.25">
      <c r="A332" s="874"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7" t="s">
        <v>1357</v>
      </c>
      <c r="E332" s="817" t="s">
        <v>1279</v>
      </c>
      <c r="F332" s="1130"/>
      <c r="G332" s="1351"/>
      <c r="H332" s="1351"/>
      <c r="I332" s="1307" t="str">
        <f t="shared" si="42"/>
        <v>EB Markup Amt</v>
      </c>
      <c r="J332" s="1351" t="str">
        <f t="shared" si="44"/>
        <v>F301</v>
      </c>
      <c r="K332" s="1351" t="str">
        <f t="shared" si="43"/>
        <v>Pricing Schedule</v>
      </c>
      <c r="L332" s="853" t="s">
        <v>1284</v>
      </c>
      <c r="M332" s="1351">
        <v>301</v>
      </c>
      <c r="N332" s="1351"/>
      <c r="O332" s="1348"/>
      <c r="P332" s="1348"/>
      <c r="Q332" s="1348"/>
      <c r="R332" s="1348"/>
      <c r="S332" s="1348"/>
      <c r="T332" s="1348"/>
      <c r="U332" s="1348"/>
      <c r="V332" s="1348"/>
      <c r="W332" s="1348"/>
      <c r="X332" s="1348"/>
      <c r="Y332" s="1348"/>
      <c r="Z332" s="1348"/>
    </row>
    <row r="333" spans="1:26" x14ac:dyDescent="0.25">
      <c r="A333" s="874"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7" t="s">
        <v>1357</v>
      </c>
      <c r="E333" s="817" t="s">
        <v>1279</v>
      </c>
      <c r="F333" s="1130"/>
      <c r="G333" s="1351"/>
      <c r="H333" s="1351"/>
      <c r="I333" s="1307" t="str">
        <f t="shared" si="42"/>
        <v>Min CS Markup Override Flag</v>
      </c>
      <c r="J333" s="1351" t="str">
        <f t="shared" si="44"/>
        <v>F302</v>
      </c>
      <c r="K333" s="1351" t="str">
        <f t="shared" si="43"/>
        <v>Pricing Schedule</v>
      </c>
      <c r="L333" s="853" t="s">
        <v>1285</v>
      </c>
      <c r="M333" s="1351">
        <v>302</v>
      </c>
      <c r="N333" s="1351"/>
      <c r="O333" s="1348"/>
      <c r="P333" s="1348"/>
      <c r="Q333" s="1348"/>
      <c r="R333" s="1348"/>
      <c r="S333" s="1348"/>
      <c r="T333" s="1348"/>
      <c r="U333" s="1348"/>
      <c r="V333" s="1348"/>
      <c r="W333" s="1348"/>
      <c r="X333" s="1348"/>
      <c r="Y333" s="1348"/>
      <c r="Z333" s="1348"/>
    </row>
    <row r="334" spans="1:26" x14ac:dyDescent="0.25">
      <c r="A334" s="874"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7" t="s">
        <v>1357</v>
      </c>
      <c r="E334" s="817" t="s">
        <v>1279</v>
      </c>
      <c r="F334" s="1130"/>
      <c r="G334" s="1351"/>
      <c r="H334" s="1351"/>
      <c r="I334" s="1307" t="str">
        <f t="shared" si="42"/>
        <v>Min CS Markup Amt</v>
      </c>
      <c r="J334" s="1351" t="str">
        <f t="shared" si="44"/>
        <v>F303</v>
      </c>
      <c r="K334" s="1351" t="str">
        <f t="shared" si="43"/>
        <v>Pricing Schedule</v>
      </c>
      <c r="L334" s="853" t="s">
        <v>1286</v>
      </c>
      <c r="M334" s="1351">
        <v>303</v>
      </c>
      <c r="N334" s="1351"/>
      <c r="O334" s="1348"/>
      <c r="P334" s="1348"/>
      <c r="Q334" s="1348"/>
      <c r="R334" s="1348"/>
      <c r="S334" s="1348"/>
      <c r="T334" s="1348"/>
      <c r="U334" s="1348"/>
      <c r="V334" s="1348"/>
      <c r="W334" s="1348"/>
      <c r="X334" s="1348"/>
      <c r="Y334" s="1348"/>
      <c r="Z334" s="1348"/>
    </row>
    <row r="335" spans="1:26" x14ac:dyDescent="0.25">
      <c r="A335" s="874"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7" t="s">
        <v>1357</v>
      </c>
      <c r="E335" s="817" t="s">
        <v>1279</v>
      </c>
      <c r="F335" s="1130"/>
      <c r="G335" s="1351"/>
      <c r="H335" s="1351"/>
      <c r="I335" s="1307" t="str">
        <f t="shared" si="42"/>
        <v>Split Case Fee Override Flag</v>
      </c>
      <c r="J335" s="1351" t="str">
        <f t="shared" si="44"/>
        <v>F304</v>
      </c>
      <c r="K335" s="1351" t="str">
        <f t="shared" si="43"/>
        <v>Pricing Schedule</v>
      </c>
      <c r="L335" s="853" t="s">
        <v>1287</v>
      </c>
      <c r="M335" s="1351">
        <v>304</v>
      </c>
      <c r="N335" s="1351"/>
      <c r="O335" s="1348"/>
      <c r="P335" s="1348"/>
      <c r="Q335" s="1348"/>
      <c r="R335" s="1348"/>
      <c r="S335" s="1348"/>
      <c r="T335" s="1348"/>
      <c r="U335" s="1348"/>
      <c r="V335" s="1348"/>
      <c r="W335" s="1348"/>
      <c r="X335" s="1348"/>
      <c r="Y335" s="1348"/>
      <c r="Z335" s="1348"/>
    </row>
    <row r="336" spans="1:26" x14ac:dyDescent="0.25">
      <c r="A336" s="874"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7" t="s">
        <v>1357</v>
      </c>
      <c r="E336" s="817" t="s">
        <v>1279</v>
      </c>
      <c r="F336" s="1130"/>
      <c r="G336" s="1351"/>
      <c r="H336" s="1351"/>
      <c r="I336" s="1307" t="str">
        <f t="shared" si="42"/>
        <v>Split Case Fee</v>
      </c>
      <c r="J336" s="1351" t="str">
        <f t="shared" si="44"/>
        <v>F305</v>
      </c>
      <c r="K336" s="1351" t="str">
        <f t="shared" si="43"/>
        <v>Pricing Schedule</v>
      </c>
      <c r="L336" s="853" t="s">
        <v>1288</v>
      </c>
      <c r="M336" s="1351">
        <v>305</v>
      </c>
      <c r="N336" s="1351"/>
      <c r="O336" s="1348"/>
      <c r="P336" s="1348"/>
      <c r="Q336" s="1348"/>
      <c r="R336" s="1348"/>
      <c r="S336" s="1348"/>
      <c r="T336" s="1348"/>
      <c r="U336" s="1348"/>
      <c r="V336" s="1348"/>
      <c r="W336" s="1348"/>
      <c r="X336" s="1348"/>
      <c r="Y336" s="1348"/>
      <c r="Z336" s="1348"/>
    </row>
    <row r="337" spans="1:26" x14ac:dyDescent="0.25">
      <c r="A337" s="874"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7" t="s">
        <v>1357</v>
      </c>
      <c r="E337" s="817" t="s">
        <v>1279</v>
      </c>
      <c r="F337" s="1130"/>
      <c r="G337" s="1351"/>
      <c r="H337" s="1351"/>
      <c r="I337" s="1307" t="str">
        <f t="shared" si="42"/>
        <v>Split Case Per</v>
      </c>
      <c r="J337" s="1351" t="str">
        <f t="shared" si="44"/>
        <v>F306</v>
      </c>
      <c r="K337" s="1351" t="str">
        <f t="shared" si="43"/>
        <v>Pricing Schedule</v>
      </c>
      <c r="L337" s="853" t="s">
        <v>1228</v>
      </c>
      <c r="M337" s="1351">
        <v>306</v>
      </c>
      <c r="N337" s="1351"/>
      <c r="O337" s="1348"/>
      <c r="P337" s="1348"/>
      <c r="Q337" s="1348"/>
      <c r="R337" s="1348"/>
      <c r="S337" s="1348"/>
      <c r="T337" s="1348"/>
      <c r="U337" s="1348"/>
      <c r="V337" s="1348"/>
      <c r="W337" s="1348"/>
      <c r="X337" s="1348"/>
      <c r="Y337" s="1348"/>
      <c r="Z337" s="1348"/>
    </row>
    <row r="338" spans="1:26" x14ac:dyDescent="0.25">
      <c r="A338" s="875"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7" t="s">
        <v>1357</v>
      </c>
      <c r="E338" s="817" t="s">
        <v>1279</v>
      </c>
      <c r="F338" s="1351"/>
      <c r="G338" s="1351"/>
      <c r="H338" s="1351"/>
      <c r="I338" s="1307" t="str">
        <f t="shared" si="42"/>
        <v/>
      </c>
      <c r="J338" s="1351"/>
      <c r="K338" s="1351" t="str">
        <f t="shared" si="43"/>
        <v/>
      </c>
      <c r="L338" s="853" t="s">
        <v>1289</v>
      </c>
      <c r="M338" s="1351">
        <v>307</v>
      </c>
      <c r="N338" s="1351"/>
      <c r="O338" s="1348"/>
      <c r="P338" s="1348"/>
      <c r="Q338" s="1348"/>
      <c r="R338" s="1348"/>
      <c r="S338" s="1348"/>
      <c r="T338" s="1348"/>
      <c r="U338" s="1348"/>
      <c r="V338" s="1348"/>
      <c r="W338" s="1348"/>
      <c r="X338" s="1348"/>
      <c r="Y338" s="1348"/>
      <c r="Z338" s="1348"/>
    </row>
    <row r="339" spans="1:26" x14ac:dyDescent="0.25">
      <c r="A339" s="876"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7" t="s">
        <v>1357</v>
      </c>
      <c r="E339" s="817" t="s">
        <v>1279</v>
      </c>
      <c r="F339" s="1351"/>
      <c r="G339" s="1351"/>
      <c r="H339" s="1351"/>
      <c r="I339" s="1307" t="str">
        <f t="shared" si="42"/>
        <v/>
      </c>
      <c r="J339" s="1351"/>
      <c r="K339" s="1351" t="str">
        <f t="shared" si="43"/>
        <v/>
      </c>
      <c r="L339" s="853" t="s">
        <v>252</v>
      </c>
      <c r="M339" s="1351">
        <v>308</v>
      </c>
      <c r="N339" s="1351"/>
      <c r="O339" s="1348"/>
      <c r="P339" s="1348"/>
      <c r="Q339" s="1348"/>
      <c r="R339" s="1348"/>
      <c r="S339" s="1348"/>
      <c r="T339" s="1348"/>
      <c r="U339" s="1348"/>
      <c r="V339" s="1348"/>
      <c r="W339" s="1348"/>
      <c r="X339" s="1348"/>
      <c r="Y339" s="1348"/>
      <c r="Z339" s="1348"/>
    </row>
    <row r="340" spans="1:26" x14ac:dyDescent="0.25">
      <c r="A340" s="876"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7" t="s">
        <v>1357</v>
      </c>
      <c r="E340" s="817" t="s">
        <v>1279</v>
      </c>
      <c r="F340" s="1351"/>
      <c r="G340" s="1351"/>
      <c r="H340" s="1351"/>
      <c r="I340" s="1307" t="str">
        <f t="shared" si="42"/>
        <v/>
      </c>
      <c r="J340" s="1351"/>
      <c r="K340" s="1351" t="str">
        <f t="shared" si="43"/>
        <v/>
      </c>
      <c r="L340" s="853" t="s">
        <v>1246</v>
      </c>
      <c r="M340" s="1351">
        <v>309</v>
      </c>
      <c r="N340" s="1351"/>
      <c r="O340" s="1348"/>
      <c r="P340" s="1348"/>
      <c r="Q340" s="1348"/>
      <c r="R340" s="1348"/>
      <c r="S340" s="1348"/>
      <c r="T340" s="1348"/>
      <c r="U340" s="1348"/>
      <c r="V340" s="1348"/>
      <c r="W340" s="1348"/>
      <c r="X340" s="1348"/>
      <c r="Y340" s="1348"/>
      <c r="Z340" s="1348"/>
    </row>
    <row r="341" spans="1:26" x14ac:dyDescent="0.25">
      <c r="A341" s="876"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7" t="s">
        <v>1357</v>
      </c>
      <c r="E341" s="817" t="s">
        <v>1279</v>
      </c>
      <c r="F341" s="1351"/>
      <c r="G341" s="1351"/>
      <c r="H341" s="1351"/>
      <c r="I341" s="1307" t="str">
        <f t="shared" si="42"/>
        <v/>
      </c>
      <c r="J341" s="1351"/>
      <c r="K341" s="1351" t="str">
        <f t="shared" si="43"/>
        <v/>
      </c>
      <c r="L341" s="853" t="s">
        <v>225</v>
      </c>
      <c r="M341" s="1351">
        <v>310</v>
      </c>
      <c r="N341" s="1351"/>
      <c r="O341" s="1348"/>
      <c r="P341" s="1348"/>
      <c r="Q341" s="1348"/>
      <c r="R341" s="1348"/>
      <c r="S341" s="1348"/>
      <c r="T341" s="1348"/>
      <c r="U341" s="1348"/>
      <c r="V341" s="1348"/>
      <c r="W341" s="1348"/>
      <c r="X341" s="1348"/>
      <c r="Y341" s="1348"/>
      <c r="Z341" s="1348"/>
    </row>
    <row r="342" spans="1:26" x14ac:dyDescent="0.25">
      <c r="A342" s="877" t="s">
        <v>463</v>
      </c>
      <c r="B342" s="1307" t="str">
        <f ca="1">_xlfn.CONCAT(IFERROR(SUBSTITUTE(ADDRESS(1,MATCH(A342,INDIRECT("'"&amp;E342&amp;"'"&amp;"!A9:Z9"),0),4),1,""),""),15)</f>
        <v>E15</v>
      </c>
      <c r="C342" s="1307" t="str">
        <f ca="1">_xlfn.CONCAT(IFERROR(SUBSTITUTE(ADDRESS(1,MATCH(A342,INDIRECT("'"&amp;E342&amp;"'"&amp;"!A9:Z9"),0),4),1,""),""))</f>
        <v>E</v>
      </c>
      <c r="D342" s="1351" t="s">
        <v>1357</v>
      </c>
      <c r="E342" s="817" t="s">
        <v>208</v>
      </c>
      <c r="F342" s="1351"/>
      <c r="G342" s="1351"/>
      <c r="H342" s="1351"/>
      <c r="I342" s="1307" t="str">
        <f t="shared" si="42"/>
        <v>Exclude PIM Classes Below</v>
      </c>
      <c r="J342" s="1351" t="str">
        <f t="shared" si="44"/>
        <v>F311</v>
      </c>
      <c r="K342" s="1351" t="str">
        <f t="shared" si="43"/>
        <v>PIM Model</v>
      </c>
      <c r="L342" s="853" t="s">
        <v>463</v>
      </c>
      <c r="M342" s="1351">
        <v>311</v>
      </c>
      <c r="N342" s="1351"/>
      <c r="O342" s="1348"/>
      <c r="P342" s="1348"/>
      <c r="Q342" s="1348"/>
      <c r="R342" s="1348"/>
      <c r="S342" s="1348"/>
      <c r="T342" s="1348"/>
      <c r="U342" s="1348"/>
      <c r="V342" s="1348"/>
      <c r="W342" s="1348"/>
      <c r="X342" s="1348"/>
      <c r="Y342" s="1348"/>
      <c r="Z342" s="1348"/>
    </row>
    <row r="343" spans="1:26" x14ac:dyDescent="0.25">
      <c r="A343" s="877"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7" t="s">
        <v>1357</v>
      </c>
      <c r="E343" s="817" t="s">
        <v>1279</v>
      </c>
      <c r="F343" s="1351"/>
      <c r="G343" s="1351"/>
      <c r="H343" s="1351"/>
      <c r="I343" s="1307" t="str">
        <f t="shared" si="42"/>
        <v>Special Pricing Code</v>
      </c>
      <c r="J343" s="1351" t="str">
        <f t="shared" si="44"/>
        <v>F312</v>
      </c>
      <c r="K343" s="1351" t="str">
        <f t="shared" si="43"/>
        <v>Pricing Schedule</v>
      </c>
      <c r="L343" s="853" t="s">
        <v>1282</v>
      </c>
      <c r="M343" s="1351">
        <v>312</v>
      </c>
      <c r="N343" s="1351"/>
      <c r="O343" s="1348"/>
      <c r="P343" s="1348"/>
      <c r="Q343" s="1348"/>
      <c r="R343" s="1348"/>
      <c r="S343" s="1348"/>
      <c r="T343" s="1348"/>
      <c r="U343" s="1348"/>
      <c r="V343" s="1348"/>
      <c r="W343" s="1348"/>
      <c r="X343" s="1348"/>
      <c r="Y343" s="1348"/>
      <c r="Z343" s="1348"/>
    </row>
    <row r="344" spans="1:26" x14ac:dyDescent="0.25">
      <c r="A344" s="877"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7" t="s">
        <v>1357</v>
      </c>
      <c r="E344" s="817" t="s">
        <v>1279</v>
      </c>
      <c r="F344" s="1130"/>
      <c r="G344" s="1351"/>
      <c r="H344" s="1351"/>
      <c r="I344" s="1307" t="str">
        <f t="shared" si="42"/>
        <v>EB Markup Amt</v>
      </c>
      <c r="J344" s="1351" t="str">
        <f t="shared" si="44"/>
        <v>F313</v>
      </c>
      <c r="K344" s="1351" t="str">
        <f t="shared" si="43"/>
        <v>Pricing Schedule</v>
      </c>
      <c r="L344" s="853" t="s">
        <v>1284</v>
      </c>
      <c r="M344" s="1351">
        <v>313</v>
      </c>
      <c r="N344" s="1351"/>
      <c r="O344" s="1348"/>
      <c r="P344" s="1348"/>
      <c r="Q344" s="1348"/>
      <c r="R344" s="1348"/>
      <c r="S344" s="1348"/>
      <c r="T344" s="1348"/>
      <c r="U344" s="1348"/>
      <c r="V344" s="1348"/>
      <c r="W344" s="1348"/>
      <c r="X344" s="1348"/>
      <c r="Y344" s="1348"/>
      <c r="Z344" s="1348"/>
    </row>
    <row r="345" spans="1:26" x14ac:dyDescent="0.25">
      <c r="A345" s="877"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7" t="s">
        <v>1357</v>
      </c>
      <c r="E345" s="817" t="s">
        <v>1279</v>
      </c>
      <c r="F345" s="1130"/>
      <c r="G345" s="1351"/>
      <c r="H345" s="1351"/>
      <c r="I345" s="1307" t="str">
        <f t="shared" si="42"/>
        <v>Min CS Markup Override Flag</v>
      </c>
      <c r="J345" s="1351" t="str">
        <f t="shared" si="44"/>
        <v>F314</v>
      </c>
      <c r="K345" s="1351" t="str">
        <f t="shared" si="43"/>
        <v>Pricing Schedule</v>
      </c>
      <c r="L345" s="853" t="s">
        <v>1285</v>
      </c>
      <c r="M345" s="1351">
        <v>314</v>
      </c>
      <c r="N345" s="1351"/>
      <c r="O345" s="1348"/>
      <c r="P345" s="1348"/>
      <c r="Q345" s="1348"/>
      <c r="R345" s="1348"/>
      <c r="S345" s="1348"/>
      <c r="T345" s="1348"/>
      <c r="U345" s="1348"/>
      <c r="V345" s="1348"/>
      <c r="W345" s="1348"/>
      <c r="X345" s="1348"/>
      <c r="Y345" s="1348"/>
      <c r="Z345" s="1348"/>
    </row>
    <row r="346" spans="1:26" x14ac:dyDescent="0.25">
      <c r="A346" s="877"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7" t="s">
        <v>1357</v>
      </c>
      <c r="E346" s="817" t="s">
        <v>1279</v>
      </c>
      <c r="F346" s="1130"/>
      <c r="G346" s="1351"/>
      <c r="H346" s="1351"/>
      <c r="I346" s="1307" t="str">
        <f t="shared" si="42"/>
        <v>Min CS Markup Amt</v>
      </c>
      <c r="J346" s="1351" t="str">
        <f t="shared" si="44"/>
        <v>F315</v>
      </c>
      <c r="K346" s="1351" t="str">
        <f t="shared" si="43"/>
        <v>Pricing Schedule</v>
      </c>
      <c r="L346" s="853" t="s">
        <v>1286</v>
      </c>
      <c r="M346" s="1351">
        <v>315</v>
      </c>
      <c r="N346" s="1351"/>
      <c r="O346" s="1348"/>
      <c r="P346" s="1348"/>
      <c r="Q346" s="1348"/>
      <c r="R346" s="1348"/>
      <c r="S346" s="1348"/>
      <c r="T346" s="1348"/>
      <c r="U346" s="1348"/>
      <c r="V346" s="1348"/>
      <c r="W346" s="1348"/>
      <c r="X346" s="1348"/>
      <c r="Y346" s="1348"/>
      <c r="Z346" s="1348"/>
    </row>
    <row r="347" spans="1:26" x14ac:dyDescent="0.25">
      <c r="A347" s="877"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7" t="s">
        <v>1357</v>
      </c>
      <c r="E347" s="817" t="s">
        <v>1279</v>
      </c>
      <c r="F347" s="1130"/>
      <c r="G347" s="1351"/>
      <c r="H347" s="1351"/>
      <c r="I347" s="1307" t="str">
        <f t="shared" si="42"/>
        <v>Split Case Fee Override Flag</v>
      </c>
      <c r="J347" s="1351" t="str">
        <f t="shared" si="44"/>
        <v>F316</v>
      </c>
      <c r="K347" s="1351" t="str">
        <f t="shared" si="43"/>
        <v>Pricing Schedule</v>
      </c>
      <c r="L347" s="853" t="s">
        <v>1287</v>
      </c>
      <c r="M347" s="1351">
        <v>316</v>
      </c>
      <c r="N347" s="1351"/>
      <c r="O347" s="1348"/>
      <c r="P347" s="1348"/>
      <c r="Q347" s="1348"/>
      <c r="R347" s="1348"/>
      <c r="S347" s="1348"/>
      <c r="T347" s="1348"/>
      <c r="U347" s="1348"/>
      <c r="V347" s="1348"/>
      <c r="W347" s="1348"/>
      <c r="X347" s="1348"/>
      <c r="Y347" s="1348"/>
      <c r="Z347" s="1348"/>
    </row>
    <row r="348" spans="1:26" x14ac:dyDescent="0.25">
      <c r="A348" s="877"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7" t="s">
        <v>1357</v>
      </c>
      <c r="E348" s="817" t="s">
        <v>1279</v>
      </c>
      <c r="F348" s="1130"/>
      <c r="G348" s="1351"/>
      <c r="H348" s="1351"/>
      <c r="I348" s="1307" t="str">
        <f t="shared" si="42"/>
        <v>Split Case Fee</v>
      </c>
      <c r="J348" s="1351" t="str">
        <f t="shared" si="44"/>
        <v>F317</v>
      </c>
      <c r="K348" s="1351" t="str">
        <f t="shared" si="43"/>
        <v>Pricing Schedule</v>
      </c>
      <c r="L348" s="853" t="s">
        <v>1288</v>
      </c>
      <c r="M348" s="1351">
        <v>317</v>
      </c>
      <c r="N348" s="1351"/>
      <c r="O348" s="1348"/>
      <c r="P348" s="1348"/>
      <c r="Q348" s="1348"/>
      <c r="R348" s="1348"/>
      <c r="S348" s="1348"/>
      <c r="T348" s="1348"/>
      <c r="U348" s="1348"/>
      <c r="V348" s="1348"/>
      <c r="W348" s="1348"/>
      <c r="X348" s="1348"/>
      <c r="Y348" s="1348"/>
      <c r="Z348" s="1348"/>
    </row>
    <row r="349" spans="1:26" x14ac:dyDescent="0.25">
      <c r="A349" s="877"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7" t="s">
        <v>1357</v>
      </c>
      <c r="E349" s="817" t="s">
        <v>1279</v>
      </c>
      <c r="F349" s="1130"/>
      <c r="G349" s="1351"/>
      <c r="H349" s="1351"/>
      <c r="I349" s="1307" t="str">
        <f t="shared" si="42"/>
        <v>Split Case Per</v>
      </c>
      <c r="J349" s="1351" t="str">
        <f t="shared" si="44"/>
        <v>F318</v>
      </c>
      <c r="K349" s="1351" t="str">
        <f t="shared" si="43"/>
        <v>Pricing Schedule</v>
      </c>
      <c r="L349" s="853" t="s">
        <v>1228</v>
      </c>
      <c r="M349" s="1351">
        <v>318</v>
      </c>
      <c r="N349" s="1351"/>
      <c r="O349" s="1348"/>
      <c r="P349" s="1348"/>
      <c r="Q349" s="1348"/>
      <c r="R349" s="1348"/>
      <c r="S349" s="1348"/>
      <c r="T349" s="1348"/>
      <c r="U349" s="1348"/>
      <c r="V349" s="1348"/>
      <c r="W349" s="1348"/>
      <c r="X349" s="1348"/>
      <c r="Y349" s="1348"/>
      <c r="Z349" s="1348"/>
    </row>
    <row r="350" spans="1:26" x14ac:dyDescent="0.25">
      <c r="A350" s="872"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7" t="s">
        <v>1357</v>
      </c>
      <c r="E350" s="817" t="s">
        <v>1279</v>
      </c>
      <c r="F350" s="1351"/>
      <c r="G350" s="1351"/>
      <c r="H350" s="1351"/>
      <c r="I350" s="1307" t="str">
        <f t="shared" si="42"/>
        <v/>
      </c>
      <c r="J350" s="1351"/>
      <c r="K350" s="1351" t="str">
        <f t="shared" si="43"/>
        <v/>
      </c>
      <c r="L350" s="853" t="s">
        <v>1289</v>
      </c>
      <c r="M350" s="1351">
        <v>319</v>
      </c>
      <c r="N350" s="1351"/>
      <c r="O350" s="1348"/>
      <c r="P350" s="1348"/>
      <c r="Q350" s="1348"/>
      <c r="R350" s="1348"/>
      <c r="S350" s="1348"/>
      <c r="T350" s="1348"/>
      <c r="U350" s="1348"/>
      <c r="V350" s="1348"/>
      <c r="W350" s="1348"/>
      <c r="X350" s="1348"/>
      <c r="Y350" s="1348"/>
      <c r="Z350" s="1348"/>
    </row>
    <row r="351" spans="1:26" x14ac:dyDescent="0.25">
      <c r="A351" s="873"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7" t="s">
        <v>1357</v>
      </c>
      <c r="E351" s="817" t="s">
        <v>1279</v>
      </c>
      <c r="F351" s="1351"/>
      <c r="G351" s="1351"/>
      <c r="H351" s="1351"/>
      <c r="I351" s="1307" t="str">
        <f t="shared" si="42"/>
        <v/>
      </c>
      <c r="J351" s="1351"/>
      <c r="K351" s="1351" t="str">
        <f t="shared" si="43"/>
        <v/>
      </c>
      <c r="L351" s="853" t="s">
        <v>252</v>
      </c>
      <c r="M351" s="1351">
        <v>320</v>
      </c>
      <c r="N351" s="1351"/>
      <c r="O351" s="1348"/>
      <c r="P351" s="1348"/>
      <c r="Q351" s="1348"/>
      <c r="R351" s="1348"/>
      <c r="S351" s="1348"/>
      <c r="T351" s="1348"/>
      <c r="U351" s="1348"/>
      <c r="V351" s="1348"/>
      <c r="W351" s="1348"/>
      <c r="X351" s="1348"/>
      <c r="Y351" s="1348"/>
      <c r="Z351" s="1348"/>
    </row>
    <row r="352" spans="1:26" x14ac:dyDescent="0.25">
      <c r="A352" s="873"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7" t="s">
        <v>1357</v>
      </c>
      <c r="E352" s="817" t="s">
        <v>1279</v>
      </c>
      <c r="F352" s="1351"/>
      <c r="G352" s="1351"/>
      <c r="H352" s="1351"/>
      <c r="I352" s="1307" t="str">
        <f t="shared" si="42"/>
        <v/>
      </c>
      <c r="J352" s="1351"/>
      <c r="K352" s="1351" t="str">
        <f t="shared" si="43"/>
        <v/>
      </c>
      <c r="L352" s="853" t="s">
        <v>1246</v>
      </c>
      <c r="M352" s="1351">
        <v>321</v>
      </c>
      <c r="N352" s="1351"/>
      <c r="O352" s="1348"/>
      <c r="P352" s="1348"/>
      <c r="Q352" s="1348"/>
      <c r="R352" s="1348"/>
      <c r="S352" s="1348"/>
      <c r="T352" s="1348"/>
      <c r="U352" s="1348"/>
      <c r="V352" s="1348"/>
      <c r="W352" s="1348"/>
      <c r="X352" s="1348"/>
      <c r="Y352" s="1348"/>
      <c r="Z352" s="1348"/>
    </row>
    <row r="353" spans="1:26" x14ac:dyDescent="0.25">
      <c r="A353" s="873"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7" t="s">
        <v>1357</v>
      </c>
      <c r="E353" s="817" t="s">
        <v>1279</v>
      </c>
      <c r="F353" s="1351"/>
      <c r="G353" s="1351"/>
      <c r="H353" s="1351"/>
      <c r="I353" s="1307" t="str">
        <f t="shared" si="42"/>
        <v/>
      </c>
      <c r="J353" s="1351"/>
      <c r="K353" s="1351" t="str">
        <f t="shared" si="43"/>
        <v/>
      </c>
      <c r="L353" s="853" t="s">
        <v>225</v>
      </c>
      <c r="M353" s="1351">
        <v>322</v>
      </c>
      <c r="N353" s="1351"/>
      <c r="O353" s="1348"/>
      <c r="P353" s="1348"/>
      <c r="Q353" s="1348"/>
      <c r="R353" s="1348"/>
      <c r="S353" s="1348"/>
      <c r="T353" s="1348"/>
      <c r="U353" s="1348"/>
      <c r="V353" s="1348"/>
      <c r="W353" s="1348"/>
      <c r="X353" s="1348"/>
      <c r="Y353" s="1348"/>
      <c r="Z353" s="1348"/>
    </row>
    <row r="354" spans="1:26" x14ac:dyDescent="0.25">
      <c r="A354" s="874" t="s">
        <v>463</v>
      </c>
      <c r="B354" s="1307" t="str">
        <f ca="1">_xlfn.CONCAT(IFERROR(SUBSTITUTE(ADDRESS(1,MATCH(A354,INDIRECT("'"&amp;E354&amp;"'"&amp;"!A9:Z9"),0),4),1,""),""),16)</f>
        <v>E16</v>
      </c>
      <c r="C354" s="1307" t="str">
        <f ca="1">_xlfn.CONCAT(IFERROR(SUBSTITUTE(ADDRESS(1,MATCH(A354,INDIRECT("'"&amp;E354&amp;"'"&amp;"!A9:Z9"),0),4),1,""),""))</f>
        <v>E</v>
      </c>
      <c r="D354" s="1351" t="s">
        <v>1357</v>
      </c>
      <c r="E354" s="817" t="s">
        <v>208</v>
      </c>
      <c r="F354" s="1351"/>
      <c r="G354" s="1351"/>
      <c r="H354" s="1351"/>
      <c r="I354" s="1307" t="str">
        <f t="shared" si="42"/>
        <v>Exclude PIM Classes Below</v>
      </c>
      <c r="J354" s="1351" t="str">
        <f t="shared" si="44"/>
        <v>F323</v>
      </c>
      <c r="K354" s="1351" t="str">
        <f t="shared" si="43"/>
        <v>PIM Model</v>
      </c>
      <c r="L354" s="853" t="s">
        <v>463</v>
      </c>
      <c r="M354" s="1351">
        <v>323</v>
      </c>
      <c r="N354" s="1351"/>
      <c r="O354" s="1348"/>
      <c r="P354" s="1348"/>
      <c r="Q354" s="1348"/>
      <c r="R354" s="1348"/>
      <c r="S354" s="1348"/>
      <c r="T354" s="1348"/>
      <c r="U354" s="1348"/>
      <c r="V354" s="1348"/>
      <c r="W354" s="1348"/>
      <c r="X354" s="1348"/>
      <c r="Y354" s="1348"/>
      <c r="Z354" s="1348"/>
    </row>
    <row r="355" spans="1:26" x14ac:dyDescent="0.25">
      <c r="A355" s="874"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7" t="s">
        <v>1357</v>
      </c>
      <c r="E355" s="817" t="s">
        <v>1279</v>
      </c>
      <c r="F355" s="1351"/>
      <c r="G355" s="1351"/>
      <c r="H355" s="1351"/>
      <c r="I355" s="1307" t="str">
        <f t="shared" si="42"/>
        <v>Special Pricing Code</v>
      </c>
      <c r="J355" s="1351" t="str">
        <f t="shared" si="44"/>
        <v>F324</v>
      </c>
      <c r="K355" s="1351" t="str">
        <f t="shared" si="43"/>
        <v>Pricing Schedule</v>
      </c>
      <c r="L355" s="853" t="s">
        <v>1282</v>
      </c>
      <c r="M355" s="1351">
        <v>324</v>
      </c>
      <c r="N355" s="1351"/>
      <c r="O355" s="1348"/>
      <c r="P355" s="1348"/>
      <c r="Q355" s="1348"/>
      <c r="R355" s="1348"/>
      <c r="S355" s="1348"/>
      <c r="T355" s="1348"/>
      <c r="U355" s="1348"/>
      <c r="V355" s="1348"/>
      <c r="W355" s="1348"/>
      <c r="X355" s="1348"/>
      <c r="Y355" s="1348"/>
      <c r="Z355" s="1348"/>
    </row>
    <row r="356" spans="1:26" x14ac:dyDescent="0.25">
      <c r="A356" s="874"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7" t="s">
        <v>1357</v>
      </c>
      <c r="E356" s="817" t="s">
        <v>1279</v>
      </c>
      <c r="F356" s="1130"/>
      <c r="G356" s="1351"/>
      <c r="H356" s="1351"/>
      <c r="I356" s="1307" t="str">
        <f t="shared" si="42"/>
        <v>EB Markup Amt</v>
      </c>
      <c r="J356" s="1351" t="str">
        <f t="shared" si="44"/>
        <v>F325</v>
      </c>
      <c r="K356" s="1351" t="str">
        <f t="shared" si="43"/>
        <v>Pricing Schedule</v>
      </c>
      <c r="L356" s="853" t="s">
        <v>1284</v>
      </c>
      <c r="M356" s="1351">
        <v>325</v>
      </c>
      <c r="N356" s="1351"/>
      <c r="O356" s="1348"/>
      <c r="P356" s="1348"/>
      <c r="Q356" s="1348"/>
      <c r="R356" s="1348"/>
      <c r="S356" s="1348"/>
      <c r="T356" s="1348"/>
      <c r="U356" s="1348"/>
      <c r="V356" s="1348"/>
      <c r="W356" s="1348"/>
      <c r="X356" s="1348"/>
      <c r="Y356" s="1348"/>
      <c r="Z356" s="1348"/>
    </row>
    <row r="357" spans="1:26" x14ac:dyDescent="0.25">
      <c r="A357" s="874"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7" t="s">
        <v>1357</v>
      </c>
      <c r="E357" s="817" t="s">
        <v>1279</v>
      </c>
      <c r="F357" s="1130"/>
      <c r="G357" s="1351"/>
      <c r="H357" s="1351"/>
      <c r="I357" s="1307" t="str">
        <f t="shared" si="42"/>
        <v>Min CS Markup Override Flag</v>
      </c>
      <c r="J357" s="1351" t="str">
        <f t="shared" si="44"/>
        <v>F326</v>
      </c>
      <c r="K357" s="1351" t="str">
        <f t="shared" si="43"/>
        <v>Pricing Schedule</v>
      </c>
      <c r="L357" s="853" t="s">
        <v>1285</v>
      </c>
      <c r="M357" s="1351">
        <v>326</v>
      </c>
      <c r="N357" s="1351"/>
      <c r="O357" s="1348"/>
      <c r="P357" s="1348"/>
      <c r="Q357" s="1348"/>
      <c r="R357" s="1348"/>
      <c r="S357" s="1348"/>
      <c r="T357" s="1348"/>
      <c r="U357" s="1348"/>
      <c r="V357" s="1348"/>
      <c r="W357" s="1348"/>
      <c r="X357" s="1348"/>
      <c r="Y357" s="1348"/>
      <c r="Z357" s="1348"/>
    </row>
    <row r="358" spans="1:26" x14ac:dyDescent="0.25">
      <c r="A358" s="874"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7" t="s">
        <v>1357</v>
      </c>
      <c r="E358" s="817" t="s">
        <v>1279</v>
      </c>
      <c r="F358" s="1130"/>
      <c r="G358" s="1351"/>
      <c r="H358" s="1351"/>
      <c r="I358" s="1307" t="str">
        <f t="shared" si="42"/>
        <v>Min CS Markup Amt</v>
      </c>
      <c r="J358" s="1351" t="str">
        <f t="shared" si="44"/>
        <v>F327</v>
      </c>
      <c r="K358" s="1351" t="str">
        <f t="shared" si="43"/>
        <v>Pricing Schedule</v>
      </c>
      <c r="L358" s="853" t="s">
        <v>1286</v>
      </c>
      <c r="M358" s="1351">
        <v>327</v>
      </c>
      <c r="N358" s="1351"/>
      <c r="O358" s="1348"/>
      <c r="P358" s="1348"/>
      <c r="Q358" s="1348"/>
      <c r="R358" s="1348"/>
      <c r="S358" s="1348"/>
      <c r="T358" s="1348"/>
      <c r="U358" s="1348"/>
      <c r="V358" s="1348"/>
      <c r="W358" s="1348"/>
      <c r="X358" s="1348"/>
      <c r="Y358" s="1348"/>
      <c r="Z358" s="1348"/>
    </row>
    <row r="359" spans="1:26" x14ac:dyDescent="0.25">
      <c r="A359" s="874"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7" t="s">
        <v>1357</v>
      </c>
      <c r="E359" s="817" t="s">
        <v>1279</v>
      </c>
      <c r="F359" s="1130"/>
      <c r="G359" s="1351"/>
      <c r="H359" s="1351"/>
      <c r="I359" s="1307" t="str">
        <f t="shared" si="42"/>
        <v>Split Case Fee Override Flag</v>
      </c>
      <c r="J359" s="1351" t="str">
        <f t="shared" si="44"/>
        <v>F328</v>
      </c>
      <c r="K359" s="1351" t="str">
        <f t="shared" si="43"/>
        <v>Pricing Schedule</v>
      </c>
      <c r="L359" s="853" t="s">
        <v>1287</v>
      </c>
      <c r="M359" s="1351">
        <v>328</v>
      </c>
      <c r="N359" s="1351"/>
      <c r="O359" s="1348"/>
      <c r="P359" s="1348"/>
      <c r="Q359" s="1348"/>
      <c r="R359" s="1348"/>
      <c r="S359" s="1348"/>
      <c r="T359" s="1348"/>
      <c r="U359" s="1348"/>
      <c r="V359" s="1348"/>
      <c r="W359" s="1348"/>
      <c r="X359" s="1348"/>
      <c r="Y359" s="1348"/>
      <c r="Z359" s="1348"/>
    </row>
    <row r="360" spans="1:26" x14ac:dyDescent="0.25">
      <c r="A360" s="874"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7" t="s">
        <v>1357</v>
      </c>
      <c r="E360" s="817" t="s">
        <v>1279</v>
      </c>
      <c r="F360" s="1130"/>
      <c r="G360" s="1351"/>
      <c r="H360" s="1351"/>
      <c r="I360" s="1307" t="str">
        <f t="shared" si="42"/>
        <v>Split Case Fee</v>
      </c>
      <c r="J360" s="1351" t="str">
        <f t="shared" si="44"/>
        <v>F329</v>
      </c>
      <c r="K360" s="1351" t="str">
        <f t="shared" si="43"/>
        <v>Pricing Schedule</v>
      </c>
      <c r="L360" s="853" t="s">
        <v>1288</v>
      </c>
      <c r="M360" s="1351">
        <v>329</v>
      </c>
      <c r="N360" s="1351"/>
      <c r="O360" s="1348"/>
      <c r="P360" s="1348"/>
      <c r="Q360" s="1348"/>
      <c r="R360" s="1348"/>
      <c r="S360" s="1348"/>
      <c r="T360" s="1348"/>
      <c r="U360" s="1348"/>
      <c r="V360" s="1348"/>
      <c r="W360" s="1348"/>
      <c r="X360" s="1348"/>
      <c r="Y360" s="1348"/>
      <c r="Z360" s="1348"/>
    </row>
    <row r="361" spans="1:26" x14ac:dyDescent="0.25">
      <c r="A361" s="874"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7" t="s">
        <v>1357</v>
      </c>
      <c r="E361" s="817" t="s">
        <v>1279</v>
      </c>
      <c r="F361" s="1130"/>
      <c r="G361" s="1351"/>
      <c r="H361" s="1351"/>
      <c r="I361" s="1307" t="str">
        <f t="shared" si="42"/>
        <v>Split Case Per</v>
      </c>
      <c r="J361" s="1351" t="str">
        <f t="shared" si="44"/>
        <v>F330</v>
      </c>
      <c r="K361" s="1351" t="str">
        <f t="shared" si="43"/>
        <v>Pricing Schedule</v>
      </c>
      <c r="L361" s="853" t="s">
        <v>1228</v>
      </c>
      <c r="M361" s="1351">
        <v>330</v>
      </c>
      <c r="N361" s="1351"/>
      <c r="O361" s="1348"/>
      <c r="P361" s="1348"/>
      <c r="Q361" s="1348"/>
      <c r="R361" s="1348"/>
      <c r="S361" s="1348"/>
      <c r="T361" s="1348"/>
      <c r="U361" s="1348"/>
      <c r="V361" s="1348"/>
      <c r="W361" s="1348"/>
      <c r="X361" s="1348"/>
      <c r="Y361" s="1348"/>
      <c r="Z361" s="1348"/>
    </row>
    <row r="362" spans="1:26" x14ac:dyDescent="0.25">
      <c r="A362" s="875"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7" t="s">
        <v>1357</v>
      </c>
      <c r="E362" s="817" t="s">
        <v>1279</v>
      </c>
      <c r="F362" s="1351"/>
      <c r="G362" s="1351"/>
      <c r="H362" s="1351"/>
      <c r="I362" s="1307" t="str">
        <f t="shared" si="42"/>
        <v/>
      </c>
      <c r="J362" s="1351"/>
      <c r="K362" s="1351" t="str">
        <f t="shared" si="43"/>
        <v/>
      </c>
      <c r="L362" s="853" t="s">
        <v>1289</v>
      </c>
      <c r="M362" s="1351">
        <v>331</v>
      </c>
      <c r="N362" s="1351"/>
      <c r="O362" s="1348"/>
      <c r="P362" s="1348"/>
      <c r="Q362" s="1348"/>
      <c r="R362" s="1348"/>
      <c r="S362" s="1348"/>
      <c r="T362" s="1348"/>
      <c r="U362" s="1348"/>
      <c r="V362" s="1348"/>
      <c r="W362" s="1348"/>
      <c r="X362" s="1348"/>
      <c r="Y362" s="1348"/>
      <c r="Z362" s="1348"/>
    </row>
    <row r="363" spans="1:26" x14ac:dyDescent="0.25">
      <c r="A363" s="876"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7" t="s">
        <v>1357</v>
      </c>
      <c r="E363" s="817" t="s">
        <v>1279</v>
      </c>
      <c r="F363" s="1351"/>
      <c r="G363" s="1351"/>
      <c r="H363" s="1351"/>
      <c r="I363" s="1307" t="str">
        <f t="shared" si="42"/>
        <v/>
      </c>
      <c r="J363" s="1351"/>
      <c r="K363" s="1351" t="str">
        <f t="shared" si="43"/>
        <v/>
      </c>
      <c r="L363" s="853" t="s">
        <v>252</v>
      </c>
      <c r="M363" s="1351">
        <v>332</v>
      </c>
      <c r="N363" s="1351"/>
      <c r="O363" s="1348"/>
      <c r="P363" s="1348"/>
      <c r="Q363" s="1348"/>
      <c r="R363" s="1348"/>
      <c r="S363" s="1348"/>
      <c r="T363" s="1348"/>
      <c r="U363" s="1348"/>
      <c r="V363" s="1348"/>
      <c r="W363" s="1348"/>
      <c r="X363" s="1348"/>
      <c r="Y363" s="1348"/>
      <c r="Z363" s="1348"/>
    </row>
    <row r="364" spans="1:26" x14ac:dyDescent="0.25">
      <c r="A364" s="876"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7" t="s">
        <v>1357</v>
      </c>
      <c r="E364" s="817" t="s">
        <v>1279</v>
      </c>
      <c r="F364" s="1351"/>
      <c r="G364" s="1351"/>
      <c r="H364" s="1351"/>
      <c r="I364" s="1307" t="str">
        <f t="shared" si="42"/>
        <v/>
      </c>
      <c r="J364" s="1351"/>
      <c r="K364" s="1351" t="str">
        <f t="shared" si="43"/>
        <v/>
      </c>
      <c r="L364" s="853" t="s">
        <v>1246</v>
      </c>
      <c r="M364" s="1351">
        <v>333</v>
      </c>
      <c r="N364" s="1351"/>
      <c r="O364" s="1348"/>
      <c r="P364" s="1348"/>
      <c r="Q364" s="1348"/>
      <c r="R364" s="1348"/>
      <c r="S364" s="1348"/>
      <c r="T364" s="1348"/>
      <c r="U364" s="1348"/>
      <c r="V364" s="1348"/>
      <c r="W364" s="1348"/>
      <c r="X364" s="1348"/>
      <c r="Y364" s="1348"/>
      <c r="Z364" s="1348"/>
    </row>
    <row r="365" spans="1:26" x14ac:dyDescent="0.25">
      <c r="A365" s="876"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7" t="s">
        <v>1357</v>
      </c>
      <c r="E365" s="817" t="s">
        <v>1279</v>
      </c>
      <c r="F365" s="1351"/>
      <c r="G365" s="1351"/>
      <c r="H365" s="1351"/>
      <c r="I365" s="1307" t="str">
        <f t="shared" si="42"/>
        <v/>
      </c>
      <c r="J365" s="1351"/>
      <c r="K365" s="1351" t="str">
        <f t="shared" si="43"/>
        <v/>
      </c>
      <c r="L365" s="853" t="s">
        <v>225</v>
      </c>
      <c r="M365" s="1351">
        <v>334</v>
      </c>
      <c r="N365" s="1351"/>
      <c r="O365" s="1348"/>
      <c r="P365" s="1348"/>
      <c r="Q365" s="1348"/>
      <c r="R365" s="1348"/>
      <c r="S365" s="1348"/>
      <c r="T365" s="1348"/>
      <c r="U365" s="1348"/>
      <c r="V365" s="1348"/>
      <c r="W365" s="1348"/>
      <c r="X365" s="1348"/>
      <c r="Y365" s="1348"/>
      <c r="Z365" s="1348"/>
    </row>
    <row r="366" spans="1:26" x14ac:dyDescent="0.25">
      <c r="A366" s="877" t="s">
        <v>463</v>
      </c>
      <c r="B366" s="1307" t="str">
        <f ca="1">_xlfn.CONCAT(IFERROR(SUBSTITUTE(ADDRESS(1,MATCH(A366,INDIRECT("'"&amp;E366&amp;"'"&amp;"!A9:Z9"),0),4),1,""),""),17)</f>
        <v>E17</v>
      </c>
      <c r="C366" s="1307" t="str">
        <f ca="1">_xlfn.CONCAT(IFERROR(SUBSTITUTE(ADDRESS(1,MATCH(A366,INDIRECT("'"&amp;E366&amp;"'"&amp;"!A9:Z9"),0),4),1,""),""))</f>
        <v>E</v>
      </c>
      <c r="D366" s="1351" t="s">
        <v>1357</v>
      </c>
      <c r="E366" s="817" t="s">
        <v>208</v>
      </c>
      <c r="F366" s="1351"/>
      <c r="G366" s="1351"/>
      <c r="H366" s="1351"/>
      <c r="I366" s="1307" t="str">
        <f t="shared" si="42"/>
        <v>Exclude PIM Classes Below</v>
      </c>
      <c r="J366" s="1351" t="str">
        <f t="shared" si="44"/>
        <v>F335</v>
      </c>
      <c r="K366" s="1351" t="str">
        <f t="shared" si="43"/>
        <v>PIM Model</v>
      </c>
      <c r="L366" s="853" t="s">
        <v>463</v>
      </c>
      <c r="M366" s="1351">
        <v>335</v>
      </c>
      <c r="N366" s="1351"/>
      <c r="O366" s="1348"/>
      <c r="P366" s="1348"/>
      <c r="Q366" s="1348"/>
      <c r="R366" s="1348"/>
      <c r="S366" s="1348"/>
      <c r="T366" s="1348"/>
      <c r="U366" s="1348"/>
      <c r="V366" s="1348"/>
      <c r="W366" s="1348"/>
      <c r="X366" s="1348"/>
      <c r="Y366" s="1348"/>
      <c r="Z366" s="1348"/>
    </row>
    <row r="367" spans="1:26" x14ac:dyDescent="0.25">
      <c r="A367" s="877"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7" t="s">
        <v>1357</v>
      </c>
      <c r="E367" s="817" t="s">
        <v>1279</v>
      </c>
      <c r="F367" s="1351"/>
      <c r="G367" s="1351"/>
      <c r="H367" s="1351"/>
      <c r="I367" s="1307" t="str">
        <f t="shared" si="42"/>
        <v>Special Pricing Code</v>
      </c>
      <c r="J367" s="1351" t="str">
        <f t="shared" si="44"/>
        <v>F336</v>
      </c>
      <c r="K367" s="1351" t="str">
        <f t="shared" si="43"/>
        <v>Pricing Schedule</v>
      </c>
      <c r="L367" s="853" t="s">
        <v>1282</v>
      </c>
      <c r="M367" s="1351">
        <v>336</v>
      </c>
      <c r="N367" s="1351"/>
      <c r="O367" s="1348"/>
      <c r="P367" s="1348"/>
      <c r="Q367" s="1348"/>
      <c r="R367" s="1348"/>
      <c r="S367" s="1348"/>
      <c r="T367" s="1348"/>
      <c r="U367" s="1348"/>
      <c r="V367" s="1348"/>
      <c r="W367" s="1348"/>
      <c r="X367" s="1348"/>
      <c r="Y367" s="1348"/>
      <c r="Z367" s="1348"/>
    </row>
    <row r="368" spans="1:26" x14ac:dyDescent="0.25">
      <c r="A368" s="877"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7" t="s">
        <v>1357</v>
      </c>
      <c r="E368" s="817" t="s">
        <v>1279</v>
      </c>
      <c r="F368" s="1130"/>
      <c r="G368" s="1351"/>
      <c r="H368" s="1351"/>
      <c r="I368" s="1307" t="str">
        <f t="shared" si="42"/>
        <v>EB Markup Amt</v>
      </c>
      <c r="J368" s="1351" t="str">
        <f t="shared" si="44"/>
        <v>F337</v>
      </c>
      <c r="K368" s="1351" t="str">
        <f t="shared" si="43"/>
        <v>Pricing Schedule</v>
      </c>
      <c r="L368" s="853" t="s">
        <v>1284</v>
      </c>
      <c r="M368" s="1351">
        <v>337</v>
      </c>
      <c r="N368" s="1351"/>
      <c r="O368" s="1348"/>
      <c r="P368" s="1348"/>
      <c r="Q368" s="1348"/>
      <c r="R368" s="1348"/>
      <c r="S368" s="1348"/>
      <c r="T368" s="1348"/>
      <c r="U368" s="1348"/>
      <c r="V368" s="1348"/>
      <c r="W368" s="1348"/>
      <c r="X368" s="1348"/>
      <c r="Y368" s="1348"/>
      <c r="Z368" s="1348"/>
    </row>
    <row r="369" spans="1:26" x14ac:dyDescent="0.25">
      <c r="A369" s="877"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7" t="s">
        <v>1357</v>
      </c>
      <c r="E369" s="817" t="s">
        <v>1279</v>
      </c>
      <c r="F369" s="1130"/>
      <c r="G369" s="1351"/>
      <c r="H369" s="1351"/>
      <c r="I369" s="1307" t="str">
        <f t="shared" si="42"/>
        <v>Min CS Markup Override Flag</v>
      </c>
      <c r="J369" s="1351" t="str">
        <f t="shared" si="44"/>
        <v>F338</v>
      </c>
      <c r="K369" s="1351" t="str">
        <f t="shared" si="43"/>
        <v>Pricing Schedule</v>
      </c>
      <c r="L369" s="853" t="s">
        <v>1285</v>
      </c>
      <c r="M369" s="1351">
        <v>338</v>
      </c>
      <c r="N369" s="1351"/>
      <c r="O369" s="1348"/>
      <c r="P369" s="1348"/>
      <c r="Q369" s="1348"/>
      <c r="R369" s="1348"/>
      <c r="S369" s="1348"/>
      <c r="T369" s="1348"/>
      <c r="U369" s="1348"/>
      <c r="V369" s="1348"/>
      <c r="W369" s="1348"/>
      <c r="X369" s="1348"/>
      <c r="Y369" s="1348"/>
      <c r="Z369" s="1348"/>
    </row>
    <row r="370" spans="1:26" x14ac:dyDescent="0.25">
      <c r="A370" s="877"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7" t="s">
        <v>1357</v>
      </c>
      <c r="E370" s="817" t="s">
        <v>1279</v>
      </c>
      <c r="F370" s="1130"/>
      <c r="G370" s="1351"/>
      <c r="H370" s="1351"/>
      <c r="I370" s="1307" t="str">
        <f t="shared" si="42"/>
        <v>Min CS Markup Amt</v>
      </c>
      <c r="J370" s="1351" t="str">
        <f t="shared" si="44"/>
        <v>F339</v>
      </c>
      <c r="K370" s="1351" t="str">
        <f t="shared" si="43"/>
        <v>Pricing Schedule</v>
      </c>
      <c r="L370" s="853" t="s">
        <v>1286</v>
      </c>
      <c r="M370" s="1351">
        <v>339</v>
      </c>
      <c r="N370" s="1351"/>
      <c r="O370" s="1348"/>
      <c r="P370" s="1348"/>
      <c r="Q370" s="1348"/>
      <c r="R370" s="1348"/>
      <c r="S370" s="1348"/>
      <c r="T370" s="1348"/>
      <c r="U370" s="1348"/>
      <c r="V370" s="1348"/>
      <c r="W370" s="1348"/>
      <c r="X370" s="1348"/>
      <c r="Y370" s="1348"/>
      <c r="Z370" s="1348"/>
    </row>
    <row r="371" spans="1:26" x14ac:dyDescent="0.25">
      <c r="A371" s="877"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7" t="s">
        <v>1357</v>
      </c>
      <c r="E371" s="817" t="s">
        <v>1279</v>
      </c>
      <c r="F371" s="1130"/>
      <c r="G371" s="1351"/>
      <c r="H371" s="1351"/>
      <c r="I371" s="1307" t="str">
        <f t="shared" si="42"/>
        <v>Split Case Fee Override Flag</v>
      </c>
      <c r="J371" s="1351" t="str">
        <f t="shared" si="44"/>
        <v>F340</v>
      </c>
      <c r="K371" s="1351" t="str">
        <f t="shared" si="43"/>
        <v>Pricing Schedule</v>
      </c>
      <c r="L371" s="853" t="s">
        <v>1287</v>
      </c>
      <c r="M371" s="1351">
        <v>340</v>
      </c>
      <c r="N371" s="1351"/>
      <c r="O371" s="1348"/>
      <c r="P371" s="1348"/>
      <c r="Q371" s="1348"/>
      <c r="R371" s="1348"/>
      <c r="S371" s="1348"/>
      <c r="T371" s="1348"/>
      <c r="U371" s="1348"/>
      <c r="V371" s="1348"/>
      <c r="W371" s="1348"/>
      <c r="X371" s="1348"/>
      <c r="Y371" s="1348"/>
      <c r="Z371" s="1348"/>
    </row>
    <row r="372" spans="1:26" x14ac:dyDescent="0.25">
      <c r="A372" s="877"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7" t="s">
        <v>1357</v>
      </c>
      <c r="E372" s="817" t="s">
        <v>1279</v>
      </c>
      <c r="F372" s="1130"/>
      <c r="G372" s="1351"/>
      <c r="H372" s="1351"/>
      <c r="I372" s="1307" t="str">
        <f t="shared" si="42"/>
        <v>Split Case Fee</v>
      </c>
      <c r="J372" s="1351" t="str">
        <f t="shared" si="44"/>
        <v>F341</v>
      </c>
      <c r="K372" s="1351" t="str">
        <f t="shared" si="43"/>
        <v>Pricing Schedule</v>
      </c>
      <c r="L372" s="853" t="s">
        <v>1288</v>
      </c>
      <c r="M372" s="1351">
        <v>341</v>
      </c>
      <c r="N372" s="1351"/>
      <c r="O372" s="1348"/>
      <c r="P372" s="1348"/>
      <c r="Q372" s="1348"/>
      <c r="R372" s="1348"/>
      <c r="S372" s="1348"/>
      <c r="T372" s="1348"/>
      <c r="U372" s="1348"/>
      <c r="V372" s="1348"/>
      <c r="W372" s="1348"/>
      <c r="X372" s="1348"/>
      <c r="Y372" s="1348"/>
      <c r="Z372" s="1348"/>
    </row>
    <row r="373" spans="1:26" x14ac:dyDescent="0.25">
      <c r="A373" s="877"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7" t="s">
        <v>1357</v>
      </c>
      <c r="E373" s="817" t="s">
        <v>1279</v>
      </c>
      <c r="F373" s="1130"/>
      <c r="G373" s="1351"/>
      <c r="H373" s="1351"/>
      <c r="I373" s="1307" t="str">
        <f t="shared" si="42"/>
        <v>Split Case Per</v>
      </c>
      <c r="J373" s="1351" t="str">
        <f t="shared" si="44"/>
        <v>F342</v>
      </c>
      <c r="K373" s="1351" t="str">
        <f t="shared" si="43"/>
        <v>Pricing Schedule</v>
      </c>
      <c r="L373" s="853" t="s">
        <v>1228</v>
      </c>
      <c r="M373" s="1351">
        <v>342</v>
      </c>
      <c r="N373" s="1351"/>
      <c r="O373" s="1348"/>
      <c r="P373" s="1348"/>
      <c r="Q373" s="1348"/>
      <c r="R373" s="1348"/>
      <c r="S373" s="1348"/>
      <c r="T373" s="1348"/>
      <c r="U373" s="1348"/>
      <c r="V373" s="1348"/>
      <c r="W373" s="1348"/>
      <c r="X373" s="1348"/>
      <c r="Y373" s="1348"/>
      <c r="Z373" s="1348"/>
    </row>
    <row r="374" spans="1:26" x14ac:dyDescent="0.25">
      <c r="A374" s="872"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7" t="s">
        <v>1357</v>
      </c>
      <c r="E374" s="817" t="s">
        <v>1279</v>
      </c>
      <c r="F374" s="1351"/>
      <c r="G374" s="1351"/>
      <c r="H374" s="1351"/>
      <c r="I374" s="1307" t="str">
        <f t="shared" si="42"/>
        <v/>
      </c>
      <c r="J374" s="1351"/>
      <c r="K374" s="1351" t="str">
        <f t="shared" si="43"/>
        <v/>
      </c>
      <c r="L374" s="853" t="s">
        <v>1289</v>
      </c>
      <c r="M374" s="1351">
        <v>343</v>
      </c>
      <c r="N374" s="1351"/>
      <c r="O374" s="1348"/>
      <c r="P374" s="1348"/>
      <c r="Q374" s="1348"/>
      <c r="R374" s="1348"/>
      <c r="S374" s="1348"/>
      <c r="T374" s="1348"/>
      <c r="U374" s="1348"/>
      <c r="V374" s="1348"/>
      <c r="W374" s="1348"/>
      <c r="X374" s="1348"/>
      <c r="Y374" s="1348"/>
      <c r="Z374" s="1348"/>
    </row>
    <row r="375" spans="1:26" x14ac:dyDescent="0.25">
      <c r="A375" s="873"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7" t="s">
        <v>1357</v>
      </c>
      <c r="E375" s="817" t="s">
        <v>1279</v>
      </c>
      <c r="F375" s="1351"/>
      <c r="G375" s="1351"/>
      <c r="H375" s="1351"/>
      <c r="I375" s="1307" t="str">
        <f t="shared" si="42"/>
        <v/>
      </c>
      <c r="J375" s="1351"/>
      <c r="K375" s="1351" t="str">
        <f t="shared" si="43"/>
        <v/>
      </c>
      <c r="L375" s="853" t="s">
        <v>252</v>
      </c>
      <c r="M375" s="1351">
        <v>344</v>
      </c>
      <c r="N375" s="1351"/>
      <c r="O375" s="1348"/>
      <c r="P375" s="1348"/>
      <c r="Q375" s="1348"/>
      <c r="R375" s="1348"/>
      <c r="S375" s="1348"/>
      <c r="T375" s="1348"/>
      <c r="U375" s="1348"/>
      <c r="V375" s="1348"/>
      <c r="W375" s="1348"/>
      <c r="X375" s="1348"/>
      <c r="Y375" s="1348"/>
      <c r="Z375" s="1348"/>
    </row>
    <row r="376" spans="1:26" x14ac:dyDescent="0.25">
      <c r="A376" s="873"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7" t="s">
        <v>1357</v>
      </c>
      <c r="E376" s="817" t="s">
        <v>1279</v>
      </c>
      <c r="F376" s="1351"/>
      <c r="G376" s="1351"/>
      <c r="H376" s="1351"/>
      <c r="I376" s="1307" t="str">
        <f t="shared" si="42"/>
        <v/>
      </c>
      <c r="J376" s="1351"/>
      <c r="K376" s="1351" t="str">
        <f t="shared" si="43"/>
        <v/>
      </c>
      <c r="L376" s="853" t="s">
        <v>1246</v>
      </c>
      <c r="M376" s="1351">
        <v>345</v>
      </c>
      <c r="N376" s="1351"/>
      <c r="O376" s="1348"/>
      <c r="P376" s="1348"/>
      <c r="Q376" s="1348"/>
      <c r="R376" s="1348"/>
      <c r="S376" s="1348"/>
      <c r="T376" s="1348"/>
      <c r="U376" s="1348"/>
      <c r="V376" s="1348"/>
      <c r="W376" s="1348"/>
      <c r="X376" s="1348"/>
      <c r="Y376" s="1348"/>
      <c r="Z376" s="1348"/>
    </row>
    <row r="377" spans="1:26" x14ac:dyDescent="0.25">
      <c r="A377" s="873"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7" t="s">
        <v>1357</v>
      </c>
      <c r="E377" s="817" t="s">
        <v>1279</v>
      </c>
      <c r="F377" s="1351"/>
      <c r="G377" s="1351"/>
      <c r="H377" s="1351"/>
      <c r="I377" s="1307" t="str">
        <f t="shared" si="42"/>
        <v/>
      </c>
      <c r="J377" s="1351"/>
      <c r="K377" s="1351" t="str">
        <f t="shared" si="43"/>
        <v/>
      </c>
      <c r="L377" s="853" t="s">
        <v>225</v>
      </c>
      <c r="M377" s="1351">
        <v>346</v>
      </c>
      <c r="N377" s="1351"/>
      <c r="O377" s="1348"/>
      <c r="P377" s="1348"/>
      <c r="Q377" s="1348"/>
      <c r="R377" s="1348"/>
      <c r="S377" s="1348"/>
      <c r="T377" s="1348"/>
      <c r="U377" s="1348"/>
      <c r="V377" s="1348"/>
      <c r="W377" s="1348"/>
      <c r="X377" s="1348"/>
      <c r="Y377" s="1348"/>
      <c r="Z377" s="1348"/>
    </row>
    <row r="378" spans="1:26" x14ac:dyDescent="0.25">
      <c r="A378" s="874" t="s">
        <v>463</v>
      </c>
      <c r="B378" s="1307" t="str">
        <f ca="1">_xlfn.CONCAT(IFERROR(SUBSTITUTE(ADDRESS(1,MATCH(A378,INDIRECT("'"&amp;E378&amp;"'"&amp;"!A9:Z9"),0),4),1,""),""),18)</f>
        <v>E18</v>
      </c>
      <c r="C378" s="1307" t="str">
        <f ca="1">_xlfn.CONCAT(IFERROR(SUBSTITUTE(ADDRESS(1,MATCH(A378,INDIRECT("'"&amp;E378&amp;"'"&amp;"!A9:Z9"),0),4),1,""),""))</f>
        <v>E</v>
      </c>
      <c r="D378" s="1351" t="s">
        <v>1357</v>
      </c>
      <c r="E378" s="817" t="s">
        <v>208</v>
      </c>
      <c r="F378" s="1351"/>
      <c r="G378" s="1351"/>
      <c r="H378" s="1351"/>
      <c r="I378" s="1307" t="str">
        <f t="shared" si="42"/>
        <v>Exclude PIM Classes Below</v>
      </c>
      <c r="J378" s="1351" t="str">
        <f t="shared" si="44"/>
        <v>F347</v>
      </c>
      <c r="K378" s="1351" t="str">
        <f t="shared" si="43"/>
        <v>PIM Model</v>
      </c>
      <c r="L378" s="853" t="s">
        <v>463</v>
      </c>
      <c r="M378" s="1351">
        <v>347</v>
      </c>
      <c r="N378" s="1351"/>
      <c r="O378" s="1348"/>
      <c r="P378" s="1348"/>
      <c r="Q378" s="1348"/>
      <c r="R378" s="1348"/>
      <c r="S378" s="1348"/>
      <c r="T378" s="1348"/>
      <c r="U378" s="1348"/>
      <c r="V378" s="1348"/>
      <c r="W378" s="1348"/>
      <c r="X378" s="1348"/>
      <c r="Y378" s="1348"/>
      <c r="Z378" s="1348"/>
    </row>
    <row r="379" spans="1:26" x14ac:dyDescent="0.25">
      <c r="A379" s="874"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7" t="s">
        <v>1357</v>
      </c>
      <c r="E379" s="817" t="s">
        <v>1279</v>
      </c>
      <c r="F379" s="1351"/>
      <c r="G379" s="1351"/>
      <c r="H379" s="1351"/>
      <c r="I379" s="1307" t="str">
        <f t="shared" si="42"/>
        <v>Special Pricing Code</v>
      </c>
      <c r="J379" s="1351" t="str">
        <f t="shared" si="44"/>
        <v>F348</v>
      </c>
      <c r="K379" s="1351" t="str">
        <f t="shared" si="43"/>
        <v>Pricing Schedule</v>
      </c>
      <c r="L379" s="853" t="s">
        <v>1282</v>
      </c>
      <c r="M379" s="1351">
        <v>348</v>
      </c>
      <c r="N379" s="1351"/>
      <c r="O379" s="1348"/>
      <c r="P379" s="1348"/>
      <c r="Q379" s="1348"/>
      <c r="R379" s="1348"/>
      <c r="S379" s="1348"/>
      <c r="T379" s="1348"/>
      <c r="U379" s="1348"/>
      <c r="V379" s="1348"/>
      <c r="W379" s="1348"/>
      <c r="X379" s="1348"/>
      <c r="Y379" s="1348"/>
      <c r="Z379" s="1348"/>
    </row>
    <row r="380" spans="1:26" x14ac:dyDescent="0.25">
      <c r="A380" s="874"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7" t="s">
        <v>1357</v>
      </c>
      <c r="E380" s="817" t="s">
        <v>1279</v>
      </c>
      <c r="F380" s="1130"/>
      <c r="G380" s="1351"/>
      <c r="H380" s="1351"/>
      <c r="I380" s="1307" t="str">
        <f t="shared" si="42"/>
        <v>EB Markup Amt</v>
      </c>
      <c r="J380" s="1351" t="str">
        <f t="shared" si="44"/>
        <v>F349</v>
      </c>
      <c r="K380" s="1351" t="str">
        <f t="shared" si="43"/>
        <v>Pricing Schedule</v>
      </c>
      <c r="L380" s="853" t="s">
        <v>1284</v>
      </c>
      <c r="M380" s="1351">
        <v>349</v>
      </c>
      <c r="N380" s="1351"/>
      <c r="O380" s="1348"/>
      <c r="P380" s="1348"/>
      <c r="Q380" s="1348"/>
      <c r="R380" s="1348"/>
      <c r="S380" s="1348"/>
      <c r="T380" s="1348"/>
      <c r="U380" s="1348"/>
      <c r="V380" s="1348"/>
      <c r="W380" s="1348"/>
      <c r="X380" s="1348"/>
      <c r="Y380" s="1348"/>
      <c r="Z380" s="1348"/>
    </row>
    <row r="381" spans="1:26" x14ac:dyDescent="0.25">
      <c r="A381" s="874"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7" t="s">
        <v>1357</v>
      </c>
      <c r="E381" s="817" t="s">
        <v>1279</v>
      </c>
      <c r="F381" s="1130"/>
      <c r="G381" s="1351"/>
      <c r="H381" s="1351"/>
      <c r="I381" s="1307" t="str">
        <f t="shared" si="42"/>
        <v>Min CS Markup Override Flag</v>
      </c>
      <c r="J381" s="1351" t="str">
        <f t="shared" si="44"/>
        <v>F350</v>
      </c>
      <c r="K381" s="1351" t="str">
        <f t="shared" si="43"/>
        <v>Pricing Schedule</v>
      </c>
      <c r="L381" s="853" t="s">
        <v>1285</v>
      </c>
      <c r="M381" s="1351">
        <v>350</v>
      </c>
      <c r="N381" s="1351"/>
      <c r="O381" s="1348"/>
      <c r="P381" s="1348"/>
      <c r="Q381" s="1348"/>
      <c r="R381" s="1348"/>
      <c r="S381" s="1348"/>
      <c r="T381" s="1348"/>
      <c r="U381" s="1348"/>
      <c r="V381" s="1348"/>
      <c r="W381" s="1348"/>
      <c r="X381" s="1348"/>
      <c r="Y381" s="1348"/>
      <c r="Z381" s="1348"/>
    </row>
    <row r="382" spans="1:26" x14ac:dyDescent="0.25">
      <c r="A382" s="874"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7" t="s">
        <v>1357</v>
      </c>
      <c r="E382" s="817" t="s">
        <v>1279</v>
      </c>
      <c r="F382" s="1130"/>
      <c r="G382" s="1351"/>
      <c r="H382" s="1351"/>
      <c r="I382" s="1307" t="str">
        <f t="shared" si="42"/>
        <v>Min CS Markup Amt</v>
      </c>
      <c r="J382" s="1351" t="str">
        <f t="shared" si="44"/>
        <v>F351</v>
      </c>
      <c r="K382" s="1351" t="str">
        <f t="shared" si="43"/>
        <v>Pricing Schedule</v>
      </c>
      <c r="L382" s="853" t="s">
        <v>1286</v>
      </c>
      <c r="M382" s="1351">
        <v>351</v>
      </c>
      <c r="N382" s="1351"/>
      <c r="O382" s="1348"/>
      <c r="P382" s="1348"/>
      <c r="Q382" s="1348"/>
      <c r="R382" s="1348"/>
      <c r="S382" s="1348"/>
      <c r="T382" s="1348"/>
      <c r="U382" s="1348"/>
      <c r="V382" s="1348"/>
      <c r="W382" s="1348"/>
      <c r="X382" s="1348"/>
      <c r="Y382" s="1348"/>
      <c r="Z382" s="1348"/>
    </row>
    <row r="383" spans="1:26" x14ac:dyDescent="0.25">
      <c r="A383" s="874"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7" t="s">
        <v>1357</v>
      </c>
      <c r="E383" s="817" t="s">
        <v>1279</v>
      </c>
      <c r="F383" s="1130"/>
      <c r="G383" s="1351"/>
      <c r="H383" s="1351"/>
      <c r="I383" s="1307" t="str">
        <f t="shared" si="42"/>
        <v>Split Case Fee Override Flag</v>
      </c>
      <c r="J383" s="1351" t="str">
        <f t="shared" si="44"/>
        <v>F352</v>
      </c>
      <c r="K383" s="1351" t="str">
        <f t="shared" si="43"/>
        <v>Pricing Schedule</v>
      </c>
      <c r="L383" s="853" t="s">
        <v>1287</v>
      </c>
      <c r="M383" s="1351">
        <v>352</v>
      </c>
      <c r="N383" s="1351"/>
      <c r="O383" s="1348"/>
      <c r="P383" s="1348"/>
      <c r="Q383" s="1348"/>
      <c r="R383" s="1348"/>
      <c r="S383" s="1348"/>
      <c r="T383" s="1348"/>
      <c r="U383" s="1348"/>
      <c r="V383" s="1348"/>
      <c r="W383" s="1348"/>
      <c r="X383" s="1348"/>
      <c r="Y383" s="1348"/>
      <c r="Z383" s="1348"/>
    </row>
    <row r="384" spans="1:26" x14ac:dyDescent="0.25">
      <c r="A384" s="874"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7" t="s">
        <v>1357</v>
      </c>
      <c r="E384" s="817" t="s">
        <v>1279</v>
      </c>
      <c r="F384" s="1130"/>
      <c r="G384" s="1351"/>
      <c r="H384" s="1351"/>
      <c r="I384" s="1307" t="str">
        <f t="shared" si="42"/>
        <v>Split Case Fee</v>
      </c>
      <c r="J384" s="1351" t="str">
        <f t="shared" si="44"/>
        <v>F353</v>
      </c>
      <c r="K384" s="1351" t="str">
        <f t="shared" si="43"/>
        <v>Pricing Schedule</v>
      </c>
      <c r="L384" s="853" t="s">
        <v>1288</v>
      </c>
      <c r="M384" s="1351">
        <v>353</v>
      </c>
      <c r="N384" s="1351"/>
      <c r="O384" s="1348"/>
      <c r="P384" s="1348"/>
      <c r="Q384" s="1348"/>
      <c r="R384" s="1348"/>
      <c r="S384" s="1348"/>
      <c r="T384" s="1348"/>
      <c r="U384" s="1348"/>
      <c r="V384" s="1348"/>
      <c r="W384" s="1348"/>
      <c r="X384" s="1348"/>
      <c r="Y384" s="1348"/>
      <c r="Z384" s="1348"/>
    </row>
    <row r="385" spans="1:26" x14ac:dyDescent="0.25">
      <c r="A385" s="874"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7" t="s">
        <v>1357</v>
      </c>
      <c r="E385" s="817" t="s">
        <v>1279</v>
      </c>
      <c r="F385" s="1130"/>
      <c r="G385" s="1351"/>
      <c r="H385" s="1351"/>
      <c r="I385" s="1307" t="str">
        <f t="shared" si="42"/>
        <v>Split Case Per</v>
      </c>
      <c r="J385" s="1351" t="str">
        <f t="shared" si="44"/>
        <v>F354</v>
      </c>
      <c r="K385" s="1351" t="str">
        <f t="shared" si="43"/>
        <v>Pricing Schedule</v>
      </c>
      <c r="L385" s="853" t="s">
        <v>1228</v>
      </c>
      <c r="M385" s="1351">
        <v>354</v>
      </c>
      <c r="N385" s="1351"/>
      <c r="O385" s="1348"/>
      <c r="P385" s="1348"/>
      <c r="Q385" s="1348"/>
      <c r="R385" s="1348"/>
      <c r="S385" s="1348"/>
      <c r="T385" s="1348"/>
      <c r="U385" s="1348"/>
      <c r="V385" s="1348"/>
      <c r="W385" s="1348"/>
      <c r="X385" s="1348"/>
      <c r="Y385" s="1348"/>
      <c r="Z385" s="1348"/>
    </row>
    <row r="386" spans="1:26" x14ac:dyDescent="0.25">
      <c r="A386" s="875"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7" t="s">
        <v>1357</v>
      </c>
      <c r="E386" s="817" t="s">
        <v>1279</v>
      </c>
      <c r="F386" s="1351"/>
      <c r="G386" s="1351"/>
      <c r="H386" s="1351"/>
      <c r="I386" s="1307" t="str">
        <f t="shared" si="42"/>
        <v/>
      </c>
      <c r="J386" s="1351"/>
      <c r="K386" s="1351" t="str">
        <f t="shared" si="43"/>
        <v/>
      </c>
      <c r="L386" s="853" t="s">
        <v>1289</v>
      </c>
      <c r="M386" s="1351">
        <v>355</v>
      </c>
      <c r="N386" s="1351"/>
      <c r="O386" s="1348"/>
      <c r="P386" s="1348"/>
      <c r="Q386" s="1348"/>
      <c r="R386" s="1348"/>
      <c r="S386" s="1348"/>
      <c r="T386" s="1348"/>
      <c r="U386" s="1348"/>
      <c r="V386" s="1348"/>
      <c r="W386" s="1348"/>
      <c r="X386" s="1348"/>
      <c r="Y386" s="1348"/>
      <c r="Z386" s="1348"/>
    </row>
    <row r="387" spans="1:26" x14ac:dyDescent="0.25">
      <c r="A387" s="876"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7" t="s">
        <v>1357</v>
      </c>
      <c r="E387" s="817" t="s">
        <v>1279</v>
      </c>
      <c r="F387" s="1351"/>
      <c r="G387" s="1351"/>
      <c r="H387" s="1351"/>
      <c r="I387" s="1307" t="str">
        <f t="shared" si="42"/>
        <v/>
      </c>
      <c r="J387" s="1351"/>
      <c r="K387" s="1351" t="str">
        <f t="shared" si="43"/>
        <v/>
      </c>
      <c r="L387" s="853" t="s">
        <v>252</v>
      </c>
      <c r="M387" s="1351">
        <v>356</v>
      </c>
      <c r="N387" s="1351"/>
      <c r="O387" s="1348"/>
      <c r="P387" s="1348"/>
      <c r="Q387" s="1348"/>
      <c r="R387" s="1348"/>
      <c r="S387" s="1348"/>
      <c r="T387" s="1348"/>
      <c r="U387" s="1348"/>
      <c r="V387" s="1348"/>
      <c r="W387" s="1348"/>
      <c r="X387" s="1348"/>
      <c r="Y387" s="1348"/>
      <c r="Z387" s="1348"/>
    </row>
    <row r="388" spans="1:26" x14ac:dyDescent="0.25">
      <c r="A388" s="876"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7" t="s">
        <v>1357</v>
      </c>
      <c r="E388" s="817" t="s">
        <v>1279</v>
      </c>
      <c r="F388" s="1351"/>
      <c r="G388" s="1351"/>
      <c r="H388" s="1351"/>
      <c r="I388" s="1307" t="str">
        <f t="shared" ref="I388:I451" si="45">IF(J388&lt;&gt;"",A388,"")</f>
        <v/>
      </c>
      <c r="J388" s="1351"/>
      <c r="K388" s="1351" t="str">
        <f t="shared" ref="K388:K451" si="46">IF(J388&lt;&gt;"",E388,"")</f>
        <v/>
      </c>
      <c r="L388" s="853" t="s">
        <v>1246</v>
      </c>
      <c r="M388" s="1351">
        <v>357</v>
      </c>
      <c r="N388" s="1351"/>
      <c r="O388" s="1348"/>
      <c r="P388" s="1348"/>
      <c r="Q388" s="1348"/>
      <c r="R388" s="1348"/>
      <c r="S388" s="1348"/>
      <c r="T388" s="1348"/>
      <c r="U388" s="1348"/>
      <c r="V388" s="1348"/>
      <c r="W388" s="1348"/>
      <c r="X388" s="1348"/>
      <c r="Y388" s="1348"/>
      <c r="Z388" s="1348"/>
    </row>
    <row r="389" spans="1:26" x14ac:dyDescent="0.25">
      <c r="A389" s="876"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7" t="s">
        <v>1357</v>
      </c>
      <c r="E389" s="817" t="s">
        <v>1279</v>
      </c>
      <c r="F389" s="1351"/>
      <c r="G389" s="1351"/>
      <c r="H389" s="1351"/>
      <c r="I389" s="1307" t="str">
        <f t="shared" si="45"/>
        <v/>
      </c>
      <c r="J389" s="1351"/>
      <c r="K389" s="1351" t="str">
        <f t="shared" si="46"/>
        <v/>
      </c>
      <c r="L389" s="853" t="s">
        <v>225</v>
      </c>
      <c r="M389" s="1351">
        <v>358</v>
      </c>
      <c r="N389" s="1351"/>
      <c r="O389" s="1348"/>
      <c r="P389" s="1348"/>
      <c r="Q389" s="1348"/>
      <c r="R389" s="1348"/>
      <c r="S389" s="1348"/>
      <c r="T389" s="1348"/>
      <c r="U389" s="1348"/>
      <c r="V389" s="1348"/>
      <c r="W389" s="1348"/>
      <c r="X389" s="1348"/>
      <c r="Y389" s="1348"/>
      <c r="Z389" s="1348"/>
    </row>
    <row r="390" spans="1:26" x14ac:dyDescent="0.25">
      <c r="A390" s="877" t="s">
        <v>463</v>
      </c>
      <c r="B390" s="1307" t="str">
        <f ca="1">_xlfn.CONCAT(IFERROR(SUBSTITUTE(ADDRESS(1,MATCH(A390,INDIRECT("'"&amp;E390&amp;"'"&amp;"!A9:Z9"),0),4),1,""),""),19)</f>
        <v>E19</v>
      </c>
      <c r="C390" s="1307" t="str">
        <f ca="1">_xlfn.CONCAT(IFERROR(SUBSTITUTE(ADDRESS(1,MATCH(A390,INDIRECT("'"&amp;E390&amp;"'"&amp;"!A9:Z9"),0),4),1,""),""))</f>
        <v>E</v>
      </c>
      <c r="D390" s="1351" t="s">
        <v>1357</v>
      </c>
      <c r="E390" s="817" t="s">
        <v>208</v>
      </c>
      <c r="F390" s="1351"/>
      <c r="G390" s="1351"/>
      <c r="H390" s="1351"/>
      <c r="I390" s="1307" t="str">
        <f t="shared" si="45"/>
        <v>Exclude PIM Classes Below</v>
      </c>
      <c r="J390" s="1351" t="str">
        <f t="shared" ref="J390:J453" si="47">IF(M390&lt;&gt;"",Q$1&amp;M390,"")</f>
        <v>F359</v>
      </c>
      <c r="K390" s="1351" t="str">
        <f t="shared" si="46"/>
        <v>PIM Model</v>
      </c>
      <c r="L390" s="853" t="s">
        <v>463</v>
      </c>
      <c r="M390" s="1351">
        <v>359</v>
      </c>
      <c r="N390" s="1351"/>
      <c r="O390" s="1348"/>
      <c r="P390" s="1348"/>
      <c r="Q390" s="1348"/>
      <c r="R390" s="1348"/>
      <c r="S390" s="1348"/>
      <c r="T390" s="1348"/>
      <c r="U390" s="1348"/>
      <c r="V390" s="1348"/>
      <c r="W390" s="1348"/>
      <c r="X390" s="1348"/>
      <c r="Y390" s="1348"/>
      <c r="Z390" s="1348"/>
    </row>
    <row r="391" spans="1:26" x14ac:dyDescent="0.25">
      <c r="A391" s="877"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7" t="s">
        <v>1357</v>
      </c>
      <c r="E391" s="817" t="s">
        <v>1279</v>
      </c>
      <c r="F391" s="1351"/>
      <c r="G391" s="1351"/>
      <c r="H391" s="1351"/>
      <c r="I391" s="1307" t="str">
        <f t="shared" si="45"/>
        <v>Special Pricing Code</v>
      </c>
      <c r="J391" s="1351" t="str">
        <f t="shared" si="47"/>
        <v>F360</v>
      </c>
      <c r="K391" s="1351" t="str">
        <f t="shared" si="46"/>
        <v>Pricing Schedule</v>
      </c>
      <c r="L391" s="853" t="s">
        <v>1282</v>
      </c>
      <c r="M391" s="1351">
        <v>360</v>
      </c>
      <c r="N391" s="1351"/>
      <c r="O391" s="1348"/>
      <c r="P391" s="1348"/>
      <c r="Q391" s="1348"/>
      <c r="R391" s="1348"/>
      <c r="S391" s="1348"/>
      <c r="T391" s="1348"/>
      <c r="U391" s="1348"/>
      <c r="V391" s="1348"/>
      <c r="W391" s="1348"/>
      <c r="X391" s="1348"/>
      <c r="Y391" s="1348"/>
      <c r="Z391" s="1348"/>
    </row>
    <row r="392" spans="1:26" x14ac:dyDescent="0.25">
      <c r="A392" s="877"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7" t="s">
        <v>1357</v>
      </c>
      <c r="E392" s="817" t="s">
        <v>1279</v>
      </c>
      <c r="F392" s="1130"/>
      <c r="G392" s="1351"/>
      <c r="H392" s="1351"/>
      <c r="I392" s="1307" t="str">
        <f t="shared" si="45"/>
        <v>EB Markup Amt</v>
      </c>
      <c r="J392" s="1351" t="str">
        <f t="shared" si="47"/>
        <v>F361</v>
      </c>
      <c r="K392" s="1351" t="str">
        <f t="shared" si="46"/>
        <v>Pricing Schedule</v>
      </c>
      <c r="L392" s="853" t="s">
        <v>1284</v>
      </c>
      <c r="M392" s="1351">
        <v>361</v>
      </c>
      <c r="N392" s="1351"/>
      <c r="O392" s="1348"/>
      <c r="P392" s="1348"/>
      <c r="Q392" s="1348"/>
      <c r="R392" s="1348"/>
      <c r="S392" s="1348"/>
      <c r="T392" s="1348"/>
      <c r="U392" s="1348"/>
      <c r="V392" s="1348"/>
      <c r="W392" s="1348"/>
      <c r="X392" s="1348"/>
      <c r="Y392" s="1348"/>
      <c r="Z392" s="1348"/>
    </row>
    <row r="393" spans="1:26" x14ac:dyDescent="0.25">
      <c r="A393" s="877"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7" t="s">
        <v>1357</v>
      </c>
      <c r="E393" s="817" t="s">
        <v>1279</v>
      </c>
      <c r="F393" s="1130"/>
      <c r="G393" s="1351"/>
      <c r="H393" s="1351"/>
      <c r="I393" s="1307" t="str">
        <f t="shared" si="45"/>
        <v>Min CS Markup Override Flag</v>
      </c>
      <c r="J393" s="1351" t="str">
        <f t="shared" si="47"/>
        <v>F362</v>
      </c>
      <c r="K393" s="1351" t="str">
        <f t="shared" si="46"/>
        <v>Pricing Schedule</v>
      </c>
      <c r="L393" s="853" t="s">
        <v>1285</v>
      </c>
      <c r="M393" s="1351">
        <v>362</v>
      </c>
      <c r="N393" s="1351"/>
      <c r="O393" s="1348"/>
      <c r="P393" s="1348"/>
      <c r="Q393" s="1348"/>
      <c r="R393" s="1348"/>
      <c r="S393" s="1348"/>
      <c r="T393" s="1348"/>
      <c r="U393" s="1348"/>
      <c r="V393" s="1348"/>
      <c r="W393" s="1348"/>
      <c r="X393" s="1348"/>
      <c r="Y393" s="1348"/>
      <c r="Z393" s="1348"/>
    </row>
    <row r="394" spans="1:26" x14ac:dyDescent="0.25">
      <c r="A394" s="877"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7" t="s">
        <v>1357</v>
      </c>
      <c r="E394" s="817" t="s">
        <v>1279</v>
      </c>
      <c r="F394" s="1130"/>
      <c r="G394" s="1351"/>
      <c r="H394" s="1351"/>
      <c r="I394" s="1307" t="str">
        <f t="shared" si="45"/>
        <v>Min CS Markup Amt</v>
      </c>
      <c r="J394" s="1351" t="str">
        <f t="shared" si="47"/>
        <v>F363</v>
      </c>
      <c r="K394" s="1351" t="str">
        <f t="shared" si="46"/>
        <v>Pricing Schedule</v>
      </c>
      <c r="L394" s="853" t="s">
        <v>1286</v>
      </c>
      <c r="M394" s="1351">
        <v>363</v>
      </c>
      <c r="N394" s="1351"/>
      <c r="O394" s="1348"/>
      <c r="P394" s="1348"/>
      <c r="Q394" s="1348"/>
      <c r="R394" s="1348"/>
      <c r="S394" s="1348"/>
      <c r="T394" s="1348"/>
      <c r="U394" s="1348"/>
      <c r="V394" s="1348"/>
      <c r="W394" s="1348"/>
      <c r="X394" s="1348"/>
      <c r="Y394" s="1348"/>
      <c r="Z394" s="1348"/>
    </row>
    <row r="395" spans="1:26" x14ac:dyDescent="0.25">
      <c r="A395" s="877"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7" t="s">
        <v>1357</v>
      </c>
      <c r="E395" s="817" t="s">
        <v>1279</v>
      </c>
      <c r="F395" s="1130"/>
      <c r="G395" s="1351"/>
      <c r="H395" s="1351"/>
      <c r="I395" s="1307" t="str">
        <f t="shared" si="45"/>
        <v>Split Case Fee Override Flag</v>
      </c>
      <c r="J395" s="1351" t="str">
        <f t="shared" si="47"/>
        <v>F364</v>
      </c>
      <c r="K395" s="1351" t="str">
        <f t="shared" si="46"/>
        <v>Pricing Schedule</v>
      </c>
      <c r="L395" s="853" t="s">
        <v>1287</v>
      </c>
      <c r="M395" s="1351">
        <v>364</v>
      </c>
      <c r="N395" s="1351"/>
      <c r="O395" s="1348"/>
      <c r="P395" s="1348"/>
      <c r="Q395" s="1348"/>
      <c r="R395" s="1348"/>
      <c r="S395" s="1348"/>
      <c r="T395" s="1348"/>
      <c r="U395" s="1348"/>
      <c r="V395" s="1348"/>
      <c r="W395" s="1348"/>
      <c r="X395" s="1348"/>
      <c r="Y395" s="1348"/>
      <c r="Z395" s="1348"/>
    </row>
    <row r="396" spans="1:26" x14ac:dyDescent="0.25">
      <c r="A396" s="877"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7" t="s">
        <v>1357</v>
      </c>
      <c r="E396" s="817" t="s">
        <v>1279</v>
      </c>
      <c r="F396" s="1130"/>
      <c r="G396" s="1351"/>
      <c r="H396" s="1351"/>
      <c r="I396" s="1307" t="str">
        <f t="shared" si="45"/>
        <v>Split Case Fee</v>
      </c>
      <c r="J396" s="1351" t="str">
        <f t="shared" si="47"/>
        <v>F365</v>
      </c>
      <c r="K396" s="1351" t="str">
        <f t="shared" si="46"/>
        <v>Pricing Schedule</v>
      </c>
      <c r="L396" s="853" t="s">
        <v>1288</v>
      </c>
      <c r="M396" s="1351">
        <v>365</v>
      </c>
      <c r="N396" s="1351"/>
      <c r="O396" s="1348"/>
      <c r="P396" s="1348"/>
      <c r="Q396" s="1348"/>
      <c r="R396" s="1348"/>
      <c r="S396" s="1348"/>
      <c r="T396" s="1348"/>
      <c r="U396" s="1348"/>
      <c r="V396" s="1348"/>
      <c r="W396" s="1348"/>
      <c r="X396" s="1348"/>
      <c r="Y396" s="1348"/>
      <c r="Z396" s="1348"/>
    </row>
    <row r="397" spans="1:26" x14ac:dyDescent="0.25">
      <c r="A397" s="877"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7" t="s">
        <v>1357</v>
      </c>
      <c r="E397" s="817" t="s">
        <v>1279</v>
      </c>
      <c r="F397" s="1130"/>
      <c r="G397" s="1351"/>
      <c r="H397" s="1351"/>
      <c r="I397" s="1307" t="str">
        <f t="shared" si="45"/>
        <v>Split Case Per</v>
      </c>
      <c r="J397" s="1351" t="str">
        <f t="shared" si="47"/>
        <v>F366</v>
      </c>
      <c r="K397" s="1351" t="str">
        <f t="shared" si="46"/>
        <v>Pricing Schedule</v>
      </c>
      <c r="L397" s="853" t="s">
        <v>1228</v>
      </c>
      <c r="M397" s="1351">
        <v>366</v>
      </c>
      <c r="N397" s="1351"/>
      <c r="O397" s="1348"/>
      <c r="P397" s="1348"/>
      <c r="Q397" s="1348"/>
      <c r="R397" s="1348"/>
      <c r="S397" s="1348"/>
      <c r="T397" s="1348"/>
      <c r="U397" s="1348"/>
      <c r="V397" s="1348"/>
      <c r="W397" s="1348"/>
      <c r="X397" s="1348"/>
      <c r="Y397" s="1348"/>
      <c r="Z397" s="1348"/>
    </row>
    <row r="398" spans="1:26" x14ac:dyDescent="0.25">
      <c r="A398" s="872"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7" t="s">
        <v>1357</v>
      </c>
      <c r="E398" s="817" t="s">
        <v>1279</v>
      </c>
      <c r="F398" s="1351"/>
      <c r="G398" s="1351"/>
      <c r="H398" s="1351"/>
      <c r="I398" s="1307" t="str">
        <f t="shared" si="45"/>
        <v/>
      </c>
      <c r="J398" s="1351"/>
      <c r="K398" s="1351" t="str">
        <f t="shared" si="46"/>
        <v/>
      </c>
      <c r="L398" s="853" t="s">
        <v>1289</v>
      </c>
      <c r="M398" s="1351">
        <v>367</v>
      </c>
      <c r="N398" s="1351"/>
      <c r="O398" s="1348"/>
      <c r="P398" s="1348"/>
      <c r="Q398" s="1348"/>
      <c r="R398" s="1348"/>
      <c r="S398" s="1348"/>
      <c r="T398" s="1348"/>
      <c r="U398" s="1348"/>
      <c r="V398" s="1348"/>
      <c r="W398" s="1348"/>
      <c r="X398" s="1348"/>
      <c r="Y398" s="1348"/>
      <c r="Z398" s="1348"/>
    </row>
    <row r="399" spans="1:26" x14ac:dyDescent="0.25">
      <c r="A399" s="873"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7" t="s">
        <v>1357</v>
      </c>
      <c r="E399" s="817" t="s">
        <v>1279</v>
      </c>
      <c r="F399" s="1351"/>
      <c r="G399" s="1351"/>
      <c r="H399" s="1351"/>
      <c r="I399" s="1307" t="str">
        <f t="shared" si="45"/>
        <v/>
      </c>
      <c r="J399" s="1351"/>
      <c r="K399" s="1351" t="str">
        <f t="shared" si="46"/>
        <v/>
      </c>
      <c r="L399" s="853" t="s">
        <v>252</v>
      </c>
      <c r="M399" s="1351">
        <v>368</v>
      </c>
      <c r="N399" s="1351"/>
      <c r="O399" s="1348"/>
      <c r="P399" s="1348"/>
      <c r="Q399" s="1348"/>
      <c r="R399" s="1348"/>
      <c r="S399" s="1348"/>
      <c r="T399" s="1348"/>
      <c r="U399" s="1348"/>
      <c r="V399" s="1348"/>
      <c r="W399" s="1348"/>
      <c r="X399" s="1348"/>
      <c r="Y399" s="1348"/>
      <c r="Z399" s="1348"/>
    </row>
    <row r="400" spans="1:26" x14ac:dyDescent="0.25">
      <c r="A400" s="873"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7" t="s">
        <v>1357</v>
      </c>
      <c r="E400" s="817" t="s">
        <v>1279</v>
      </c>
      <c r="F400" s="1351"/>
      <c r="G400" s="1351"/>
      <c r="H400" s="1351"/>
      <c r="I400" s="1307" t="str">
        <f t="shared" si="45"/>
        <v/>
      </c>
      <c r="J400" s="1351"/>
      <c r="K400" s="1351" t="str">
        <f t="shared" si="46"/>
        <v/>
      </c>
      <c r="L400" s="853" t="s">
        <v>1246</v>
      </c>
      <c r="M400" s="1351">
        <v>369</v>
      </c>
      <c r="N400" s="1351"/>
      <c r="O400" s="1348"/>
      <c r="P400" s="1348"/>
      <c r="Q400" s="1348"/>
      <c r="R400" s="1348"/>
      <c r="S400" s="1348"/>
      <c r="T400" s="1348"/>
      <c r="U400" s="1348"/>
      <c r="V400" s="1348"/>
      <c r="W400" s="1348"/>
      <c r="X400" s="1348"/>
      <c r="Y400" s="1348"/>
      <c r="Z400" s="1348"/>
    </row>
    <row r="401" spans="1:26" x14ac:dyDescent="0.25">
      <c r="A401" s="873"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7" t="s">
        <v>1357</v>
      </c>
      <c r="E401" s="817" t="s">
        <v>1279</v>
      </c>
      <c r="F401" s="1351"/>
      <c r="G401" s="1351"/>
      <c r="H401" s="1351"/>
      <c r="I401" s="1307" t="str">
        <f t="shared" si="45"/>
        <v/>
      </c>
      <c r="J401" s="1351"/>
      <c r="K401" s="1351" t="str">
        <f t="shared" si="46"/>
        <v/>
      </c>
      <c r="L401" s="853" t="s">
        <v>225</v>
      </c>
      <c r="M401" s="1351">
        <v>370</v>
      </c>
      <c r="N401" s="1351"/>
      <c r="O401" s="1348"/>
      <c r="P401" s="1348"/>
      <c r="Q401" s="1348"/>
      <c r="R401" s="1348"/>
      <c r="S401" s="1348"/>
      <c r="T401" s="1348"/>
      <c r="U401" s="1348"/>
      <c r="V401" s="1348"/>
      <c r="W401" s="1348"/>
      <c r="X401" s="1348"/>
      <c r="Y401" s="1348"/>
      <c r="Z401" s="1348"/>
    </row>
    <row r="402" spans="1:26" x14ac:dyDescent="0.25">
      <c r="A402" s="874" t="s">
        <v>463</v>
      </c>
      <c r="B402" s="1307" t="str">
        <f ca="1">_xlfn.CONCAT(IFERROR(SUBSTITUTE(ADDRESS(1,MATCH(A402,INDIRECT("'"&amp;E402&amp;"'"&amp;"!A9:Z9"),0),4),1,""),""),20)</f>
        <v>E20</v>
      </c>
      <c r="C402" s="1307" t="str">
        <f ca="1">_xlfn.CONCAT(IFERROR(SUBSTITUTE(ADDRESS(1,MATCH(A402,INDIRECT("'"&amp;E402&amp;"'"&amp;"!A9:Z9"),0),4),1,""),""))</f>
        <v>E</v>
      </c>
      <c r="D402" s="1351" t="s">
        <v>1357</v>
      </c>
      <c r="E402" s="817" t="s">
        <v>208</v>
      </c>
      <c r="F402" s="1351"/>
      <c r="G402" s="1351"/>
      <c r="H402" s="1351"/>
      <c r="I402" s="1307" t="str">
        <f t="shared" si="45"/>
        <v>Exclude PIM Classes Below</v>
      </c>
      <c r="J402" s="1351" t="str">
        <f t="shared" si="47"/>
        <v>F371</v>
      </c>
      <c r="K402" s="1351" t="str">
        <f t="shared" si="46"/>
        <v>PIM Model</v>
      </c>
      <c r="L402" s="853" t="s">
        <v>463</v>
      </c>
      <c r="M402" s="1351">
        <v>371</v>
      </c>
      <c r="N402" s="1351"/>
      <c r="O402" s="1348"/>
      <c r="P402" s="1348"/>
      <c r="Q402" s="1348"/>
      <c r="R402" s="1348"/>
      <c r="S402" s="1348"/>
      <c r="T402" s="1348"/>
      <c r="U402" s="1348"/>
      <c r="V402" s="1348"/>
      <c r="W402" s="1348"/>
      <c r="X402" s="1348"/>
      <c r="Y402" s="1348"/>
      <c r="Z402" s="1348"/>
    </row>
    <row r="403" spans="1:26" x14ac:dyDescent="0.25">
      <c r="A403" s="874"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7" t="s">
        <v>1357</v>
      </c>
      <c r="E403" s="817" t="s">
        <v>1279</v>
      </c>
      <c r="F403" s="1351"/>
      <c r="G403" s="1351"/>
      <c r="H403" s="1351"/>
      <c r="I403" s="1307" t="str">
        <f t="shared" si="45"/>
        <v>Special Pricing Code</v>
      </c>
      <c r="J403" s="1351" t="str">
        <f t="shared" si="47"/>
        <v>F372</v>
      </c>
      <c r="K403" s="1351" t="str">
        <f t="shared" si="46"/>
        <v>Pricing Schedule</v>
      </c>
      <c r="L403" s="853" t="s">
        <v>1282</v>
      </c>
      <c r="M403" s="1351">
        <v>372</v>
      </c>
      <c r="N403" s="1351"/>
      <c r="O403" s="1348"/>
      <c r="P403" s="1348"/>
      <c r="Q403" s="1348"/>
      <c r="R403" s="1348"/>
      <c r="S403" s="1348"/>
      <c r="T403" s="1348"/>
      <c r="U403" s="1348"/>
      <c r="V403" s="1348"/>
      <c r="W403" s="1348"/>
      <c r="X403" s="1348"/>
      <c r="Y403" s="1348"/>
      <c r="Z403" s="1348"/>
    </row>
    <row r="404" spans="1:26" x14ac:dyDescent="0.25">
      <c r="A404" s="874"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7" t="s">
        <v>1357</v>
      </c>
      <c r="E404" s="817" t="s">
        <v>1279</v>
      </c>
      <c r="F404" s="1130"/>
      <c r="G404" s="1351"/>
      <c r="H404" s="1351"/>
      <c r="I404" s="1307" t="str">
        <f t="shared" si="45"/>
        <v>EB Markup Amt</v>
      </c>
      <c r="J404" s="1351" t="str">
        <f t="shared" si="47"/>
        <v>F373</v>
      </c>
      <c r="K404" s="1351" t="str">
        <f t="shared" si="46"/>
        <v>Pricing Schedule</v>
      </c>
      <c r="L404" s="853" t="s">
        <v>1284</v>
      </c>
      <c r="M404" s="1351">
        <v>373</v>
      </c>
      <c r="N404" s="1351"/>
      <c r="O404" s="1348"/>
      <c r="P404" s="1348"/>
      <c r="Q404" s="1348"/>
      <c r="R404" s="1348"/>
      <c r="S404" s="1348"/>
      <c r="T404" s="1348"/>
      <c r="U404" s="1348"/>
      <c r="V404" s="1348"/>
      <c r="W404" s="1348"/>
      <c r="X404" s="1348"/>
      <c r="Y404" s="1348"/>
      <c r="Z404" s="1348"/>
    </row>
    <row r="405" spans="1:26" x14ac:dyDescent="0.25">
      <c r="A405" s="874"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7" t="s">
        <v>1357</v>
      </c>
      <c r="E405" s="817" t="s">
        <v>1279</v>
      </c>
      <c r="F405" s="1130"/>
      <c r="G405" s="1351"/>
      <c r="H405" s="1351"/>
      <c r="I405" s="1307" t="str">
        <f t="shared" si="45"/>
        <v>Min CS Markup Override Flag</v>
      </c>
      <c r="J405" s="1351" t="str">
        <f t="shared" si="47"/>
        <v>F374</v>
      </c>
      <c r="K405" s="1351" t="str">
        <f t="shared" si="46"/>
        <v>Pricing Schedule</v>
      </c>
      <c r="L405" s="853" t="s">
        <v>1285</v>
      </c>
      <c r="M405" s="1351">
        <v>374</v>
      </c>
      <c r="N405" s="1351"/>
      <c r="O405" s="1348"/>
      <c r="P405" s="1348"/>
      <c r="Q405" s="1348"/>
      <c r="R405" s="1348"/>
      <c r="S405" s="1348"/>
      <c r="T405" s="1348"/>
      <c r="U405" s="1348"/>
      <c r="V405" s="1348"/>
      <c r="W405" s="1348"/>
      <c r="X405" s="1348"/>
      <c r="Y405" s="1348"/>
      <c r="Z405" s="1348"/>
    </row>
    <row r="406" spans="1:26" x14ac:dyDescent="0.25">
      <c r="A406" s="874"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7" t="s">
        <v>1357</v>
      </c>
      <c r="E406" s="817" t="s">
        <v>1279</v>
      </c>
      <c r="F406" s="1130"/>
      <c r="G406" s="1351"/>
      <c r="H406" s="1351"/>
      <c r="I406" s="1307" t="str">
        <f t="shared" si="45"/>
        <v>Min CS Markup Amt</v>
      </c>
      <c r="J406" s="1351" t="str">
        <f t="shared" si="47"/>
        <v>F375</v>
      </c>
      <c r="K406" s="1351" t="str">
        <f t="shared" si="46"/>
        <v>Pricing Schedule</v>
      </c>
      <c r="L406" s="853" t="s">
        <v>1286</v>
      </c>
      <c r="M406" s="1351">
        <v>375</v>
      </c>
      <c r="N406" s="1351"/>
      <c r="O406" s="1348"/>
      <c r="P406" s="1348"/>
      <c r="Q406" s="1348"/>
      <c r="R406" s="1348"/>
      <c r="S406" s="1348"/>
      <c r="T406" s="1348"/>
      <c r="U406" s="1348"/>
      <c r="V406" s="1348"/>
      <c r="W406" s="1348"/>
      <c r="X406" s="1348"/>
      <c r="Y406" s="1348"/>
      <c r="Z406" s="1348"/>
    </row>
    <row r="407" spans="1:26" x14ac:dyDescent="0.25">
      <c r="A407" s="874"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7" t="s">
        <v>1357</v>
      </c>
      <c r="E407" s="817" t="s">
        <v>1279</v>
      </c>
      <c r="F407" s="1130"/>
      <c r="G407" s="1351"/>
      <c r="H407" s="1351"/>
      <c r="I407" s="1307" t="str">
        <f t="shared" si="45"/>
        <v>Split Case Fee Override Flag</v>
      </c>
      <c r="J407" s="1351" t="str">
        <f t="shared" si="47"/>
        <v>F376</v>
      </c>
      <c r="K407" s="1351" t="str">
        <f t="shared" si="46"/>
        <v>Pricing Schedule</v>
      </c>
      <c r="L407" s="853" t="s">
        <v>1287</v>
      </c>
      <c r="M407" s="1351">
        <v>376</v>
      </c>
      <c r="N407" s="1351"/>
      <c r="O407" s="1348"/>
      <c r="P407" s="1348"/>
      <c r="Q407" s="1348"/>
      <c r="R407" s="1348"/>
      <c r="S407" s="1348"/>
      <c r="T407" s="1348"/>
      <c r="U407" s="1348"/>
      <c r="V407" s="1348"/>
      <c r="W407" s="1348"/>
      <c r="X407" s="1348"/>
      <c r="Y407" s="1348"/>
      <c r="Z407" s="1348"/>
    </row>
    <row r="408" spans="1:26" x14ac:dyDescent="0.25">
      <c r="A408" s="874"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7" t="s">
        <v>1357</v>
      </c>
      <c r="E408" s="817" t="s">
        <v>1279</v>
      </c>
      <c r="F408" s="1130"/>
      <c r="G408" s="1351"/>
      <c r="H408" s="1351"/>
      <c r="I408" s="1307" t="str">
        <f t="shared" si="45"/>
        <v>Split Case Fee</v>
      </c>
      <c r="J408" s="1351" t="str">
        <f t="shared" si="47"/>
        <v>F377</v>
      </c>
      <c r="K408" s="1351" t="str">
        <f t="shared" si="46"/>
        <v>Pricing Schedule</v>
      </c>
      <c r="L408" s="853" t="s">
        <v>1288</v>
      </c>
      <c r="M408" s="1351">
        <v>377</v>
      </c>
      <c r="N408" s="1351"/>
      <c r="O408" s="1348"/>
      <c r="P408" s="1348"/>
      <c r="Q408" s="1348"/>
      <c r="R408" s="1348"/>
      <c r="S408" s="1348"/>
      <c r="T408" s="1348"/>
      <c r="U408" s="1348"/>
      <c r="V408" s="1348"/>
      <c r="W408" s="1348"/>
      <c r="X408" s="1348"/>
      <c r="Y408" s="1348"/>
      <c r="Z408" s="1348"/>
    </row>
    <row r="409" spans="1:26" x14ac:dyDescent="0.25">
      <c r="A409" s="874"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7" t="s">
        <v>1357</v>
      </c>
      <c r="E409" s="817" t="s">
        <v>1279</v>
      </c>
      <c r="F409" s="1130"/>
      <c r="G409" s="1351"/>
      <c r="H409" s="1351"/>
      <c r="I409" s="1307" t="str">
        <f t="shared" si="45"/>
        <v>Split Case Per</v>
      </c>
      <c r="J409" s="1351" t="str">
        <f t="shared" si="47"/>
        <v>F378</v>
      </c>
      <c r="K409" s="1351" t="str">
        <f t="shared" si="46"/>
        <v>Pricing Schedule</v>
      </c>
      <c r="L409" s="853" t="s">
        <v>1228</v>
      </c>
      <c r="M409" s="1351">
        <v>378</v>
      </c>
      <c r="N409" s="1351"/>
      <c r="O409" s="1348"/>
      <c r="P409" s="1348"/>
      <c r="Q409" s="1348"/>
      <c r="R409" s="1348"/>
      <c r="S409" s="1348"/>
      <c r="T409" s="1348"/>
      <c r="U409" s="1348"/>
      <c r="V409" s="1348"/>
      <c r="W409" s="1348"/>
      <c r="X409" s="1348"/>
      <c r="Y409" s="1348"/>
      <c r="Z409" s="1348"/>
    </row>
    <row r="410" spans="1:26" x14ac:dyDescent="0.25">
      <c r="A410" s="875"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7" t="s">
        <v>1357</v>
      </c>
      <c r="E410" s="817" t="s">
        <v>1279</v>
      </c>
      <c r="F410" s="1351"/>
      <c r="G410" s="1351"/>
      <c r="H410" s="1351"/>
      <c r="I410" s="1307" t="str">
        <f t="shared" si="45"/>
        <v/>
      </c>
      <c r="J410" s="1351"/>
      <c r="K410" s="1351" t="str">
        <f t="shared" si="46"/>
        <v/>
      </c>
      <c r="L410" s="853" t="s">
        <v>1289</v>
      </c>
      <c r="M410" s="1351">
        <v>379</v>
      </c>
      <c r="N410" s="1351"/>
      <c r="O410" s="1348"/>
      <c r="P410" s="1348"/>
      <c r="Q410" s="1348"/>
      <c r="R410" s="1348"/>
      <c r="S410" s="1348"/>
      <c r="T410" s="1348"/>
      <c r="U410" s="1348"/>
      <c r="V410" s="1348"/>
      <c r="W410" s="1348"/>
      <c r="X410" s="1348"/>
      <c r="Y410" s="1348"/>
      <c r="Z410" s="1348"/>
    </row>
    <row r="411" spans="1:26" x14ac:dyDescent="0.25">
      <c r="A411" s="876"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7" t="s">
        <v>1357</v>
      </c>
      <c r="E411" s="817" t="s">
        <v>1279</v>
      </c>
      <c r="F411" s="1351"/>
      <c r="G411" s="1351"/>
      <c r="H411" s="1351"/>
      <c r="I411" s="1307" t="str">
        <f t="shared" si="45"/>
        <v/>
      </c>
      <c r="J411" s="1351"/>
      <c r="K411" s="1351" t="str">
        <f t="shared" si="46"/>
        <v/>
      </c>
      <c r="L411" s="853" t="s">
        <v>252</v>
      </c>
      <c r="M411" s="1351">
        <v>380</v>
      </c>
      <c r="N411" s="1351"/>
      <c r="O411" s="1348"/>
      <c r="P411" s="1348"/>
      <c r="Q411" s="1348"/>
      <c r="R411" s="1348"/>
      <c r="S411" s="1348"/>
      <c r="T411" s="1348"/>
      <c r="U411" s="1348"/>
      <c r="V411" s="1348"/>
      <c r="W411" s="1348"/>
      <c r="X411" s="1348"/>
      <c r="Y411" s="1348"/>
      <c r="Z411" s="1348"/>
    </row>
    <row r="412" spans="1:26" x14ac:dyDescent="0.25">
      <c r="A412" s="876"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7" t="s">
        <v>1357</v>
      </c>
      <c r="E412" s="817" t="s">
        <v>1279</v>
      </c>
      <c r="F412" s="1351"/>
      <c r="G412" s="1351"/>
      <c r="H412" s="1351"/>
      <c r="I412" s="1307" t="str">
        <f t="shared" si="45"/>
        <v/>
      </c>
      <c r="J412" s="1351"/>
      <c r="K412" s="1351" t="str">
        <f t="shared" si="46"/>
        <v/>
      </c>
      <c r="L412" s="853" t="s">
        <v>1246</v>
      </c>
      <c r="M412" s="1351">
        <v>381</v>
      </c>
      <c r="N412" s="1351"/>
      <c r="O412" s="1348"/>
      <c r="P412" s="1348"/>
      <c r="Q412" s="1348"/>
      <c r="R412" s="1348"/>
      <c r="S412" s="1348"/>
      <c r="T412" s="1348"/>
      <c r="U412" s="1348"/>
      <c r="V412" s="1348"/>
      <c r="W412" s="1348"/>
      <c r="X412" s="1348"/>
      <c r="Y412" s="1348"/>
      <c r="Z412" s="1348"/>
    </row>
    <row r="413" spans="1:26" x14ac:dyDescent="0.25">
      <c r="A413" s="876"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7" t="s">
        <v>1357</v>
      </c>
      <c r="E413" s="817" t="s">
        <v>1279</v>
      </c>
      <c r="F413" s="1351"/>
      <c r="G413" s="1351"/>
      <c r="H413" s="1351"/>
      <c r="I413" s="1307" t="str">
        <f t="shared" si="45"/>
        <v/>
      </c>
      <c r="J413" s="1351"/>
      <c r="K413" s="1351" t="str">
        <f t="shared" si="46"/>
        <v/>
      </c>
      <c r="L413" s="853" t="s">
        <v>225</v>
      </c>
      <c r="M413" s="1351">
        <v>382</v>
      </c>
      <c r="N413" s="1351"/>
      <c r="O413" s="1348"/>
      <c r="P413" s="1348"/>
      <c r="Q413" s="1348"/>
      <c r="R413" s="1348"/>
      <c r="S413" s="1348"/>
      <c r="T413" s="1348"/>
      <c r="U413" s="1348"/>
      <c r="V413" s="1348"/>
      <c r="W413" s="1348"/>
      <c r="X413" s="1348"/>
      <c r="Y413" s="1348"/>
      <c r="Z413" s="1348"/>
    </row>
    <row r="414" spans="1:26" x14ac:dyDescent="0.25">
      <c r="A414" s="877" t="s">
        <v>463</v>
      </c>
      <c r="B414" s="1307" t="str">
        <f ca="1">_xlfn.CONCAT(IFERROR(SUBSTITUTE(ADDRESS(1,MATCH(A414,INDIRECT("'"&amp;E414&amp;"'"&amp;"!A9:Z9"),0),4),1,""),""),21)</f>
        <v>E21</v>
      </c>
      <c r="C414" s="1307" t="str">
        <f ca="1">_xlfn.CONCAT(IFERROR(SUBSTITUTE(ADDRESS(1,MATCH(A414,INDIRECT("'"&amp;E414&amp;"'"&amp;"!A9:Z9"),0),4),1,""),""))</f>
        <v>E</v>
      </c>
      <c r="D414" s="1351" t="s">
        <v>1357</v>
      </c>
      <c r="E414" s="817" t="s">
        <v>208</v>
      </c>
      <c r="F414" s="1351"/>
      <c r="G414" s="1351"/>
      <c r="H414" s="1351"/>
      <c r="I414" s="1307" t="str">
        <f t="shared" si="45"/>
        <v>Exclude PIM Classes Below</v>
      </c>
      <c r="J414" s="1351" t="str">
        <f t="shared" si="47"/>
        <v>F383</v>
      </c>
      <c r="K414" s="1351" t="str">
        <f t="shared" si="46"/>
        <v>PIM Model</v>
      </c>
      <c r="L414" s="853" t="s">
        <v>463</v>
      </c>
      <c r="M414" s="1351">
        <v>383</v>
      </c>
      <c r="N414" s="1351"/>
      <c r="O414" s="1348"/>
      <c r="P414" s="1348"/>
      <c r="Q414" s="1348"/>
      <c r="R414" s="1348"/>
      <c r="S414" s="1348"/>
      <c r="T414" s="1348"/>
      <c r="U414" s="1348"/>
      <c r="V414" s="1348"/>
      <c r="W414" s="1348"/>
      <c r="X414" s="1348"/>
      <c r="Y414" s="1348"/>
      <c r="Z414" s="1348"/>
    </row>
    <row r="415" spans="1:26" x14ac:dyDescent="0.25">
      <c r="A415" s="877"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7" t="s">
        <v>1357</v>
      </c>
      <c r="E415" s="817" t="s">
        <v>1279</v>
      </c>
      <c r="F415" s="1351"/>
      <c r="G415" s="1351"/>
      <c r="H415" s="1351"/>
      <c r="I415" s="1307" t="str">
        <f t="shared" si="45"/>
        <v>Special Pricing Code</v>
      </c>
      <c r="J415" s="1351" t="str">
        <f t="shared" si="47"/>
        <v>F384</v>
      </c>
      <c r="K415" s="1351" t="str">
        <f t="shared" si="46"/>
        <v>Pricing Schedule</v>
      </c>
      <c r="L415" s="853" t="s">
        <v>1282</v>
      </c>
      <c r="M415" s="1351">
        <v>384</v>
      </c>
      <c r="N415" s="1351"/>
      <c r="O415" s="1348"/>
      <c r="P415" s="1348"/>
      <c r="Q415" s="1348"/>
      <c r="R415" s="1348"/>
      <c r="S415" s="1348"/>
      <c r="T415" s="1348"/>
      <c r="U415" s="1348"/>
      <c r="V415" s="1348"/>
      <c r="W415" s="1348"/>
      <c r="X415" s="1348"/>
      <c r="Y415" s="1348"/>
      <c r="Z415" s="1348"/>
    </row>
    <row r="416" spans="1:26" x14ac:dyDescent="0.25">
      <c r="A416" s="877"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7" t="s">
        <v>1357</v>
      </c>
      <c r="E416" s="817" t="s">
        <v>1279</v>
      </c>
      <c r="F416" s="1130"/>
      <c r="G416" s="1351"/>
      <c r="H416" s="1351"/>
      <c r="I416" s="1307" t="str">
        <f t="shared" si="45"/>
        <v>EB Markup Amt</v>
      </c>
      <c r="J416" s="1351" t="str">
        <f t="shared" si="47"/>
        <v>F385</v>
      </c>
      <c r="K416" s="1351" t="str">
        <f t="shared" si="46"/>
        <v>Pricing Schedule</v>
      </c>
      <c r="L416" s="853" t="s">
        <v>1284</v>
      </c>
      <c r="M416" s="1351">
        <v>385</v>
      </c>
      <c r="N416" s="1351"/>
      <c r="O416" s="1348"/>
      <c r="P416" s="1348"/>
      <c r="Q416" s="1348"/>
      <c r="R416" s="1348"/>
      <c r="S416" s="1348"/>
      <c r="T416" s="1348"/>
      <c r="U416" s="1348"/>
      <c r="V416" s="1348"/>
      <c r="W416" s="1348"/>
      <c r="X416" s="1348"/>
      <c r="Y416" s="1348"/>
      <c r="Z416" s="1348"/>
    </row>
    <row r="417" spans="1:26" x14ac:dyDescent="0.25">
      <c r="A417" s="877"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7" t="s">
        <v>1357</v>
      </c>
      <c r="E417" s="817" t="s">
        <v>1279</v>
      </c>
      <c r="F417" s="1130"/>
      <c r="G417" s="1351"/>
      <c r="H417" s="1351"/>
      <c r="I417" s="1307" t="str">
        <f t="shared" si="45"/>
        <v>Min CS Markup Override Flag</v>
      </c>
      <c r="J417" s="1351" t="str">
        <f t="shared" si="47"/>
        <v>F386</v>
      </c>
      <c r="K417" s="1351" t="str">
        <f t="shared" si="46"/>
        <v>Pricing Schedule</v>
      </c>
      <c r="L417" s="853" t="s">
        <v>1285</v>
      </c>
      <c r="M417" s="1351">
        <v>386</v>
      </c>
      <c r="N417" s="1351"/>
      <c r="O417" s="1348"/>
      <c r="P417" s="1348"/>
      <c r="Q417" s="1348"/>
      <c r="R417" s="1348"/>
      <c r="S417" s="1348"/>
      <c r="T417" s="1348"/>
      <c r="U417" s="1348"/>
      <c r="V417" s="1348"/>
      <c r="W417" s="1348"/>
      <c r="X417" s="1348"/>
      <c r="Y417" s="1348"/>
      <c r="Z417" s="1348"/>
    </row>
    <row r="418" spans="1:26" x14ac:dyDescent="0.25">
      <c r="A418" s="877"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7" t="s">
        <v>1357</v>
      </c>
      <c r="E418" s="817" t="s">
        <v>1279</v>
      </c>
      <c r="F418" s="1130"/>
      <c r="G418" s="1351"/>
      <c r="H418" s="1351"/>
      <c r="I418" s="1307" t="str">
        <f t="shared" si="45"/>
        <v>Min CS Markup Amt</v>
      </c>
      <c r="J418" s="1351" t="str">
        <f t="shared" si="47"/>
        <v>F387</v>
      </c>
      <c r="K418" s="1351" t="str">
        <f t="shared" si="46"/>
        <v>Pricing Schedule</v>
      </c>
      <c r="L418" s="853" t="s">
        <v>1286</v>
      </c>
      <c r="M418" s="1351">
        <v>387</v>
      </c>
      <c r="N418" s="1351"/>
      <c r="O418" s="1348"/>
      <c r="P418" s="1348"/>
      <c r="Q418" s="1348"/>
      <c r="R418" s="1348"/>
      <c r="S418" s="1348"/>
      <c r="T418" s="1348"/>
      <c r="U418" s="1348"/>
      <c r="V418" s="1348"/>
      <c r="W418" s="1348"/>
      <c r="X418" s="1348"/>
      <c r="Y418" s="1348"/>
      <c r="Z418" s="1348"/>
    </row>
    <row r="419" spans="1:26" x14ac:dyDescent="0.25">
      <c r="A419" s="877"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7" t="s">
        <v>1357</v>
      </c>
      <c r="E419" s="817" t="s">
        <v>1279</v>
      </c>
      <c r="F419" s="1130"/>
      <c r="G419" s="1351"/>
      <c r="H419" s="1351"/>
      <c r="I419" s="1307" t="str">
        <f t="shared" si="45"/>
        <v>Split Case Fee Override Flag</v>
      </c>
      <c r="J419" s="1351" t="str">
        <f t="shared" si="47"/>
        <v>F388</v>
      </c>
      <c r="K419" s="1351" t="str">
        <f t="shared" si="46"/>
        <v>Pricing Schedule</v>
      </c>
      <c r="L419" s="853" t="s">
        <v>1287</v>
      </c>
      <c r="M419" s="1351">
        <v>388</v>
      </c>
      <c r="N419" s="1351"/>
      <c r="O419" s="1348"/>
      <c r="P419" s="1348"/>
      <c r="Q419" s="1348"/>
      <c r="R419" s="1348"/>
      <c r="S419" s="1348"/>
      <c r="T419" s="1348"/>
      <c r="U419" s="1348"/>
      <c r="V419" s="1348"/>
      <c r="W419" s="1348"/>
      <c r="X419" s="1348"/>
      <c r="Y419" s="1348"/>
      <c r="Z419" s="1348"/>
    </row>
    <row r="420" spans="1:26" x14ac:dyDescent="0.25">
      <c r="A420" s="877"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7" t="s">
        <v>1357</v>
      </c>
      <c r="E420" s="817" t="s">
        <v>1279</v>
      </c>
      <c r="F420" s="1130"/>
      <c r="G420" s="1351"/>
      <c r="H420" s="1351"/>
      <c r="I420" s="1307" t="str">
        <f t="shared" si="45"/>
        <v>Split Case Fee</v>
      </c>
      <c r="J420" s="1351" t="str">
        <f t="shared" si="47"/>
        <v>F389</v>
      </c>
      <c r="K420" s="1351" t="str">
        <f t="shared" si="46"/>
        <v>Pricing Schedule</v>
      </c>
      <c r="L420" s="853" t="s">
        <v>1288</v>
      </c>
      <c r="M420" s="1351">
        <v>389</v>
      </c>
      <c r="N420" s="1351"/>
      <c r="O420" s="1348"/>
      <c r="P420" s="1348"/>
      <c r="Q420" s="1348"/>
      <c r="R420" s="1348"/>
      <c r="S420" s="1348"/>
      <c r="T420" s="1348"/>
      <c r="U420" s="1348"/>
      <c r="V420" s="1348"/>
      <c r="W420" s="1348"/>
      <c r="X420" s="1348"/>
      <c r="Y420" s="1348"/>
      <c r="Z420" s="1348"/>
    </row>
    <row r="421" spans="1:26" x14ac:dyDescent="0.25">
      <c r="A421" s="877"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7" t="s">
        <v>1357</v>
      </c>
      <c r="E421" s="817" t="s">
        <v>1279</v>
      </c>
      <c r="F421" s="1130"/>
      <c r="G421" s="1351"/>
      <c r="H421" s="1351"/>
      <c r="I421" s="1307" t="str">
        <f t="shared" si="45"/>
        <v>Split Case Per</v>
      </c>
      <c r="J421" s="1351" t="str">
        <f t="shared" si="47"/>
        <v>F390</v>
      </c>
      <c r="K421" s="1351" t="str">
        <f t="shared" si="46"/>
        <v>Pricing Schedule</v>
      </c>
      <c r="L421" s="853" t="s">
        <v>1228</v>
      </c>
      <c r="M421" s="1351">
        <v>390</v>
      </c>
      <c r="N421" s="1351"/>
      <c r="O421" s="1348"/>
      <c r="P421" s="1348"/>
      <c r="Q421" s="1348"/>
      <c r="R421" s="1348"/>
      <c r="S421" s="1348"/>
      <c r="T421" s="1348"/>
      <c r="U421" s="1348"/>
      <c r="V421" s="1348"/>
      <c r="W421" s="1348"/>
      <c r="X421" s="1348"/>
      <c r="Y421" s="1348"/>
      <c r="Z421" s="1348"/>
    </row>
    <row r="422" spans="1:26" x14ac:dyDescent="0.25">
      <c r="A422" s="872"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7" t="s">
        <v>1357</v>
      </c>
      <c r="E422" s="817" t="s">
        <v>1279</v>
      </c>
      <c r="F422" s="1351"/>
      <c r="G422" s="1351"/>
      <c r="H422" s="1351"/>
      <c r="I422" s="1307" t="str">
        <f t="shared" si="45"/>
        <v/>
      </c>
      <c r="J422" s="1351"/>
      <c r="K422" s="1351" t="str">
        <f t="shared" si="46"/>
        <v/>
      </c>
      <c r="L422" s="853" t="s">
        <v>1289</v>
      </c>
      <c r="M422" s="1351">
        <v>391</v>
      </c>
      <c r="N422" s="1351"/>
      <c r="O422" s="1348"/>
      <c r="P422" s="1348"/>
      <c r="Q422" s="1348"/>
      <c r="R422" s="1348"/>
      <c r="S422" s="1348"/>
      <c r="T422" s="1348"/>
      <c r="U422" s="1348"/>
      <c r="V422" s="1348"/>
      <c r="W422" s="1348"/>
      <c r="X422" s="1348"/>
      <c r="Y422" s="1348"/>
      <c r="Z422" s="1348"/>
    </row>
    <row r="423" spans="1:26" x14ac:dyDescent="0.25">
      <c r="A423" s="873"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7" t="s">
        <v>1357</v>
      </c>
      <c r="E423" s="817" t="s">
        <v>1279</v>
      </c>
      <c r="F423" s="1351"/>
      <c r="G423" s="1351"/>
      <c r="H423" s="1351"/>
      <c r="I423" s="1307" t="str">
        <f t="shared" si="45"/>
        <v/>
      </c>
      <c r="J423" s="1351"/>
      <c r="K423" s="1351" t="str">
        <f t="shared" si="46"/>
        <v/>
      </c>
      <c r="L423" s="853" t="s">
        <v>252</v>
      </c>
      <c r="M423" s="1351">
        <v>392</v>
      </c>
      <c r="N423" s="1351"/>
      <c r="O423" s="1348"/>
      <c r="P423" s="1348"/>
      <c r="Q423" s="1348"/>
      <c r="R423" s="1348"/>
      <c r="S423" s="1348"/>
      <c r="T423" s="1348"/>
      <c r="U423" s="1348"/>
      <c r="V423" s="1348"/>
      <c r="W423" s="1348"/>
      <c r="X423" s="1348"/>
      <c r="Y423" s="1348"/>
      <c r="Z423" s="1348"/>
    </row>
    <row r="424" spans="1:26" x14ac:dyDescent="0.25">
      <c r="A424" s="873"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7" t="s">
        <v>1357</v>
      </c>
      <c r="E424" s="817" t="s">
        <v>1279</v>
      </c>
      <c r="F424" s="1351"/>
      <c r="G424" s="1351"/>
      <c r="H424" s="1351"/>
      <c r="I424" s="1307" t="str">
        <f t="shared" si="45"/>
        <v/>
      </c>
      <c r="J424" s="1351"/>
      <c r="K424" s="1351" t="str">
        <f t="shared" si="46"/>
        <v/>
      </c>
      <c r="L424" s="853" t="s">
        <v>1246</v>
      </c>
      <c r="M424" s="1351">
        <v>393</v>
      </c>
      <c r="N424" s="1351"/>
      <c r="O424" s="1348"/>
      <c r="P424" s="1348"/>
      <c r="Q424" s="1348"/>
      <c r="R424" s="1348"/>
      <c r="S424" s="1348"/>
      <c r="T424" s="1348"/>
      <c r="U424" s="1348"/>
      <c r="V424" s="1348"/>
      <c r="W424" s="1348"/>
      <c r="X424" s="1348"/>
      <c r="Y424" s="1348"/>
      <c r="Z424" s="1348"/>
    </row>
    <row r="425" spans="1:26" x14ac:dyDescent="0.25">
      <c r="A425" s="873"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7" t="s">
        <v>1357</v>
      </c>
      <c r="E425" s="817" t="s">
        <v>1279</v>
      </c>
      <c r="F425" s="1351"/>
      <c r="G425" s="1351"/>
      <c r="H425" s="1351"/>
      <c r="I425" s="1307" t="str">
        <f t="shared" si="45"/>
        <v/>
      </c>
      <c r="J425" s="1351"/>
      <c r="K425" s="1351" t="str">
        <f t="shared" si="46"/>
        <v/>
      </c>
      <c r="L425" s="853" t="s">
        <v>225</v>
      </c>
      <c r="M425" s="1351">
        <v>394</v>
      </c>
      <c r="N425" s="1351"/>
      <c r="O425" s="1348"/>
      <c r="P425" s="1348"/>
      <c r="Q425" s="1348"/>
      <c r="R425" s="1348"/>
      <c r="S425" s="1348"/>
      <c r="T425" s="1348"/>
      <c r="U425" s="1348"/>
      <c r="V425" s="1348"/>
      <c r="W425" s="1348"/>
      <c r="X425" s="1348"/>
      <c r="Y425" s="1348"/>
      <c r="Z425" s="1348"/>
    </row>
    <row r="426" spans="1:26" x14ac:dyDescent="0.25">
      <c r="A426" s="874" t="s">
        <v>463</v>
      </c>
      <c r="B426" s="1307" t="str">
        <f ca="1">_xlfn.CONCAT(IFERROR(SUBSTITUTE(ADDRESS(1,MATCH(A426,INDIRECT("'"&amp;E426&amp;"'"&amp;"!A9:Z9"),0),4),1,""),""),22)</f>
        <v>E22</v>
      </c>
      <c r="C426" s="1307" t="str">
        <f ca="1">_xlfn.CONCAT(IFERROR(SUBSTITUTE(ADDRESS(1,MATCH(A426,INDIRECT("'"&amp;E426&amp;"'"&amp;"!A9:Z9"),0),4),1,""),""))</f>
        <v>E</v>
      </c>
      <c r="D426" s="1351" t="s">
        <v>1357</v>
      </c>
      <c r="E426" s="817" t="s">
        <v>208</v>
      </c>
      <c r="F426" s="1351"/>
      <c r="G426" s="1351"/>
      <c r="H426" s="1351"/>
      <c r="I426" s="1307" t="str">
        <f t="shared" si="45"/>
        <v>Exclude PIM Classes Below</v>
      </c>
      <c r="J426" s="1351" t="str">
        <f t="shared" si="47"/>
        <v>F395</v>
      </c>
      <c r="K426" s="1351" t="str">
        <f t="shared" si="46"/>
        <v>PIM Model</v>
      </c>
      <c r="L426" s="853" t="s">
        <v>463</v>
      </c>
      <c r="M426" s="1351">
        <v>395</v>
      </c>
      <c r="N426" s="1351"/>
      <c r="O426" s="1348"/>
      <c r="P426" s="1348"/>
      <c r="Q426" s="1348"/>
      <c r="R426" s="1348"/>
      <c r="S426" s="1348"/>
      <c r="T426" s="1348"/>
      <c r="U426" s="1348"/>
      <c r="V426" s="1348"/>
      <c r="W426" s="1348"/>
      <c r="X426" s="1348"/>
      <c r="Y426" s="1348"/>
      <c r="Z426" s="1348"/>
    </row>
    <row r="427" spans="1:26" x14ac:dyDescent="0.25">
      <c r="A427" s="874"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7" t="s">
        <v>1357</v>
      </c>
      <c r="E427" s="817" t="s">
        <v>1279</v>
      </c>
      <c r="F427" s="1351"/>
      <c r="G427" s="1351"/>
      <c r="H427" s="1351"/>
      <c r="I427" s="1307" t="str">
        <f t="shared" si="45"/>
        <v>Special Pricing Code</v>
      </c>
      <c r="J427" s="1351" t="str">
        <f t="shared" si="47"/>
        <v>F396</v>
      </c>
      <c r="K427" s="1351" t="str">
        <f t="shared" si="46"/>
        <v>Pricing Schedule</v>
      </c>
      <c r="L427" s="853" t="s">
        <v>1282</v>
      </c>
      <c r="M427" s="1351">
        <v>396</v>
      </c>
      <c r="N427" s="1351"/>
      <c r="O427" s="1348"/>
      <c r="P427" s="1348"/>
      <c r="Q427" s="1348"/>
      <c r="R427" s="1348"/>
      <c r="S427" s="1348"/>
      <c r="T427" s="1348"/>
      <c r="U427" s="1348"/>
      <c r="V427" s="1348"/>
      <c r="W427" s="1348"/>
      <c r="X427" s="1348"/>
      <c r="Y427" s="1348"/>
      <c r="Z427" s="1348"/>
    </row>
    <row r="428" spans="1:26" x14ac:dyDescent="0.25">
      <c r="A428" s="874"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7" t="s">
        <v>1357</v>
      </c>
      <c r="E428" s="817" t="s">
        <v>1279</v>
      </c>
      <c r="F428" s="1130"/>
      <c r="G428" s="1351"/>
      <c r="H428" s="1351"/>
      <c r="I428" s="1307" t="str">
        <f t="shared" si="45"/>
        <v>EB Markup Amt</v>
      </c>
      <c r="J428" s="1351" t="str">
        <f t="shared" si="47"/>
        <v>F397</v>
      </c>
      <c r="K428" s="1351" t="str">
        <f t="shared" si="46"/>
        <v>Pricing Schedule</v>
      </c>
      <c r="L428" s="853" t="s">
        <v>1284</v>
      </c>
      <c r="M428" s="1351">
        <v>397</v>
      </c>
      <c r="N428" s="1351"/>
      <c r="O428" s="1348"/>
      <c r="P428" s="1348"/>
      <c r="Q428" s="1348"/>
      <c r="R428" s="1348"/>
      <c r="S428" s="1348"/>
      <c r="T428" s="1348"/>
      <c r="U428" s="1348"/>
      <c r="V428" s="1348"/>
      <c r="W428" s="1348"/>
      <c r="X428" s="1348"/>
      <c r="Y428" s="1348"/>
      <c r="Z428" s="1348"/>
    </row>
    <row r="429" spans="1:26" x14ac:dyDescent="0.25">
      <c r="A429" s="874"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7" t="s">
        <v>1357</v>
      </c>
      <c r="E429" s="817" t="s">
        <v>1279</v>
      </c>
      <c r="F429" s="1130"/>
      <c r="G429" s="1351"/>
      <c r="H429" s="1351"/>
      <c r="I429" s="1307" t="str">
        <f t="shared" si="45"/>
        <v>Min CS Markup Override Flag</v>
      </c>
      <c r="J429" s="1351" t="str">
        <f t="shared" si="47"/>
        <v>F398</v>
      </c>
      <c r="K429" s="1351" t="str">
        <f t="shared" si="46"/>
        <v>Pricing Schedule</v>
      </c>
      <c r="L429" s="853" t="s">
        <v>1285</v>
      </c>
      <c r="M429" s="1351">
        <v>398</v>
      </c>
      <c r="N429" s="1351"/>
      <c r="O429" s="1348"/>
      <c r="P429" s="1348"/>
      <c r="Q429" s="1348"/>
      <c r="R429" s="1348"/>
      <c r="S429" s="1348"/>
      <c r="T429" s="1348"/>
      <c r="U429" s="1348"/>
      <c r="V429" s="1348"/>
      <c r="W429" s="1348"/>
      <c r="X429" s="1348"/>
      <c r="Y429" s="1348"/>
      <c r="Z429" s="1348"/>
    </row>
    <row r="430" spans="1:26" x14ac:dyDescent="0.25">
      <c r="A430" s="874"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7" t="s">
        <v>1357</v>
      </c>
      <c r="E430" s="817" t="s">
        <v>1279</v>
      </c>
      <c r="F430" s="1130"/>
      <c r="G430" s="1351"/>
      <c r="H430" s="1351"/>
      <c r="I430" s="1307" t="str">
        <f t="shared" si="45"/>
        <v>Min CS Markup Amt</v>
      </c>
      <c r="J430" s="1351" t="str">
        <f t="shared" si="47"/>
        <v>F399</v>
      </c>
      <c r="K430" s="1351" t="str">
        <f t="shared" si="46"/>
        <v>Pricing Schedule</v>
      </c>
      <c r="L430" s="853" t="s">
        <v>1286</v>
      </c>
      <c r="M430" s="1351">
        <v>399</v>
      </c>
      <c r="N430" s="1351"/>
      <c r="O430" s="1348"/>
      <c r="P430" s="1348"/>
      <c r="Q430" s="1348"/>
      <c r="R430" s="1348"/>
      <c r="S430" s="1348"/>
      <c r="T430" s="1348"/>
      <c r="U430" s="1348"/>
      <c r="V430" s="1348"/>
      <c r="W430" s="1348"/>
      <c r="X430" s="1348"/>
      <c r="Y430" s="1348"/>
      <c r="Z430" s="1348"/>
    </row>
    <row r="431" spans="1:26" x14ac:dyDescent="0.25">
      <c r="A431" s="874"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7" t="s">
        <v>1357</v>
      </c>
      <c r="E431" s="817" t="s">
        <v>1279</v>
      </c>
      <c r="F431" s="1130"/>
      <c r="G431" s="1351"/>
      <c r="H431" s="1351"/>
      <c r="I431" s="1307" t="str">
        <f t="shared" si="45"/>
        <v>Split Case Fee Override Flag</v>
      </c>
      <c r="J431" s="1351" t="str">
        <f t="shared" si="47"/>
        <v>F400</v>
      </c>
      <c r="K431" s="1351" t="str">
        <f t="shared" si="46"/>
        <v>Pricing Schedule</v>
      </c>
      <c r="L431" s="853" t="s">
        <v>1287</v>
      </c>
      <c r="M431" s="1351">
        <v>400</v>
      </c>
      <c r="N431" s="1351"/>
      <c r="O431" s="1348"/>
      <c r="P431" s="1348"/>
      <c r="Q431" s="1348"/>
      <c r="R431" s="1348"/>
      <c r="S431" s="1348"/>
      <c r="T431" s="1348"/>
      <c r="U431" s="1348"/>
      <c r="V431" s="1348"/>
      <c r="W431" s="1348"/>
      <c r="X431" s="1348"/>
      <c r="Y431" s="1348"/>
      <c r="Z431" s="1348"/>
    </row>
    <row r="432" spans="1:26" x14ac:dyDescent="0.25">
      <c r="A432" s="874"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7" t="s">
        <v>1357</v>
      </c>
      <c r="E432" s="817" t="s">
        <v>1279</v>
      </c>
      <c r="F432" s="1130"/>
      <c r="G432" s="1351"/>
      <c r="H432" s="1351"/>
      <c r="I432" s="1307" t="str">
        <f t="shared" si="45"/>
        <v>Split Case Fee</v>
      </c>
      <c r="J432" s="1351" t="str">
        <f t="shared" si="47"/>
        <v>F401</v>
      </c>
      <c r="K432" s="1351" t="str">
        <f t="shared" si="46"/>
        <v>Pricing Schedule</v>
      </c>
      <c r="L432" s="853" t="s">
        <v>1288</v>
      </c>
      <c r="M432" s="1351">
        <v>401</v>
      </c>
      <c r="N432" s="1351"/>
      <c r="O432" s="1348"/>
      <c r="P432" s="1348"/>
      <c r="Q432" s="1348"/>
      <c r="R432" s="1348"/>
      <c r="S432" s="1348"/>
      <c r="T432" s="1348"/>
      <c r="U432" s="1348"/>
      <c r="V432" s="1348"/>
      <c r="W432" s="1348"/>
      <c r="X432" s="1348"/>
      <c r="Y432" s="1348"/>
      <c r="Z432" s="1348"/>
    </row>
    <row r="433" spans="1:26" x14ac:dyDescent="0.25">
      <c r="A433" s="874"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7" t="s">
        <v>1357</v>
      </c>
      <c r="E433" s="817" t="s">
        <v>1279</v>
      </c>
      <c r="F433" s="1130"/>
      <c r="G433" s="1351"/>
      <c r="H433" s="1351"/>
      <c r="I433" s="1307" t="str">
        <f t="shared" si="45"/>
        <v>Split Case Per</v>
      </c>
      <c r="J433" s="1351" t="str">
        <f t="shared" si="47"/>
        <v>F402</v>
      </c>
      <c r="K433" s="1351" t="str">
        <f t="shared" si="46"/>
        <v>Pricing Schedule</v>
      </c>
      <c r="L433" s="853" t="s">
        <v>1228</v>
      </c>
      <c r="M433" s="1351">
        <v>402</v>
      </c>
      <c r="N433" s="1351"/>
      <c r="O433" s="1348"/>
      <c r="P433" s="1348"/>
      <c r="Q433" s="1348"/>
      <c r="R433" s="1348"/>
      <c r="S433" s="1348"/>
      <c r="T433" s="1348"/>
      <c r="U433" s="1348"/>
      <c r="V433" s="1348"/>
      <c r="W433" s="1348"/>
      <c r="X433" s="1348"/>
      <c r="Y433" s="1348"/>
      <c r="Z433" s="1348"/>
    </row>
    <row r="434" spans="1:26" x14ac:dyDescent="0.25">
      <c r="A434" s="875"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7" t="s">
        <v>1357</v>
      </c>
      <c r="E434" s="817" t="s">
        <v>1279</v>
      </c>
      <c r="F434" s="1351"/>
      <c r="G434" s="1351"/>
      <c r="H434" s="1351"/>
      <c r="I434" s="1307" t="str">
        <f t="shared" si="45"/>
        <v/>
      </c>
      <c r="J434" s="1351"/>
      <c r="K434" s="1351" t="str">
        <f t="shared" si="46"/>
        <v/>
      </c>
      <c r="L434" s="853" t="s">
        <v>1289</v>
      </c>
      <c r="M434" s="1351">
        <v>403</v>
      </c>
      <c r="N434" s="1351"/>
      <c r="O434" s="1348"/>
      <c r="P434" s="1348"/>
      <c r="Q434" s="1348"/>
      <c r="R434" s="1348"/>
      <c r="S434" s="1348"/>
      <c r="T434" s="1348"/>
      <c r="U434" s="1348"/>
      <c r="V434" s="1348"/>
      <c r="W434" s="1348"/>
      <c r="X434" s="1348"/>
      <c r="Y434" s="1348"/>
      <c r="Z434" s="1348"/>
    </row>
    <row r="435" spans="1:26" x14ac:dyDescent="0.25">
      <c r="A435" s="876"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7" t="s">
        <v>1357</v>
      </c>
      <c r="E435" s="817" t="s">
        <v>1279</v>
      </c>
      <c r="F435" s="1351"/>
      <c r="G435" s="1351"/>
      <c r="H435" s="1351"/>
      <c r="I435" s="1307" t="str">
        <f t="shared" si="45"/>
        <v/>
      </c>
      <c r="J435" s="1351"/>
      <c r="K435" s="1351" t="str">
        <f t="shared" si="46"/>
        <v/>
      </c>
      <c r="L435" s="853" t="s">
        <v>252</v>
      </c>
      <c r="M435" s="1351">
        <v>404</v>
      </c>
      <c r="N435" s="1351"/>
      <c r="O435" s="1348"/>
      <c r="P435" s="1348"/>
      <c r="Q435" s="1348"/>
      <c r="R435" s="1348"/>
      <c r="S435" s="1348"/>
      <c r="T435" s="1348"/>
      <c r="U435" s="1348"/>
      <c r="V435" s="1348"/>
      <c r="W435" s="1348"/>
      <c r="X435" s="1348"/>
      <c r="Y435" s="1348"/>
      <c r="Z435" s="1348"/>
    </row>
    <row r="436" spans="1:26" x14ac:dyDescent="0.25">
      <c r="A436" s="876"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7" t="s">
        <v>1357</v>
      </c>
      <c r="E436" s="817" t="s">
        <v>1279</v>
      </c>
      <c r="F436" s="1351"/>
      <c r="G436" s="1351"/>
      <c r="H436" s="1351"/>
      <c r="I436" s="1307" t="str">
        <f t="shared" si="45"/>
        <v/>
      </c>
      <c r="J436" s="1351"/>
      <c r="K436" s="1351" t="str">
        <f t="shared" si="46"/>
        <v/>
      </c>
      <c r="L436" s="853" t="s">
        <v>1246</v>
      </c>
      <c r="M436" s="1351">
        <v>405</v>
      </c>
      <c r="N436" s="1351"/>
      <c r="O436" s="1348"/>
      <c r="P436" s="1348"/>
      <c r="Q436" s="1348"/>
      <c r="R436" s="1348"/>
      <c r="S436" s="1348"/>
      <c r="T436" s="1348"/>
      <c r="U436" s="1348"/>
      <c r="V436" s="1348"/>
      <c r="W436" s="1348"/>
      <c r="X436" s="1348"/>
      <c r="Y436" s="1348"/>
      <c r="Z436" s="1348"/>
    </row>
    <row r="437" spans="1:26" x14ac:dyDescent="0.25">
      <c r="A437" s="876"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7" t="s">
        <v>1357</v>
      </c>
      <c r="E437" s="817" t="s">
        <v>1279</v>
      </c>
      <c r="F437" s="1351"/>
      <c r="G437" s="1351"/>
      <c r="H437" s="1351"/>
      <c r="I437" s="1307" t="str">
        <f t="shared" si="45"/>
        <v/>
      </c>
      <c r="J437" s="1351"/>
      <c r="K437" s="1351" t="str">
        <f t="shared" si="46"/>
        <v/>
      </c>
      <c r="L437" s="853" t="s">
        <v>225</v>
      </c>
      <c r="M437" s="1351">
        <v>406</v>
      </c>
      <c r="N437" s="1351"/>
      <c r="O437" s="1348"/>
      <c r="P437" s="1348"/>
      <c r="Q437" s="1348"/>
      <c r="R437" s="1348"/>
      <c r="S437" s="1348"/>
      <c r="T437" s="1348"/>
      <c r="U437" s="1348"/>
      <c r="V437" s="1348"/>
      <c r="W437" s="1348"/>
      <c r="X437" s="1348"/>
      <c r="Y437" s="1348"/>
      <c r="Z437" s="1348"/>
    </row>
    <row r="438" spans="1:26" x14ac:dyDescent="0.25">
      <c r="A438" s="877" t="s">
        <v>463</v>
      </c>
      <c r="B438" s="1307" t="str">
        <f ca="1">_xlfn.CONCAT(IFERROR(SUBSTITUTE(ADDRESS(1,MATCH(A438,INDIRECT("'"&amp;E438&amp;"'"&amp;"!A9:Z9"),0),4),1,""),""),23)</f>
        <v>E23</v>
      </c>
      <c r="C438" s="1307" t="str">
        <f ca="1">_xlfn.CONCAT(IFERROR(SUBSTITUTE(ADDRESS(1,MATCH(A438,INDIRECT("'"&amp;E438&amp;"'"&amp;"!A9:Z9"),0),4),1,""),""))</f>
        <v>E</v>
      </c>
      <c r="D438" s="1351" t="s">
        <v>1357</v>
      </c>
      <c r="E438" s="817" t="s">
        <v>208</v>
      </c>
      <c r="F438" s="1351"/>
      <c r="G438" s="1351"/>
      <c r="H438" s="1351"/>
      <c r="I438" s="1307" t="str">
        <f t="shared" si="45"/>
        <v>Exclude PIM Classes Below</v>
      </c>
      <c r="J438" s="1351" t="str">
        <f t="shared" si="47"/>
        <v>F407</v>
      </c>
      <c r="K438" s="1351" t="str">
        <f t="shared" si="46"/>
        <v>PIM Model</v>
      </c>
      <c r="L438" s="853" t="s">
        <v>463</v>
      </c>
      <c r="M438" s="1351">
        <v>407</v>
      </c>
      <c r="N438" s="1351"/>
      <c r="O438" s="1348"/>
      <c r="P438" s="1348"/>
      <c r="Q438" s="1348"/>
      <c r="R438" s="1348"/>
      <c r="S438" s="1348"/>
      <c r="T438" s="1348"/>
      <c r="U438" s="1348"/>
      <c r="V438" s="1348"/>
      <c r="W438" s="1348"/>
      <c r="X438" s="1348"/>
      <c r="Y438" s="1348"/>
      <c r="Z438" s="1348"/>
    </row>
    <row r="439" spans="1:26" x14ac:dyDescent="0.25">
      <c r="A439" s="877"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7" t="s">
        <v>1357</v>
      </c>
      <c r="E439" s="817" t="s">
        <v>1279</v>
      </c>
      <c r="F439" s="1351"/>
      <c r="G439" s="1351"/>
      <c r="H439" s="1351"/>
      <c r="I439" s="1307" t="str">
        <f t="shared" si="45"/>
        <v>Special Pricing Code</v>
      </c>
      <c r="J439" s="1351" t="str">
        <f t="shared" si="47"/>
        <v>F408</v>
      </c>
      <c r="K439" s="1351" t="str">
        <f t="shared" si="46"/>
        <v>Pricing Schedule</v>
      </c>
      <c r="L439" s="853" t="s">
        <v>1282</v>
      </c>
      <c r="M439" s="1351">
        <v>408</v>
      </c>
      <c r="N439" s="1351"/>
      <c r="O439" s="1348"/>
      <c r="P439" s="1348"/>
      <c r="Q439" s="1348"/>
      <c r="R439" s="1348"/>
      <c r="S439" s="1348"/>
      <c r="T439" s="1348"/>
      <c r="U439" s="1348"/>
      <c r="V439" s="1348"/>
      <c r="W439" s="1348"/>
      <c r="X439" s="1348"/>
      <c r="Y439" s="1348"/>
      <c r="Z439" s="1348"/>
    </row>
    <row r="440" spans="1:26" x14ac:dyDescent="0.25">
      <c r="A440" s="877"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7" t="s">
        <v>1357</v>
      </c>
      <c r="E440" s="817" t="s">
        <v>1279</v>
      </c>
      <c r="F440" s="1130"/>
      <c r="G440" s="1351"/>
      <c r="H440" s="1351"/>
      <c r="I440" s="1307" t="str">
        <f t="shared" si="45"/>
        <v>EB Markup Amt</v>
      </c>
      <c r="J440" s="1351" t="str">
        <f t="shared" si="47"/>
        <v>F409</v>
      </c>
      <c r="K440" s="1351" t="str">
        <f t="shared" si="46"/>
        <v>Pricing Schedule</v>
      </c>
      <c r="L440" s="853" t="s">
        <v>1284</v>
      </c>
      <c r="M440" s="1351">
        <v>409</v>
      </c>
      <c r="N440" s="1351"/>
      <c r="O440" s="1348"/>
      <c r="P440" s="1348"/>
      <c r="Q440" s="1348"/>
      <c r="R440" s="1348"/>
      <c r="S440" s="1348"/>
      <c r="T440" s="1348"/>
      <c r="U440" s="1348"/>
      <c r="V440" s="1348"/>
      <c r="W440" s="1348"/>
      <c r="X440" s="1348"/>
      <c r="Y440" s="1348"/>
      <c r="Z440" s="1348"/>
    </row>
    <row r="441" spans="1:26" x14ac:dyDescent="0.25">
      <c r="A441" s="877"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7" t="s">
        <v>1357</v>
      </c>
      <c r="E441" s="817" t="s">
        <v>1279</v>
      </c>
      <c r="F441" s="1130"/>
      <c r="G441" s="1351"/>
      <c r="H441" s="1351"/>
      <c r="I441" s="1307" t="str">
        <f t="shared" si="45"/>
        <v>Min CS Markup Override Flag</v>
      </c>
      <c r="J441" s="1351" t="str">
        <f t="shared" si="47"/>
        <v>F410</v>
      </c>
      <c r="K441" s="1351" t="str">
        <f t="shared" si="46"/>
        <v>Pricing Schedule</v>
      </c>
      <c r="L441" s="853" t="s">
        <v>1285</v>
      </c>
      <c r="M441" s="1351">
        <v>410</v>
      </c>
      <c r="N441" s="1351"/>
      <c r="O441" s="1348"/>
      <c r="P441" s="1348"/>
      <c r="Q441" s="1348"/>
      <c r="R441" s="1348"/>
      <c r="S441" s="1348"/>
      <c r="T441" s="1348"/>
      <c r="U441" s="1348"/>
      <c r="V441" s="1348"/>
      <c r="W441" s="1348"/>
      <c r="X441" s="1348"/>
      <c r="Y441" s="1348"/>
      <c r="Z441" s="1348"/>
    </row>
    <row r="442" spans="1:26" x14ac:dyDescent="0.25">
      <c r="A442" s="877"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7" t="s">
        <v>1357</v>
      </c>
      <c r="E442" s="817" t="s">
        <v>1279</v>
      </c>
      <c r="F442" s="1130"/>
      <c r="G442" s="1351"/>
      <c r="H442" s="1351"/>
      <c r="I442" s="1307" t="str">
        <f t="shared" si="45"/>
        <v>Min CS Markup Amt</v>
      </c>
      <c r="J442" s="1351" t="str">
        <f t="shared" si="47"/>
        <v>F411</v>
      </c>
      <c r="K442" s="1351" t="str">
        <f t="shared" si="46"/>
        <v>Pricing Schedule</v>
      </c>
      <c r="L442" s="853" t="s">
        <v>1286</v>
      </c>
      <c r="M442" s="1351">
        <v>411</v>
      </c>
      <c r="N442" s="1351"/>
      <c r="O442" s="1348"/>
      <c r="P442" s="1348"/>
      <c r="Q442" s="1348"/>
      <c r="R442" s="1348"/>
      <c r="S442" s="1348"/>
      <c r="T442" s="1348"/>
      <c r="U442" s="1348"/>
      <c r="V442" s="1348"/>
      <c r="W442" s="1348"/>
      <c r="X442" s="1348"/>
      <c r="Y442" s="1348"/>
      <c r="Z442" s="1348"/>
    </row>
    <row r="443" spans="1:26" x14ac:dyDescent="0.25">
      <c r="A443" s="877"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7" t="s">
        <v>1357</v>
      </c>
      <c r="E443" s="817" t="s">
        <v>1279</v>
      </c>
      <c r="F443" s="1130"/>
      <c r="G443" s="1351"/>
      <c r="H443" s="1351"/>
      <c r="I443" s="1307" t="str">
        <f t="shared" si="45"/>
        <v>Split Case Fee Override Flag</v>
      </c>
      <c r="J443" s="1351" t="str">
        <f t="shared" si="47"/>
        <v>F412</v>
      </c>
      <c r="K443" s="1351" t="str">
        <f t="shared" si="46"/>
        <v>Pricing Schedule</v>
      </c>
      <c r="L443" s="853" t="s">
        <v>1287</v>
      </c>
      <c r="M443" s="1351">
        <v>412</v>
      </c>
      <c r="N443" s="1351"/>
      <c r="O443" s="1348"/>
      <c r="P443" s="1348"/>
      <c r="Q443" s="1348"/>
      <c r="R443" s="1348"/>
      <c r="S443" s="1348"/>
      <c r="T443" s="1348"/>
      <c r="U443" s="1348"/>
      <c r="V443" s="1348"/>
      <c r="W443" s="1348"/>
      <c r="X443" s="1348"/>
      <c r="Y443" s="1348"/>
      <c r="Z443" s="1348"/>
    </row>
    <row r="444" spans="1:26" x14ac:dyDescent="0.25">
      <c r="A444" s="877"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7" t="s">
        <v>1357</v>
      </c>
      <c r="E444" s="817" t="s">
        <v>1279</v>
      </c>
      <c r="F444" s="1130"/>
      <c r="G444" s="1351"/>
      <c r="H444" s="1351"/>
      <c r="I444" s="1307" t="str">
        <f t="shared" si="45"/>
        <v>Split Case Fee</v>
      </c>
      <c r="J444" s="1351" t="str">
        <f t="shared" si="47"/>
        <v>F413</v>
      </c>
      <c r="K444" s="1351" t="str">
        <f t="shared" si="46"/>
        <v>Pricing Schedule</v>
      </c>
      <c r="L444" s="853" t="s">
        <v>1288</v>
      </c>
      <c r="M444" s="1351">
        <v>413</v>
      </c>
      <c r="N444" s="1351"/>
      <c r="O444" s="1348"/>
      <c r="P444" s="1348"/>
      <c r="Q444" s="1348"/>
      <c r="R444" s="1348"/>
      <c r="S444" s="1348"/>
      <c r="T444" s="1348"/>
      <c r="U444" s="1348"/>
      <c r="V444" s="1348"/>
      <c r="W444" s="1348"/>
      <c r="X444" s="1348"/>
      <c r="Y444" s="1348"/>
      <c r="Z444" s="1348"/>
    </row>
    <row r="445" spans="1:26" x14ac:dyDescent="0.25">
      <c r="A445" s="877"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7" t="s">
        <v>1357</v>
      </c>
      <c r="E445" s="817" t="s">
        <v>1279</v>
      </c>
      <c r="F445" s="1130"/>
      <c r="G445" s="1351"/>
      <c r="H445" s="1351"/>
      <c r="I445" s="1307" t="str">
        <f t="shared" si="45"/>
        <v>Split Case Per</v>
      </c>
      <c r="J445" s="1351" t="str">
        <f t="shared" si="47"/>
        <v>F414</v>
      </c>
      <c r="K445" s="1351" t="str">
        <f t="shared" si="46"/>
        <v>Pricing Schedule</v>
      </c>
      <c r="L445" s="853" t="s">
        <v>1228</v>
      </c>
      <c r="M445" s="1351">
        <v>414</v>
      </c>
      <c r="N445" s="1351"/>
      <c r="O445" s="1348"/>
      <c r="P445" s="1348"/>
      <c r="Q445" s="1348"/>
      <c r="R445" s="1348"/>
      <c r="S445" s="1348"/>
      <c r="T445" s="1348"/>
      <c r="U445" s="1348"/>
      <c r="V445" s="1348"/>
      <c r="W445" s="1348"/>
      <c r="X445" s="1348"/>
      <c r="Y445" s="1348"/>
      <c r="Z445" s="1348"/>
    </row>
    <row r="446" spans="1:26" x14ac:dyDescent="0.25">
      <c r="A446" s="872"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7" t="s">
        <v>1357</v>
      </c>
      <c r="E446" s="817" t="s">
        <v>1279</v>
      </c>
      <c r="F446" s="1351"/>
      <c r="G446" s="1351"/>
      <c r="H446" s="1351"/>
      <c r="I446" s="1307" t="str">
        <f t="shared" si="45"/>
        <v/>
      </c>
      <c r="J446" s="1351"/>
      <c r="K446" s="1351" t="str">
        <f t="shared" si="46"/>
        <v/>
      </c>
      <c r="L446" s="853" t="s">
        <v>1289</v>
      </c>
      <c r="M446" s="1351">
        <v>415</v>
      </c>
      <c r="N446" s="1351"/>
      <c r="O446" s="1348"/>
      <c r="P446" s="1348"/>
      <c r="Q446" s="1348"/>
      <c r="R446" s="1348"/>
      <c r="S446" s="1348"/>
      <c r="T446" s="1348"/>
      <c r="U446" s="1348"/>
      <c r="V446" s="1348"/>
      <c r="W446" s="1348"/>
      <c r="X446" s="1348"/>
      <c r="Y446" s="1348"/>
      <c r="Z446" s="1348"/>
    </row>
    <row r="447" spans="1:26" x14ac:dyDescent="0.25">
      <c r="A447" s="873"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7" t="s">
        <v>1357</v>
      </c>
      <c r="E447" s="817" t="s">
        <v>1279</v>
      </c>
      <c r="F447" s="1351"/>
      <c r="G447" s="1351"/>
      <c r="H447" s="1351"/>
      <c r="I447" s="1307" t="str">
        <f t="shared" si="45"/>
        <v/>
      </c>
      <c r="J447" s="1351"/>
      <c r="K447" s="1351" t="str">
        <f t="shared" si="46"/>
        <v/>
      </c>
      <c r="L447" s="853" t="s">
        <v>252</v>
      </c>
      <c r="M447" s="52">
        <v>416</v>
      </c>
      <c r="N447" s="1351"/>
      <c r="O447" s="1348"/>
      <c r="P447" s="1348"/>
      <c r="Q447" s="1348"/>
      <c r="R447" s="1348"/>
      <c r="S447" s="1348"/>
      <c r="T447" s="1348"/>
      <c r="U447" s="1348"/>
      <c r="V447" s="1348"/>
      <c r="W447" s="1348"/>
      <c r="X447" s="1348"/>
      <c r="Y447" s="1348"/>
      <c r="Z447" s="1348"/>
    </row>
    <row r="448" spans="1:26" x14ac:dyDescent="0.25">
      <c r="A448" s="873"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7" t="s">
        <v>1357</v>
      </c>
      <c r="E448" s="817" t="s">
        <v>1279</v>
      </c>
      <c r="F448" s="1351"/>
      <c r="G448" s="1351"/>
      <c r="H448" s="1351"/>
      <c r="I448" s="1307" t="str">
        <f t="shared" si="45"/>
        <v/>
      </c>
      <c r="J448" s="1351"/>
      <c r="K448" s="1351" t="str">
        <f t="shared" si="46"/>
        <v/>
      </c>
      <c r="L448" s="853" t="s">
        <v>1246</v>
      </c>
      <c r="M448" s="1351">
        <v>417</v>
      </c>
      <c r="N448" s="1351"/>
      <c r="O448" s="1348"/>
      <c r="P448" s="1348"/>
      <c r="Q448" s="1348"/>
      <c r="R448" s="1348"/>
      <c r="S448" s="1348"/>
      <c r="T448" s="1348"/>
      <c r="U448" s="1348"/>
      <c r="V448" s="1348"/>
      <c r="W448" s="1348"/>
      <c r="X448" s="1348"/>
      <c r="Y448" s="1348"/>
      <c r="Z448" s="1348"/>
    </row>
    <row r="449" spans="1:26" x14ac:dyDescent="0.25">
      <c r="A449" s="873"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7" t="s">
        <v>1357</v>
      </c>
      <c r="E449" s="817" t="s">
        <v>1279</v>
      </c>
      <c r="F449" s="1351"/>
      <c r="G449" s="1351"/>
      <c r="H449" s="1351"/>
      <c r="I449" s="1307" t="str">
        <f t="shared" si="45"/>
        <v/>
      </c>
      <c r="J449" s="1351"/>
      <c r="K449" s="1351" t="str">
        <f t="shared" si="46"/>
        <v/>
      </c>
      <c r="L449" s="853" t="s">
        <v>225</v>
      </c>
      <c r="M449" s="1351">
        <v>418</v>
      </c>
      <c r="N449" s="1351"/>
      <c r="O449" s="1348"/>
      <c r="P449" s="1348"/>
      <c r="Q449" s="1348"/>
      <c r="R449" s="1348"/>
      <c r="S449" s="1348"/>
      <c r="T449" s="1348"/>
      <c r="U449" s="1348"/>
      <c r="V449" s="1348"/>
      <c r="W449" s="1348"/>
      <c r="X449" s="1348"/>
      <c r="Y449" s="1348"/>
      <c r="Z449" s="1348"/>
    </row>
    <row r="450" spans="1:26" x14ac:dyDescent="0.25">
      <c r="A450" s="874" t="s">
        <v>463</v>
      </c>
      <c r="B450" s="1307" t="str">
        <f ca="1">_xlfn.CONCAT(IFERROR(SUBSTITUTE(ADDRESS(1,MATCH(A450,INDIRECT("'"&amp;E450&amp;"'"&amp;"!A9:Z9"),0),4),1,""),""),24)</f>
        <v>E24</v>
      </c>
      <c r="C450" s="1307" t="str">
        <f ca="1">_xlfn.CONCAT(IFERROR(SUBSTITUTE(ADDRESS(1,MATCH(A450,INDIRECT("'"&amp;E450&amp;"'"&amp;"!A9:Z9"),0),4),1,""),""))</f>
        <v>E</v>
      </c>
      <c r="D450" s="1351" t="s">
        <v>1357</v>
      </c>
      <c r="E450" s="817" t="s">
        <v>208</v>
      </c>
      <c r="F450" s="1351"/>
      <c r="G450" s="1351"/>
      <c r="H450" s="1351"/>
      <c r="I450" s="1307" t="str">
        <f t="shared" si="45"/>
        <v>Exclude PIM Classes Below</v>
      </c>
      <c r="J450" s="1351" t="str">
        <f t="shared" si="47"/>
        <v>F419</v>
      </c>
      <c r="K450" s="1351" t="str">
        <f t="shared" si="46"/>
        <v>PIM Model</v>
      </c>
      <c r="L450" s="853" t="s">
        <v>463</v>
      </c>
      <c r="M450" s="1351">
        <v>419</v>
      </c>
      <c r="N450" s="1351"/>
      <c r="O450" s="1348"/>
      <c r="P450" s="1348"/>
      <c r="Q450" s="1348"/>
      <c r="R450" s="1348"/>
      <c r="S450" s="1348"/>
      <c r="T450" s="1348"/>
      <c r="U450" s="1348"/>
      <c r="V450" s="1348"/>
      <c r="W450" s="1348"/>
      <c r="X450" s="1348"/>
      <c r="Y450" s="1348"/>
      <c r="Z450" s="1348"/>
    </row>
    <row r="451" spans="1:26" x14ac:dyDescent="0.25">
      <c r="A451" s="874"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7" t="s">
        <v>1357</v>
      </c>
      <c r="E451" s="817" t="s">
        <v>1279</v>
      </c>
      <c r="F451" s="1351"/>
      <c r="G451" s="1351"/>
      <c r="H451" s="1351"/>
      <c r="I451" s="1307" t="str">
        <f t="shared" si="45"/>
        <v>Special Pricing Code</v>
      </c>
      <c r="J451" s="1351" t="str">
        <f t="shared" si="47"/>
        <v>F420</v>
      </c>
      <c r="K451" s="1351" t="str">
        <f t="shared" si="46"/>
        <v>Pricing Schedule</v>
      </c>
      <c r="L451" s="853" t="s">
        <v>1282</v>
      </c>
      <c r="M451" s="1351">
        <v>420</v>
      </c>
      <c r="N451" s="1351"/>
      <c r="O451" s="1348"/>
      <c r="P451" s="1348"/>
      <c r="Q451" s="1348"/>
      <c r="R451" s="1348"/>
      <c r="S451" s="1348"/>
      <c r="T451" s="1348"/>
      <c r="U451" s="1348"/>
      <c r="V451" s="1348"/>
      <c r="W451" s="1348"/>
      <c r="X451" s="1348"/>
      <c r="Y451" s="1348"/>
      <c r="Z451" s="1348"/>
    </row>
    <row r="452" spans="1:26" x14ac:dyDescent="0.25">
      <c r="A452" s="874"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7" t="s">
        <v>1357</v>
      </c>
      <c r="E452" s="817" t="s">
        <v>1279</v>
      </c>
      <c r="F452" s="1130"/>
      <c r="G452" s="1351"/>
      <c r="H452" s="1351"/>
      <c r="I452" s="1307" t="str">
        <f t="shared" ref="I452:I515" si="48">IF(J452&lt;&gt;"",A452,"")</f>
        <v>EB Markup Amt</v>
      </c>
      <c r="J452" s="1351" t="str">
        <f t="shared" si="47"/>
        <v>F421</v>
      </c>
      <c r="K452" s="1351" t="str">
        <f t="shared" ref="K452:K515" si="49">IF(J452&lt;&gt;"",E452,"")</f>
        <v>Pricing Schedule</v>
      </c>
      <c r="L452" s="853" t="s">
        <v>1284</v>
      </c>
      <c r="M452" s="1351">
        <v>421</v>
      </c>
      <c r="N452" s="1351"/>
      <c r="O452" s="1348"/>
      <c r="P452" s="1348"/>
      <c r="Q452" s="1348"/>
      <c r="R452" s="1348"/>
      <c r="S452" s="1348"/>
      <c r="T452" s="1348"/>
      <c r="U452" s="1348"/>
      <c r="V452" s="1348"/>
      <c r="W452" s="1348"/>
      <c r="X452" s="1348"/>
      <c r="Y452" s="1348"/>
      <c r="Z452" s="1348"/>
    </row>
    <row r="453" spans="1:26" x14ac:dyDescent="0.25">
      <c r="A453" s="874"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7" t="s">
        <v>1357</v>
      </c>
      <c r="E453" s="817" t="s">
        <v>1279</v>
      </c>
      <c r="F453" s="1130"/>
      <c r="G453" s="1351"/>
      <c r="H453" s="1351"/>
      <c r="I453" s="1307" t="str">
        <f t="shared" si="48"/>
        <v>Min CS Markup Override Flag</v>
      </c>
      <c r="J453" s="1351" t="str">
        <f t="shared" si="47"/>
        <v>F422</v>
      </c>
      <c r="K453" s="1351" t="str">
        <f t="shared" si="49"/>
        <v>Pricing Schedule</v>
      </c>
      <c r="L453" s="853" t="s">
        <v>1285</v>
      </c>
      <c r="M453" s="1351">
        <v>422</v>
      </c>
      <c r="N453" s="1351"/>
      <c r="O453" s="1348"/>
      <c r="P453" s="1348"/>
      <c r="Q453" s="1348"/>
      <c r="R453" s="1348"/>
      <c r="S453" s="1348"/>
      <c r="T453" s="1348"/>
      <c r="U453" s="1348"/>
      <c r="V453" s="1348"/>
      <c r="W453" s="1348"/>
      <c r="X453" s="1348"/>
      <c r="Y453" s="1348"/>
      <c r="Z453" s="1348"/>
    </row>
    <row r="454" spans="1:26" x14ac:dyDescent="0.25">
      <c r="A454" s="874"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7" t="s">
        <v>1357</v>
      </c>
      <c r="E454" s="817" t="s">
        <v>1279</v>
      </c>
      <c r="F454" s="1130"/>
      <c r="G454" s="1351"/>
      <c r="H454" s="1351"/>
      <c r="I454" s="1307" t="str">
        <f t="shared" si="48"/>
        <v>Min CS Markup Amt</v>
      </c>
      <c r="J454" s="1351" t="str">
        <f t="shared" ref="J454:J517" si="50">IF(M454&lt;&gt;"",Q$1&amp;M454,"")</f>
        <v>F423</v>
      </c>
      <c r="K454" s="1351" t="str">
        <f t="shared" si="49"/>
        <v>Pricing Schedule</v>
      </c>
      <c r="L454" s="853" t="s">
        <v>1286</v>
      </c>
      <c r="M454" s="1351">
        <v>423</v>
      </c>
      <c r="N454" s="1351"/>
      <c r="O454" s="1348"/>
      <c r="P454" s="1348"/>
      <c r="Q454" s="1348"/>
      <c r="R454" s="1348"/>
      <c r="S454" s="1348"/>
      <c r="T454" s="1348"/>
      <c r="U454" s="1348"/>
      <c r="V454" s="1348"/>
      <c r="W454" s="1348"/>
      <c r="X454" s="1348"/>
      <c r="Y454" s="1348"/>
      <c r="Z454" s="1348"/>
    </row>
    <row r="455" spans="1:26" x14ac:dyDescent="0.25">
      <c r="A455" s="874"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7" t="s">
        <v>1357</v>
      </c>
      <c r="E455" s="817" t="s">
        <v>1279</v>
      </c>
      <c r="F455" s="1130"/>
      <c r="G455" s="1351"/>
      <c r="H455" s="1351"/>
      <c r="I455" s="1307" t="str">
        <f t="shared" si="48"/>
        <v>Split Case Fee Override Flag</v>
      </c>
      <c r="J455" s="1351" t="str">
        <f t="shared" si="50"/>
        <v>F424</v>
      </c>
      <c r="K455" s="1351" t="str">
        <f t="shared" si="49"/>
        <v>Pricing Schedule</v>
      </c>
      <c r="L455" s="853" t="s">
        <v>1287</v>
      </c>
      <c r="M455" s="1351">
        <v>424</v>
      </c>
      <c r="N455" s="1351"/>
      <c r="O455" s="1348"/>
      <c r="P455" s="1348"/>
      <c r="Q455" s="1348"/>
      <c r="R455" s="1348"/>
      <c r="S455" s="1348"/>
      <c r="T455" s="1348"/>
      <c r="U455" s="1348"/>
      <c r="V455" s="1348"/>
      <c r="W455" s="1348"/>
      <c r="X455" s="1348"/>
      <c r="Y455" s="1348"/>
      <c r="Z455" s="1348"/>
    </row>
    <row r="456" spans="1:26" x14ac:dyDescent="0.25">
      <c r="A456" s="874"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7" t="s">
        <v>1357</v>
      </c>
      <c r="E456" s="817" t="s">
        <v>1279</v>
      </c>
      <c r="F456" s="1130"/>
      <c r="G456" s="1351"/>
      <c r="H456" s="1351"/>
      <c r="I456" s="1307" t="str">
        <f t="shared" si="48"/>
        <v>Split Case Fee</v>
      </c>
      <c r="J456" s="1351" t="str">
        <f t="shared" si="50"/>
        <v>F425</v>
      </c>
      <c r="K456" s="1351" t="str">
        <f t="shared" si="49"/>
        <v>Pricing Schedule</v>
      </c>
      <c r="L456" s="853" t="s">
        <v>1288</v>
      </c>
      <c r="M456" s="1351">
        <v>425</v>
      </c>
      <c r="N456" s="1351"/>
      <c r="O456" s="1348"/>
      <c r="P456" s="1348"/>
      <c r="Q456" s="1348"/>
      <c r="R456" s="1348"/>
      <c r="S456" s="1348"/>
      <c r="T456" s="1348"/>
      <c r="U456" s="1348"/>
      <c r="V456" s="1348"/>
      <c r="W456" s="1348"/>
      <c r="X456" s="1348"/>
      <c r="Y456" s="1348"/>
      <c r="Z456" s="1348"/>
    </row>
    <row r="457" spans="1:26" x14ac:dyDescent="0.25">
      <c r="A457" s="874"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7" t="s">
        <v>1357</v>
      </c>
      <c r="E457" s="817" t="s">
        <v>1279</v>
      </c>
      <c r="F457" s="1130"/>
      <c r="G457" s="1351"/>
      <c r="H457" s="1351"/>
      <c r="I457" s="1307" t="str">
        <f t="shared" si="48"/>
        <v>Split Case Per</v>
      </c>
      <c r="J457" s="1351" t="str">
        <f t="shared" si="50"/>
        <v>F426</v>
      </c>
      <c r="K457" s="1351" t="str">
        <f t="shared" si="49"/>
        <v>Pricing Schedule</v>
      </c>
      <c r="L457" s="853" t="s">
        <v>1228</v>
      </c>
      <c r="M457" s="1351">
        <v>426</v>
      </c>
      <c r="N457" s="1351"/>
      <c r="O457" s="1348"/>
      <c r="P457" s="1348"/>
      <c r="Q457" s="1348"/>
      <c r="R457" s="1348"/>
      <c r="S457" s="1348"/>
      <c r="T457" s="1348"/>
      <c r="U457" s="1348"/>
      <c r="V457" s="1348"/>
      <c r="W457" s="1348"/>
      <c r="X457" s="1348"/>
      <c r="Y457" s="1348"/>
      <c r="Z457" s="1348"/>
    </row>
    <row r="458" spans="1:26" x14ac:dyDescent="0.25">
      <c r="A458" s="875"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7" t="s">
        <v>1357</v>
      </c>
      <c r="E458" s="817" t="s">
        <v>1279</v>
      </c>
      <c r="F458" s="1351"/>
      <c r="G458" s="1351"/>
      <c r="H458" s="1351"/>
      <c r="I458" s="1307" t="str">
        <f t="shared" si="48"/>
        <v/>
      </c>
      <c r="J458" s="1351"/>
      <c r="K458" s="1351" t="str">
        <f t="shared" si="49"/>
        <v/>
      </c>
      <c r="L458" s="853" t="s">
        <v>1289</v>
      </c>
      <c r="M458" s="1351">
        <v>427</v>
      </c>
      <c r="N458" s="1351"/>
      <c r="O458" s="1348"/>
      <c r="P458" s="1348"/>
      <c r="Q458" s="1348"/>
      <c r="R458" s="1348"/>
      <c r="S458" s="1348"/>
      <c r="T458" s="1348"/>
      <c r="U458" s="1348"/>
      <c r="V458" s="1348"/>
      <c r="W458" s="1348"/>
      <c r="X458" s="1348"/>
      <c r="Y458" s="1348"/>
      <c r="Z458" s="1348"/>
    </row>
    <row r="459" spans="1:26" x14ac:dyDescent="0.25">
      <c r="A459" s="876"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7" t="s">
        <v>1357</v>
      </c>
      <c r="E459" s="817" t="s">
        <v>1279</v>
      </c>
      <c r="F459" s="1351"/>
      <c r="G459" s="1351"/>
      <c r="H459" s="1351"/>
      <c r="I459" s="1307" t="str">
        <f t="shared" si="48"/>
        <v/>
      </c>
      <c r="J459" s="1351"/>
      <c r="K459" s="1351" t="str">
        <f t="shared" si="49"/>
        <v/>
      </c>
      <c r="L459" s="853" t="s">
        <v>252</v>
      </c>
      <c r="M459" s="1351">
        <v>428</v>
      </c>
      <c r="N459" s="1351"/>
      <c r="O459" s="1348"/>
      <c r="P459" s="1348"/>
      <c r="Q459" s="1348"/>
      <c r="R459" s="1348"/>
      <c r="S459" s="1348"/>
      <c r="T459" s="1348"/>
      <c r="U459" s="1348"/>
      <c r="V459" s="1348"/>
      <c r="W459" s="1348"/>
      <c r="X459" s="1348"/>
      <c r="Y459" s="1348"/>
      <c r="Z459" s="1348"/>
    </row>
    <row r="460" spans="1:26" x14ac:dyDescent="0.25">
      <c r="A460" s="876"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7" t="s">
        <v>1357</v>
      </c>
      <c r="E460" s="817" t="s">
        <v>1279</v>
      </c>
      <c r="F460" s="1351"/>
      <c r="G460" s="1351"/>
      <c r="H460" s="1351"/>
      <c r="I460" s="1307" t="str">
        <f t="shared" si="48"/>
        <v/>
      </c>
      <c r="J460" s="1351"/>
      <c r="K460" s="1351" t="str">
        <f t="shared" si="49"/>
        <v/>
      </c>
      <c r="L460" s="853" t="s">
        <v>1246</v>
      </c>
      <c r="M460" s="1351">
        <v>429</v>
      </c>
      <c r="N460" s="1351"/>
      <c r="O460" s="1348"/>
      <c r="P460" s="1348"/>
      <c r="Q460" s="1348"/>
      <c r="R460" s="1348"/>
      <c r="S460" s="1348"/>
      <c r="T460" s="1348"/>
      <c r="U460" s="1348"/>
      <c r="V460" s="1348"/>
      <c r="W460" s="1348"/>
      <c r="X460" s="1348"/>
      <c r="Y460" s="1348"/>
      <c r="Z460" s="1348"/>
    </row>
    <row r="461" spans="1:26" x14ac:dyDescent="0.25">
      <c r="A461" s="876"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7" t="s">
        <v>1357</v>
      </c>
      <c r="E461" s="817" t="s">
        <v>1279</v>
      </c>
      <c r="F461" s="1351"/>
      <c r="G461" s="1351"/>
      <c r="H461" s="1351"/>
      <c r="I461" s="1307" t="str">
        <f t="shared" si="48"/>
        <v/>
      </c>
      <c r="J461" s="1351"/>
      <c r="K461" s="1351" t="str">
        <f t="shared" si="49"/>
        <v/>
      </c>
      <c r="L461" s="853" t="s">
        <v>225</v>
      </c>
      <c r="M461" s="1351">
        <v>430</v>
      </c>
      <c r="N461" s="1351"/>
      <c r="O461" s="1348"/>
      <c r="P461" s="1348"/>
      <c r="Q461" s="1348"/>
      <c r="R461" s="1348"/>
      <c r="S461" s="1348"/>
      <c r="T461" s="1348"/>
      <c r="U461" s="1348"/>
      <c r="V461" s="1348"/>
      <c r="W461" s="1348"/>
      <c r="X461" s="1348"/>
      <c r="Y461" s="1348"/>
      <c r="Z461" s="1348"/>
    </row>
    <row r="462" spans="1:26" x14ac:dyDescent="0.25">
      <c r="A462" s="877" t="s">
        <v>463</v>
      </c>
      <c r="B462" s="1307" t="str">
        <f ca="1">_xlfn.CONCAT(IFERROR(SUBSTITUTE(ADDRESS(1,MATCH(A462,INDIRECT("'"&amp;E462&amp;"'"&amp;"!A9:Z9"),0),4),1,""),""),25)</f>
        <v>E25</v>
      </c>
      <c r="C462" s="1307" t="str">
        <f ca="1">_xlfn.CONCAT(IFERROR(SUBSTITUTE(ADDRESS(1,MATCH(A462,INDIRECT("'"&amp;E462&amp;"'"&amp;"!A9:Z9"),0),4),1,""),""))</f>
        <v>E</v>
      </c>
      <c r="D462" s="1351" t="s">
        <v>1357</v>
      </c>
      <c r="E462" s="817" t="s">
        <v>208</v>
      </c>
      <c r="F462" s="1351"/>
      <c r="G462" s="1351"/>
      <c r="H462" s="1351"/>
      <c r="I462" s="1307" t="str">
        <f t="shared" si="48"/>
        <v>Exclude PIM Classes Below</v>
      </c>
      <c r="J462" s="1351" t="str">
        <f t="shared" si="50"/>
        <v>F431</v>
      </c>
      <c r="K462" s="1351" t="str">
        <f t="shared" si="49"/>
        <v>PIM Model</v>
      </c>
      <c r="L462" s="853" t="s">
        <v>463</v>
      </c>
      <c r="M462" s="1351">
        <v>431</v>
      </c>
      <c r="N462" s="1351"/>
      <c r="O462" s="1348"/>
      <c r="P462" s="1348"/>
      <c r="Q462" s="1348"/>
      <c r="R462" s="1348"/>
      <c r="S462" s="1348"/>
      <c r="T462" s="1348"/>
      <c r="U462" s="1348"/>
      <c r="V462" s="1348"/>
      <c r="W462" s="1348"/>
      <c r="X462" s="1348"/>
      <c r="Y462" s="1348"/>
      <c r="Z462" s="1348"/>
    </row>
    <row r="463" spans="1:26" x14ac:dyDescent="0.25">
      <c r="A463" s="877"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7" t="s">
        <v>1357</v>
      </c>
      <c r="E463" s="817" t="s">
        <v>1279</v>
      </c>
      <c r="F463" s="1351"/>
      <c r="G463" s="1351"/>
      <c r="H463" s="1351"/>
      <c r="I463" s="1307" t="str">
        <f t="shared" si="48"/>
        <v>Special Pricing Code</v>
      </c>
      <c r="J463" s="1351" t="str">
        <f t="shared" si="50"/>
        <v>F432</v>
      </c>
      <c r="K463" s="1351" t="str">
        <f t="shared" si="49"/>
        <v>Pricing Schedule</v>
      </c>
      <c r="L463" s="853" t="s">
        <v>1282</v>
      </c>
      <c r="M463" s="1351">
        <v>432</v>
      </c>
      <c r="N463" s="1351"/>
      <c r="O463" s="1348"/>
      <c r="P463" s="1348"/>
      <c r="Q463" s="1348"/>
      <c r="R463" s="1348"/>
      <c r="S463" s="1348"/>
      <c r="T463" s="1348"/>
      <c r="U463" s="1348"/>
      <c r="V463" s="1348"/>
      <c r="W463" s="1348"/>
      <c r="X463" s="1348"/>
      <c r="Y463" s="1348"/>
      <c r="Z463" s="1348"/>
    </row>
    <row r="464" spans="1:26" x14ac:dyDescent="0.25">
      <c r="A464" s="877"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7" t="s">
        <v>1357</v>
      </c>
      <c r="E464" s="817" t="s">
        <v>1279</v>
      </c>
      <c r="F464" s="1130"/>
      <c r="G464" s="1351"/>
      <c r="H464" s="1351"/>
      <c r="I464" s="1307" t="str">
        <f t="shared" si="48"/>
        <v>EB Markup Amt</v>
      </c>
      <c r="J464" s="1351" t="str">
        <f t="shared" si="50"/>
        <v>F433</v>
      </c>
      <c r="K464" s="1351" t="str">
        <f t="shared" si="49"/>
        <v>Pricing Schedule</v>
      </c>
      <c r="L464" s="853" t="s">
        <v>1284</v>
      </c>
      <c r="M464" s="1351">
        <v>433</v>
      </c>
      <c r="N464" s="1351"/>
      <c r="O464" s="1348"/>
      <c r="P464" s="1348"/>
      <c r="Q464" s="1348"/>
      <c r="R464" s="1348"/>
      <c r="S464" s="1348"/>
      <c r="T464" s="1348"/>
      <c r="U464" s="1348"/>
      <c r="V464" s="1348"/>
      <c r="W464" s="1348"/>
      <c r="X464" s="1348"/>
      <c r="Y464" s="1348"/>
      <c r="Z464" s="1348"/>
    </row>
    <row r="465" spans="1:26" x14ac:dyDescent="0.25">
      <c r="A465" s="877"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7" t="s">
        <v>1357</v>
      </c>
      <c r="E465" s="817" t="s">
        <v>1279</v>
      </c>
      <c r="F465" s="1130"/>
      <c r="G465" s="1351"/>
      <c r="H465" s="1351"/>
      <c r="I465" s="1307" t="str">
        <f t="shared" si="48"/>
        <v>Min CS Markup Override Flag</v>
      </c>
      <c r="J465" s="1351" t="str">
        <f t="shared" si="50"/>
        <v>F434</v>
      </c>
      <c r="K465" s="1351" t="str">
        <f t="shared" si="49"/>
        <v>Pricing Schedule</v>
      </c>
      <c r="L465" s="853" t="s">
        <v>1285</v>
      </c>
      <c r="M465" s="1351">
        <v>434</v>
      </c>
      <c r="N465" s="1351"/>
      <c r="O465" s="1348"/>
      <c r="P465" s="1348"/>
      <c r="Q465" s="1348"/>
      <c r="R465" s="1348"/>
      <c r="S465" s="1348"/>
      <c r="T465" s="1348"/>
      <c r="U465" s="1348"/>
      <c r="V465" s="1348"/>
      <c r="W465" s="1348"/>
      <c r="X465" s="1348"/>
      <c r="Y465" s="1348"/>
      <c r="Z465" s="1348"/>
    </row>
    <row r="466" spans="1:26" x14ac:dyDescent="0.25">
      <c r="A466" s="877"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7" t="s">
        <v>1357</v>
      </c>
      <c r="E466" s="817" t="s">
        <v>1279</v>
      </c>
      <c r="F466" s="1130"/>
      <c r="G466" s="1351"/>
      <c r="H466" s="1351"/>
      <c r="I466" s="1307" t="str">
        <f t="shared" si="48"/>
        <v>Min CS Markup Amt</v>
      </c>
      <c r="J466" s="1351" t="str">
        <f t="shared" si="50"/>
        <v>F435</v>
      </c>
      <c r="K466" s="1351" t="str">
        <f t="shared" si="49"/>
        <v>Pricing Schedule</v>
      </c>
      <c r="L466" s="853" t="s">
        <v>1286</v>
      </c>
      <c r="M466" s="1351">
        <v>435</v>
      </c>
      <c r="N466" s="1351"/>
      <c r="O466" s="1348"/>
      <c r="P466" s="1348"/>
      <c r="Q466" s="1348"/>
      <c r="R466" s="1348"/>
      <c r="S466" s="1348"/>
      <c r="T466" s="1348"/>
      <c r="U466" s="1348"/>
      <c r="V466" s="1348"/>
      <c r="W466" s="1348"/>
      <c r="X466" s="1348"/>
      <c r="Y466" s="1348"/>
      <c r="Z466" s="1348"/>
    </row>
    <row r="467" spans="1:26" x14ac:dyDescent="0.25">
      <c r="A467" s="877"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7" t="s">
        <v>1357</v>
      </c>
      <c r="E467" s="817" t="s">
        <v>1279</v>
      </c>
      <c r="F467" s="1130"/>
      <c r="G467" s="1351"/>
      <c r="H467" s="1351"/>
      <c r="I467" s="1307" t="str">
        <f t="shared" si="48"/>
        <v>Split Case Fee Override Flag</v>
      </c>
      <c r="J467" s="1351" t="str">
        <f t="shared" si="50"/>
        <v>F436</v>
      </c>
      <c r="K467" s="1351" t="str">
        <f t="shared" si="49"/>
        <v>Pricing Schedule</v>
      </c>
      <c r="L467" s="853" t="s">
        <v>1287</v>
      </c>
      <c r="M467" s="1351">
        <v>436</v>
      </c>
      <c r="N467" s="1351"/>
      <c r="O467" s="1348"/>
      <c r="P467" s="1348"/>
      <c r="Q467" s="1348"/>
      <c r="R467" s="1348"/>
      <c r="S467" s="1348"/>
      <c r="T467" s="1348"/>
      <c r="U467" s="1348"/>
      <c r="V467" s="1348"/>
      <c r="W467" s="1348"/>
      <c r="X467" s="1348"/>
      <c r="Y467" s="1348"/>
      <c r="Z467" s="1348"/>
    </row>
    <row r="468" spans="1:26" x14ac:dyDescent="0.25">
      <c r="A468" s="877"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7" t="s">
        <v>1357</v>
      </c>
      <c r="E468" s="817" t="s">
        <v>1279</v>
      </c>
      <c r="F468" s="1130"/>
      <c r="G468" s="1351"/>
      <c r="H468" s="1351"/>
      <c r="I468" s="1307" t="str">
        <f t="shared" si="48"/>
        <v>Split Case Fee</v>
      </c>
      <c r="J468" s="1351" t="str">
        <f t="shared" si="50"/>
        <v>F437</v>
      </c>
      <c r="K468" s="1351" t="str">
        <f t="shared" si="49"/>
        <v>Pricing Schedule</v>
      </c>
      <c r="L468" s="853" t="s">
        <v>1288</v>
      </c>
      <c r="M468" s="1351">
        <v>437</v>
      </c>
      <c r="N468" s="1351"/>
      <c r="O468" s="1348"/>
      <c r="P468" s="1348"/>
      <c r="Q468" s="1348"/>
      <c r="R468" s="1348"/>
      <c r="S468" s="1348"/>
      <c r="T468" s="1348"/>
      <c r="U468" s="1348"/>
      <c r="V468" s="1348"/>
      <c r="W468" s="1348"/>
      <c r="X468" s="1348"/>
      <c r="Y468" s="1348"/>
      <c r="Z468" s="1348"/>
    </row>
    <row r="469" spans="1:26" x14ac:dyDescent="0.25">
      <c r="A469" s="877"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7" t="s">
        <v>1357</v>
      </c>
      <c r="E469" s="817" t="s">
        <v>1279</v>
      </c>
      <c r="F469" s="1130"/>
      <c r="G469" s="1351"/>
      <c r="H469" s="1351"/>
      <c r="I469" s="1307" t="str">
        <f t="shared" si="48"/>
        <v>Split Case Per</v>
      </c>
      <c r="J469" s="1351" t="str">
        <f t="shared" si="50"/>
        <v>F438</v>
      </c>
      <c r="K469" s="1351" t="str">
        <f t="shared" si="49"/>
        <v>Pricing Schedule</v>
      </c>
      <c r="L469" s="853" t="s">
        <v>1228</v>
      </c>
      <c r="M469" s="1351">
        <v>438</v>
      </c>
      <c r="N469" s="1351"/>
      <c r="O469" s="1348"/>
      <c r="P469" s="1348"/>
      <c r="Q469" s="1348"/>
      <c r="R469" s="1348"/>
      <c r="S469" s="1348"/>
      <c r="T469" s="1348"/>
      <c r="U469" s="1348"/>
      <c r="V469" s="1348"/>
      <c r="W469" s="1348"/>
      <c r="X469" s="1348"/>
      <c r="Y469" s="1348"/>
      <c r="Z469" s="1348"/>
    </row>
    <row r="470" spans="1:26" x14ac:dyDescent="0.25">
      <c r="A470" s="872"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7" t="s">
        <v>1357</v>
      </c>
      <c r="E470" s="817" t="s">
        <v>1279</v>
      </c>
      <c r="F470" s="1351"/>
      <c r="G470" s="1351"/>
      <c r="H470" s="1351"/>
      <c r="I470" s="1307" t="str">
        <f t="shared" si="48"/>
        <v/>
      </c>
      <c r="J470" s="1351"/>
      <c r="K470" s="1351" t="str">
        <f t="shared" si="49"/>
        <v/>
      </c>
      <c r="L470" s="853" t="s">
        <v>1289</v>
      </c>
      <c r="M470" s="1351">
        <v>439</v>
      </c>
      <c r="N470" s="1351"/>
      <c r="O470" s="1348"/>
      <c r="P470" s="1348"/>
      <c r="Q470" s="1348"/>
      <c r="R470" s="1348"/>
      <c r="S470" s="1348"/>
      <c r="T470" s="1348"/>
      <c r="U470" s="1348"/>
      <c r="V470" s="1348"/>
      <c r="W470" s="1348"/>
      <c r="X470" s="1348"/>
      <c r="Y470" s="1348"/>
      <c r="Z470" s="1348"/>
    </row>
    <row r="471" spans="1:26" x14ac:dyDescent="0.25">
      <c r="A471" s="873"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7" t="s">
        <v>1357</v>
      </c>
      <c r="E471" s="817" t="s">
        <v>1279</v>
      </c>
      <c r="F471" s="1351"/>
      <c r="G471" s="1351"/>
      <c r="H471" s="1351"/>
      <c r="I471" s="1307" t="str">
        <f t="shared" si="48"/>
        <v/>
      </c>
      <c r="J471" s="1351"/>
      <c r="K471" s="1351" t="str">
        <f t="shared" si="49"/>
        <v/>
      </c>
      <c r="L471" s="853" t="s">
        <v>252</v>
      </c>
      <c r="M471" s="1351">
        <v>440</v>
      </c>
      <c r="N471" s="1351"/>
      <c r="O471" s="1348"/>
      <c r="P471" s="1348"/>
      <c r="Q471" s="1348"/>
      <c r="R471" s="1348"/>
      <c r="S471" s="1348"/>
      <c r="T471" s="1348"/>
      <c r="U471" s="1348"/>
      <c r="V471" s="1348"/>
      <c r="W471" s="1348"/>
      <c r="X471" s="1348"/>
      <c r="Y471" s="1348"/>
      <c r="Z471" s="1348"/>
    </row>
    <row r="472" spans="1:26" x14ac:dyDescent="0.25">
      <c r="A472" s="873"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7" t="s">
        <v>1357</v>
      </c>
      <c r="E472" s="817" t="s">
        <v>1279</v>
      </c>
      <c r="F472" s="1351"/>
      <c r="G472" s="1351"/>
      <c r="H472" s="1351"/>
      <c r="I472" s="1307" t="str">
        <f t="shared" si="48"/>
        <v/>
      </c>
      <c r="J472" s="1351"/>
      <c r="K472" s="1351" t="str">
        <f t="shared" si="49"/>
        <v/>
      </c>
      <c r="L472" s="853" t="s">
        <v>1246</v>
      </c>
      <c r="M472" s="1351">
        <v>441</v>
      </c>
      <c r="N472" s="1351"/>
      <c r="O472" s="1348"/>
      <c r="P472" s="1348"/>
      <c r="Q472" s="1348"/>
      <c r="R472" s="1348"/>
      <c r="S472" s="1348"/>
      <c r="T472" s="1348"/>
      <c r="U472" s="1348"/>
      <c r="V472" s="1348"/>
      <c r="W472" s="1348"/>
      <c r="X472" s="1348"/>
      <c r="Y472" s="1348"/>
      <c r="Z472" s="1348"/>
    </row>
    <row r="473" spans="1:26" x14ac:dyDescent="0.25">
      <c r="A473" s="873"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7" t="s">
        <v>1357</v>
      </c>
      <c r="E473" s="817" t="s">
        <v>1279</v>
      </c>
      <c r="F473" s="1351"/>
      <c r="G473" s="1351"/>
      <c r="H473" s="1351"/>
      <c r="I473" s="1307" t="str">
        <f t="shared" si="48"/>
        <v/>
      </c>
      <c r="J473" s="1351"/>
      <c r="K473" s="1351" t="str">
        <f t="shared" si="49"/>
        <v/>
      </c>
      <c r="L473" s="853" t="s">
        <v>225</v>
      </c>
      <c r="M473" s="1351">
        <v>442</v>
      </c>
      <c r="N473" s="1351"/>
      <c r="O473" s="1348"/>
      <c r="P473" s="1348"/>
      <c r="Q473" s="1348"/>
      <c r="R473" s="1348"/>
      <c r="S473" s="1348"/>
      <c r="T473" s="1348"/>
      <c r="U473" s="1348"/>
      <c r="V473" s="1348"/>
      <c r="W473" s="1348"/>
      <c r="X473" s="1348"/>
      <c r="Y473" s="1348"/>
      <c r="Z473" s="1348"/>
    </row>
    <row r="474" spans="1:26" x14ac:dyDescent="0.25">
      <c r="A474" s="874" t="s">
        <v>463</v>
      </c>
      <c r="B474" s="1307" t="str">
        <f ca="1">_xlfn.CONCAT(IFERROR(SUBSTITUTE(ADDRESS(1,MATCH(A474,INDIRECT("'"&amp;E474&amp;"'"&amp;"!A9:Z9"),0),4),1,""),""),26)</f>
        <v>E26</v>
      </c>
      <c r="C474" s="1307" t="str">
        <f ca="1">_xlfn.CONCAT(IFERROR(SUBSTITUTE(ADDRESS(1,MATCH(A474,INDIRECT("'"&amp;E474&amp;"'"&amp;"!A9:Z9"),0),4),1,""),""))</f>
        <v>E</v>
      </c>
      <c r="D474" s="1351" t="s">
        <v>1357</v>
      </c>
      <c r="E474" s="817" t="s">
        <v>208</v>
      </c>
      <c r="F474" s="1351"/>
      <c r="G474" s="1351"/>
      <c r="H474" s="1351"/>
      <c r="I474" s="1307" t="str">
        <f t="shared" si="48"/>
        <v>Exclude PIM Classes Below</v>
      </c>
      <c r="J474" s="1351" t="str">
        <f t="shared" si="50"/>
        <v>F443</v>
      </c>
      <c r="K474" s="1351" t="str">
        <f t="shared" si="49"/>
        <v>PIM Model</v>
      </c>
      <c r="L474" s="853" t="s">
        <v>463</v>
      </c>
      <c r="M474" s="1351">
        <v>443</v>
      </c>
      <c r="N474" s="1351"/>
      <c r="O474" s="1348"/>
      <c r="P474" s="1348"/>
      <c r="Q474" s="1348"/>
      <c r="R474" s="1348"/>
      <c r="S474" s="1348"/>
      <c r="T474" s="1348"/>
      <c r="U474" s="1348"/>
      <c r="V474" s="1348"/>
      <c r="W474" s="1348"/>
      <c r="X474" s="1348"/>
      <c r="Y474" s="1348"/>
      <c r="Z474" s="1348"/>
    </row>
    <row r="475" spans="1:26" x14ac:dyDescent="0.25">
      <c r="A475" s="874"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7" t="s">
        <v>1357</v>
      </c>
      <c r="E475" s="817" t="s">
        <v>1279</v>
      </c>
      <c r="F475" s="1351"/>
      <c r="G475" s="1351"/>
      <c r="H475" s="1351"/>
      <c r="I475" s="1307" t="str">
        <f t="shared" si="48"/>
        <v>Special Pricing Code</v>
      </c>
      <c r="J475" s="1351" t="str">
        <f t="shared" si="50"/>
        <v>F444</v>
      </c>
      <c r="K475" s="1351" t="str">
        <f t="shared" si="49"/>
        <v>Pricing Schedule</v>
      </c>
      <c r="L475" s="853" t="s">
        <v>1282</v>
      </c>
      <c r="M475" s="1351">
        <v>444</v>
      </c>
      <c r="N475" s="1351"/>
      <c r="O475" s="1348"/>
      <c r="P475" s="1348"/>
      <c r="Q475" s="1348"/>
      <c r="R475" s="1348"/>
      <c r="S475" s="1348"/>
      <c r="T475" s="1348"/>
      <c r="U475" s="1348"/>
      <c r="V475" s="1348"/>
      <c r="W475" s="1348"/>
      <c r="X475" s="1348"/>
      <c r="Y475" s="1348"/>
      <c r="Z475" s="1348"/>
    </row>
    <row r="476" spans="1:26" x14ac:dyDescent="0.25">
      <c r="A476" s="874"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7" t="s">
        <v>1357</v>
      </c>
      <c r="E476" s="817" t="s">
        <v>1279</v>
      </c>
      <c r="F476" s="1130"/>
      <c r="G476" s="1351"/>
      <c r="H476" s="1351"/>
      <c r="I476" s="1307" t="str">
        <f t="shared" si="48"/>
        <v>EB Markup Amt</v>
      </c>
      <c r="J476" s="1351" t="str">
        <f t="shared" si="50"/>
        <v>F445</v>
      </c>
      <c r="K476" s="1351" t="str">
        <f t="shared" si="49"/>
        <v>Pricing Schedule</v>
      </c>
      <c r="L476" s="853" t="s">
        <v>1284</v>
      </c>
      <c r="M476" s="1351">
        <v>445</v>
      </c>
      <c r="N476" s="1351"/>
      <c r="O476" s="1348"/>
      <c r="P476" s="1348"/>
      <c r="Q476" s="1348"/>
      <c r="R476" s="1348"/>
      <c r="S476" s="1348"/>
      <c r="T476" s="1348"/>
      <c r="U476" s="1348"/>
      <c r="V476" s="1348"/>
      <c r="W476" s="1348"/>
      <c r="X476" s="1348"/>
      <c r="Y476" s="1348"/>
      <c r="Z476" s="1348"/>
    </row>
    <row r="477" spans="1:26" x14ac:dyDescent="0.25">
      <c r="A477" s="874"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7" t="s">
        <v>1357</v>
      </c>
      <c r="E477" s="817" t="s">
        <v>1279</v>
      </c>
      <c r="F477" s="1130"/>
      <c r="G477" s="1351"/>
      <c r="H477" s="1351"/>
      <c r="I477" s="1307" t="str">
        <f t="shared" si="48"/>
        <v>Min CS Markup Override Flag</v>
      </c>
      <c r="J477" s="1351" t="str">
        <f t="shared" si="50"/>
        <v>F446</v>
      </c>
      <c r="K477" s="1351" t="str">
        <f t="shared" si="49"/>
        <v>Pricing Schedule</v>
      </c>
      <c r="L477" s="853" t="s">
        <v>1285</v>
      </c>
      <c r="M477" s="1351">
        <v>446</v>
      </c>
      <c r="N477" s="1351"/>
      <c r="O477" s="1348"/>
      <c r="P477" s="1348"/>
      <c r="Q477" s="1348"/>
      <c r="R477" s="1348"/>
      <c r="S477" s="1348"/>
      <c r="T477" s="1348"/>
      <c r="U477" s="1348"/>
      <c r="V477" s="1348"/>
      <c r="W477" s="1348"/>
      <c r="X477" s="1348"/>
      <c r="Y477" s="1348"/>
      <c r="Z477" s="1348"/>
    </row>
    <row r="478" spans="1:26" x14ac:dyDescent="0.25">
      <c r="A478" s="874"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7" t="s">
        <v>1357</v>
      </c>
      <c r="E478" s="817" t="s">
        <v>1279</v>
      </c>
      <c r="F478" s="1130"/>
      <c r="G478" s="1351"/>
      <c r="H478" s="1351"/>
      <c r="I478" s="1307" t="str">
        <f t="shared" si="48"/>
        <v>Min CS Markup Amt</v>
      </c>
      <c r="J478" s="1351" t="str">
        <f t="shared" si="50"/>
        <v>F447</v>
      </c>
      <c r="K478" s="1351" t="str">
        <f t="shared" si="49"/>
        <v>Pricing Schedule</v>
      </c>
      <c r="L478" s="853" t="s">
        <v>1286</v>
      </c>
      <c r="M478" s="1351">
        <v>447</v>
      </c>
      <c r="N478" s="1351"/>
      <c r="O478" s="1348"/>
      <c r="P478" s="1348"/>
      <c r="Q478" s="1348"/>
      <c r="R478" s="1348"/>
      <c r="S478" s="1348"/>
      <c r="T478" s="1348"/>
      <c r="U478" s="1348"/>
      <c r="V478" s="1348"/>
      <c r="W478" s="1348"/>
      <c r="X478" s="1348"/>
      <c r="Y478" s="1348"/>
      <c r="Z478" s="1348"/>
    </row>
    <row r="479" spans="1:26" x14ac:dyDescent="0.25">
      <c r="A479" s="874"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7" t="s">
        <v>1357</v>
      </c>
      <c r="E479" s="817" t="s">
        <v>1279</v>
      </c>
      <c r="F479" s="1130"/>
      <c r="G479" s="1351"/>
      <c r="H479" s="1351"/>
      <c r="I479" s="1307" t="str">
        <f t="shared" si="48"/>
        <v>Split Case Fee Override Flag</v>
      </c>
      <c r="J479" s="1351" t="str">
        <f t="shared" si="50"/>
        <v>F448</v>
      </c>
      <c r="K479" s="1351" t="str">
        <f t="shared" si="49"/>
        <v>Pricing Schedule</v>
      </c>
      <c r="L479" s="853" t="s">
        <v>1287</v>
      </c>
      <c r="M479" s="1351">
        <v>448</v>
      </c>
      <c r="N479" s="1351"/>
      <c r="O479" s="1348"/>
      <c r="P479" s="1348"/>
      <c r="Q479" s="1348"/>
      <c r="R479" s="1348"/>
      <c r="S479" s="1348"/>
      <c r="T479" s="1348"/>
      <c r="U479" s="1348"/>
      <c r="V479" s="1348"/>
      <c r="W479" s="1348"/>
      <c r="X479" s="1348"/>
      <c r="Y479" s="1348"/>
      <c r="Z479" s="1348"/>
    </row>
    <row r="480" spans="1:26" x14ac:dyDescent="0.25">
      <c r="A480" s="874"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7" t="s">
        <v>1357</v>
      </c>
      <c r="E480" s="817" t="s">
        <v>1279</v>
      </c>
      <c r="F480" s="1130"/>
      <c r="G480" s="1351"/>
      <c r="H480" s="1351"/>
      <c r="I480" s="1307" t="str">
        <f t="shared" si="48"/>
        <v>Split Case Fee</v>
      </c>
      <c r="J480" s="1351" t="str">
        <f t="shared" si="50"/>
        <v>F449</v>
      </c>
      <c r="K480" s="1351" t="str">
        <f t="shared" si="49"/>
        <v>Pricing Schedule</v>
      </c>
      <c r="L480" s="853" t="s">
        <v>1288</v>
      </c>
      <c r="M480" s="1351">
        <v>449</v>
      </c>
      <c r="N480" s="1351"/>
      <c r="O480" s="1348"/>
      <c r="P480" s="1348"/>
      <c r="Q480" s="1348"/>
      <c r="R480" s="1348"/>
      <c r="S480" s="1348"/>
      <c r="T480" s="1348"/>
      <c r="U480" s="1348"/>
      <c r="V480" s="1348"/>
      <c r="W480" s="1348"/>
      <c r="X480" s="1348"/>
      <c r="Y480" s="1348"/>
      <c r="Z480" s="1348"/>
    </row>
    <row r="481" spans="1:26" x14ac:dyDescent="0.25">
      <c r="A481" s="874"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7" t="s">
        <v>1357</v>
      </c>
      <c r="E481" s="817" t="s">
        <v>1279</v>
      </c>
      <c r="F481" s="1130"/>
      <c r="G481" s="1351"/>
      <c r="H481" s="1351"/>
      <c r="I481" s="1307" t="str">
        <f t="shared" si="48"/>
        <v>Split Case Per</v>
      </c>
      <c r="J481" s="1351" t="str">
        <f t="shared" si="50"/>
        <v>F450</v>
      </c>
      <c r="K481" s="1351" t="str">
        <f t="shared" si="49"/>
        <v>Pricing Schedule</v>
      </c>
      <c r="L481" s="853" t="s">
        <v>1228</v>
      </c>
      <c r="M481" s="1351">
        <v>450</v>
      </c>
      <c r="N481" s="1351"/>
      <c r="O481" s="1348"/>
      <c r="P481" s="1348"/>
      <c r="Q481" s="1348"/>
      <c r="R481" s="1348"/>
      <c r="S481" s="1348"/>
      <c r="T481" s="1348"/>
      <c r="U481" s="1348"/>
      <c r="V481" s="1348"/>
      <c r="W481" s="1348"/>
      <c r="X481" s="1348"/>
      <c r="Y481" s="1348"/>
      <c r="Z481" s="1348"/>
    </row>
    <row r="482" spans="1:26" x14ac:dyDescent="0.25">
      <c r="A482" s="875"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7" t="s">
        <v>1357</v>
      </c>
      <c r="E482" s="817" t="s">
        <v>1279</v>
      </c>
      <c r="F482" s="1351"/>
      <c r="G482" s="1351"/>
      <c r="H482" s="1351"/>
      <c r="I482" s="1307" t="str">
        <f t="shared" si="48"/>
        <v/>
      </c>
      <c r="J482" s="1351"/>
      <c r="K482" s="1351" t="str">
        <f t="shared" si="49"/>
        <v/>
      </c>
      <c r="L482" s="853" t="s">
        <v>1289</v>
      </c>
      <c r="M482" s="1351">
        <v>451</v>
      </c>
      <c r="N482" s="1351"/>
      <c r="O482" s="1348"/>
      <c r="P482" s="1348"/>
      <c r="Q482" s="1348"/>
      <c r="R482" s="1348"/>
      <c r="S482" s="1348"/>
      <c r="T482" s="1348"/>
      <c r="U482" s="1348"/>
      <c r="V482" s="1348"/>
      <c r="W482" s="1348"/>
      <c r="X482" s="1348"/>
      <c r="Y482" s="1348"/>
      <c r="Z482" s="1348"/>
    </row>
    <row r="483" spans="1:26" x14ac:dyDescent="0.25">
      <c r="A483" s="876"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7" t="s">
        <v>1357</v>
      </c>
      <c r="E483" s="817" t="s">
        <v>1279</v>
      </c>
      <c r="F483" s="1351"/>
      <c r="G483" s="1351"/>
      <c r="H483" s="1351"/>
      <c r="I483" s="1307" t="str">
        <f t="shared" si="48"/>
        <v/>
      </c>
      <c r="J483" s="1351"/>
      <c r="K483" s="1351" t="str">
        <f t="shared" si="49"/>
        <v/>
      </c>
      <c r="L483" s="853" t="s">
        <v>252</v>
      </c>
      <c r="M483" s="1351">
        <v>452</v>
      </c>
      <c r="N483" s="1351"/>
      <c r="O483" s="1348"/>
      <c r="P483" s="1348"/>
      <c r="Q483" s="1348"/>
      <c r="R483" s="1348"/>
      <c r="S483" s="1348"/>
      <c r="T483" s="1348"/>
      <c r="U483" s="1348"/>
      <c r="V483" s="1348"/>
      <c r="W483" s="1348"/>
      <c r="X483" s="1348"/>
      <c r="Y483" s="1348"/>
      <c r="Z483" s="1348"/>
    </row>
    <row r="484" spans="1:26" x14ac:dyDescent="0.25">
      <c r="A484" s="876"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7" t="s">
        <v>1357</v>
      </c>
      <c r="E484" s="817" t="s">
        <v>1279</v>
      </c>
      <c r="F484" s="1351"/>
      <c r="G484" s="1351"/>
      <c r="H484" s="1351"/>
      <c r="I484" s="1307" t="str">
        <f t="shared" si="48"/>
        <v/>
      </c>
      <c r="J484" s="1351"/>
      <c r="K484" s="1351" t="str">
        <f t="shared" si="49"/>
        <v/>
      </c>
      <c r="L484" s="853" t="s">
        <v>1246</v>
      </c>
      <c r="M484" s="1351">
        <v>453</v>
      </c>
      <c r="N484" s="1351"/>
      <c r="O484" s="1348"/>
      <c r="P484" s="1348"/>
      <c r="Q484" s="1348"/>
      <c r="R484" s="1348"/>
      <c r="S484" s="1348"/>
      <c r="T484" s="1348"/>
      <c r="U484" s="1348"/>
      <c r="V484" s="1348"/>
      <c r="W484" s="1348"/>
      <c r="X484" s="1348"/>
      <c r="Y484" s="1348"/>
      <c r="Z484" s="1348"/>
    </row>
    <row r="485" spans="1:26" x14ac:dyDescent="0.25">
      <c r="A485" s="876"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7" t="s">
        <v>1357</v>
      </c>
      <c r="E485" s="817" t="s">
        <v>1279</v>
      </c>
      <c r="F485" s="1351"/>
      <c r="G485" s="1351"/>
      <c r="H485" s="1351"/>
      <c r="I485" s="1307" t="str">
        <f t="shared" si="48"/>
        <v/>
      </c>
      <c r="J485" s="1351"/>
      <c r="K485" s="1351" t="str">
        <f t="shared" si="49"/>
        <v/>
      </c>
      <c r="L485" s="853" t="s">
        <v>225</v>
      </c>
      <c r="M485" s="1351">
        <v>454</v>
      </c>
      <c r="N485" s="1351"/>
      <c r="O485" s="1348"/>
      <c r="P485" s="1348"/>
      <c r="Q485" s="1348"/>
      <c r="R485" s="1348"/>
      <c r="S485" s="1348"/>
      <c r="T485" s="1348"/>
      <c r="U485" s="1348"/>
      <c r="V485" s="1348"/>
      <c r="W485" s="1348"/>
      <c r="X485" s="1348"/>
      <c r="Y485" s="1348"/>
      <c r="Z485" s="1348"/>
    </row>
    <row r="486" spans="1:26" x14ac:dyDescent="0.25">
      <c r="A486" s="877" t="s">
        <v>463</v>
      </c>
      <c r="B486" s="1307" t="str">
        <f ca="1">_xlfn.CONCAT(IFERROR(SUBSTITUTE(ADDRESS(1,MATCH(A486,INDIRECT("'"&amp;E486&amp;"'"&amp;"!A9:Z9"),0),4),1,""),""),27)</f>
        <v>E27</v>
      </c>
      <c r="C486" s="1307" t="str">
        <f ca="1">_xlfn.CONCAT(IFERROR(SUBSTITUTE(ADDRESS(1,MATCH(A486,INDIRECT("'"&amp;E486&amp;"'"&amp;"!A9:Z9"),0),4),1,""),""))</f>
        <v>E</v>
      </c>
      <c r="D486" s="1351" t="s">
        <v>1357</v>
      </c>
      <c r="E486" s="817" t="s">
        <v>208</v>
      </c>
      <c r="F486" s="1351"/>
      <c r="G486" s="1351"/>
      <c r="H486" s="1351"/>
      <c r="I486" s="1307" t="str">
        <f t="shared" si="48"/>
        <v>Exclude PIM Classes Below</v>
      </c>
      <c r="J486" s="1351" t="str">
        <f t="shared" si="50"/>
        <v>F455</v>
      </c>
      <c r="K486" s="1351" t="str">
        <f t="shared" si="49"/>
        <v>PIM Model</v>
      </c>
      <c r="L486" s="853" t="s">
        <v>463</v>
      </c>
      <c r="M486" s="1351">
        <v>455</v>
      </c>
      <c r="N486" s="1351"/>
      <c r="O486" s="1348"/>
      <c r="P486" s="1348"/>
      <c r="Q486" s="1348"/>
      <c r="R486" s="1348"/>
      <c r="S486" s="1348"/>
      <c r="T486" s="1348"/>
      <c r="U486" s="1348"/>
      <c r="V486" s="1348"/>
      <c r="W486" s="1348"/>
      <c r="X486" s="1348"/>
      <c r="Y486" s="1348"/>
      <c r="Z486" s="1348"/>
    </row>
    <row r="487" spans="1:26" x14ac:dyDescent="0.25">
      <c r="A487" s="877"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7" t="s">
        <v>1357</v>
      </c>
      <c r="E487" s="817" t="s">
        <v>1279</v>
      </c>
      <c r="F487" s="1351"/>
      <c r="G487" s="1351"/>
      <c r="H487" s="1351"/>
      <c r="I487" s="1307" t="str">
        <f t="shared" si="48"/>
        <v>Special Pricing Code</v>
      </c>
      <c r="J487" s="1351" t="str">
        <f t="shared" si="50"/>
        <v>F456</v>
      </c>
      <c r="K487" s="1351" t="str">
        <f t="shared" si="49"/>
        <v>Pricing Schedule</v>
      </c>
      <c r="L487" s="853" t="s">
        <v>1282</v>
      </c>
      <c r="M487" s="1351">
        <v>456</v>
      </c>
      <c r="N487" s="1351"/>
      <c r="O487" s="1348"/>
      <c r="P487" s="1348"/>
      <c r="Q487" s="1348"/>
      <c r="R487" s="1348"/>
      <c r="S487" s="1348"/>
      <c r="T487" s="1348"/>
      <c r="U487" s="1348"/>
      <c r="V487" s="1348"/>
      <c r="W487" s="1348"/>
      <c r="X487" s="1348"/>
      <c r="Y487" s="1348"/>
      <c r="Z487" s="1348"/>
    </row>
    <row r="488" spans="1:26" x14ac:dyDescent="0.25">
      <c r="A488" s="877"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7" t="s">
        <v>1357</v>
      </c>
      <c r="E488" s="817" t="s">
        <v>1279</v>
      </c>
      <c r="F488" s="1130"/>
      <c r="G488" s="1351"/>
      <c r="H488" s="1351"/>
      <c r="I488" s="1307" t="str">
        <f t="shared" si="48"/>
        <v>EB Markup Amt</v>
      </c>
      <c r="J488" s="1351" t="str">
        <f t="shared" si="50"/>
        <v>F457</v>
      </c>
      <c r="K488" s="1351" t="str">
        <f t="shared" si="49"/>
        <v>Pricing Schedule</v>
      </c>
      <c r="L488" s="853" t="s">
        <v>1284</v>
      </c>
      <c r="M488" s="1351">
        <v>457</v>
      </c>
      <c r="N488" s="1351"/>
      <c r="O488" s="1348"/>
      <c r="P488" s="1348"/>
      <c r="Q488" s="1348"/>
      <c r="R488" s="1348"/>
      <c r="S488" s="1348"/>
      <c r="T488" s="1348"/>
      <c r="U488" s="1348"/>
      <c r="V488" s="1348"/>
      <c r="W488" s="1348"/>
      <c r="X488" s="1348"/>
      <c r="Y488" s="1348"/>
      <c r="Z488" s="1348"/>
    </row>
    <row r="489" spans="1:26" x14ac:dyDescent="0.25">
      <c r="A489" s="877"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7" t="s">
        <v>1357</v>
      </c>
      <c r="E489" s="817" t="s">
        <v>1279</v>
      </c>
      <c r="F489" s="1130"/>
      <c r="G489" s="1351"/>
      <c r="H489" s="1351"/>
      <c r="I489" s="1307" t="str">
        <f t="shared" si="48"/>
        <v>Min CS Markup Override Flag</v>
      </c>
      <c r="J489" s="1351" t="str">
        <f t="shared" si="50"/>
        <v>F458</v>
      </c>
      <c r="K489" s="1351" t="str">
        <f t="shared" si="49"/>
        <v>Pricing Schedule</v>
      </c>
      <c r="L489" s="853" t="s">
        <v>1285</v>
      </c>
      <c r="M489" s="1351">
        <v>458</v>
      </c>
      <c r="N489" s="1351"/>
      <c r="O489" s="1348"/>
      <c r="P489" s="1348"/>
      <c r="Q489" s="1348"/>
      <c r="R489" s="1348"/>
      <c r="S489" s="1348"/>
      <c r="T489" s="1348"/>
      <c r="U489" s="1348"/>
      <c r="V489" s="1348"/>
      <c r="W489" s="1348"/>
      <c r="X489" s="1348"/>
      <c r="Y489" s="1348"/>
      <c r="Z489" s="1348"/>
    </row>
    <row r="490" spans="1:26" x14ac:dyDescent="0.25">
      <c r="A490" s="877"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7" t="s">
        <v>1357</v>
      </c>
      <c r="E490" s="817" t="s">
        <v>1279</v>
      </c>
      <c r="F490" s="1130"/>
      <c r="G490" s="1351"/>
      <c r="H490" s="1351"/>
      <c r="I490" s="1307" t="str">
        <f t="shared" si="48"/>
        <v>Min CS Markup Amt</v>
      </c>
      <c r="J490" s="1351" t="str">
        <f t="shared" si="50"/>
        <v>F459</v>
      </c>
      <c r="K490" s="1351" t="str">
        <f t="shared" si="49"/>
        <v>Pricing Schedule</v>
      </c>
      <c r="L490" s="853" t="s">
        <v>1286</v>
      </c>
      <c r="M490" s="1351">
        <v>459</v>
      </c>
      <c r="N490" s="1351"/>
      <c r="O490" s="1348"/>
      <c r="P490" s="1348"/>
      <c r="Q490" s="1348"/>
      <c r="R490" s="1348"/>
      <c r="S490" s="1348"/>
      <c r="T490" s="1348"/>
      <c r="U490" s="1348"/>
      <c r="V490" s="1348"/>
      <c r="W490" s="1348"/>
      <c r="X490" s="1348"/>
      <c r="Y490" s="1348"/>
      <c r="Z490" s="1348"/>
    </row>
    <row r="491" spans="1:26" x14ac:dyDescent="0.25">
      <c r="A491" s="877"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7" t="s">
        <v>1357</v>
      </c>
      <c r="E491" s="817" t="s">
        <v>1279</v>
      </c>
      <c r="F491" s="1130"/>
      <c r="G491" s="1351"/>
      <c r="H491" s="1351"/>
      <c r="I491" s="1307" t="str">
        <f t="shared" si="48"/>
        <v>Split Case Fee Override Flag</v>
      </c>
      <c r="J491" s="1351" t="str">
        <f t="shared" si="50"/>
        <v>F460</v>
      </c>
      <c r="K491" s="1351" t="str">
        <f t="shared" si="49"/>
        <v>Pricing Schedule</v>
      </c>
      <c r="L491" s="853" t="s">
        <v>1287</v>
      </c>
      <c r="M491" s="1351">
        <v>460</v>
      </c>
      <c r="N491" s="1351"/>
      <c r="O491" s="1348"/>
      <c r="P491" s="1348"/>
      <c r="Q491" s="1348"/>
      <c r="R491" s="1348"/>
      <c r="S491" s="1348"/>
      <c r="T491" s="1348"/>
      <c r="U491" s="1348"/>
      <c r="V491" s="1348"/>
      <c r="W491" s="1348"/>
      <c r="X491" s="1348"/>
      <c r="Y491" s="1348"/>
      <c r="Z491" s="1348"/>
    </row>
    <row r="492" spans="1:26" x14ac:dyDescent="0.25">
      <c r="A492" s="877"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7" t="s">
        <v>1357</v>
      </c>
      <c r="E492" s="817" t="s">
        <v>1279</v>
      </c>
      <c r="F492" s="1130"/>
      <c r="G492" s="1351"/>
      <c r="H492" s="1351"/>
      <c r="I492" s="1307" t="str">
        <f t="shared" si="48"/>
        <v>Split Case Fee</v>
      </c>
      <c r="J492" s="1351" t="str">
        <f t="shared" si="50"/>
        <v>F461</v>
      </c>
      <c r="K492" s="1351" t="str">
        <f t="shared" si="49"/>
        <v>Pricing Schedule</v>
      </c>
      <c r="L492" s="853" t="s">
        <v>1288</v>
      </c>
      <c r="M492" s="1351">
        <v>461</v>
      </c>
      <c r="N492" s="1351"/>
      <c r="O492" s="1348"/>
      <c r="P492" s="1348"/>
      <c r="Q492" s="1348"/>
      <c r="R492" s="1348"/>
      <c r="S492" s="1348"/>
      <c r="T492" s="1348"/>
      <c r="U492" s="1348"/>
      <c r="V492" s="1348"/>
      <c r="W492" s="1348"/>
      <c r="X492" s="1348"/>
      <c r="Y492" s="1348"/>
      <c r="Z492" s="1348"/>
    </row>
    <row r="493" spans="1:26" x14ac:dyDescent="0.25">
      <c r="A493" s="877"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7" t="s">
        <v>1357</v>
      </c>
      <c r="E493" s="817" t="s">
        <v>1279</v>
      </c>
      <c r="F493" s="1130"/>
      <c r="G493" s="1351"/>
      <c r="H493" s="1351"/>
      <c r="I493" s="1307" t="str">
        <f t="shared" si="48"/>
        <v>Split Case Per</v>
      </c>
      <c r="J493" s="1351" t="str">
        <f t="shared" si="50"/>
        <v>F462</v>
      </c>
      <c r="K493" s="1351" t="str">
        <f t="shared" si="49"/>
        <v>Pricing Schedule</v>
      </c>
      <c r="L493" s="853" t="s">
        <v>1228</v>
      </c>
      <c r="M493" s="1351">
        <v>462</v>
      </c>
      <c r="N493" s="1351"/>
      <c r="O493" s="1348"/>
      <c r="P493" s="1348"/>
      <c r="Q493" s="1348"/>
      <c r="R493" s="1348"/>
      <c r="S493" s="1348"/>
      <c r="T493" s="1348"/>
      <c r="U493" s="1348"/>
      <c r="V493" s="1348"/>
      <c r="W493" s="1348"/>
      <c r="X493" s="1348"/>
      <c r="Y493" s="1348"/>
      <c r="Z493" s="1348"/>
    </row>
    <row r="494" spans="1:26" x14ac:dyDescent="0.25">
      <c r="A494" s="872"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7" t="s">
        <v>1357</v>
      </c>
      <c r="E494" s="817" t="s">
        <v>1279</v>
      </c>
      <c r="F494" s="1351"/>
      <c r="G494" s="1351"/>
      <c r="H494" s="1351"/>
      <c r="I494" s="1307" t="str">
        <f t="shared" si="48"/>
        <v/>
      </c>
      <c r="J494" s="1351"/>
      <c r="K494" s="1351" t="str">
        <f t="shared" si="49"/>
        <v/>
      </c>
      <c r="L494" s="853" t="s">
        <v>1289</v>
      </c>
      <c r="M494" s="1351">
        <v>463</v>
      </c>
      <c r="N494" s="1351"/>
      <c r="O494" s="1348"/>
      <c r="P494" s="1348"/>
      <c r="Q494" s="1348"/>
      <c r="R494" s="1348"/>
      <c r="S494" s="1348"/>
      <c r="T494" s="1348"/>
      <c r="U494" s="1348"/>
      <c r="V494" s="1348"/>
      <c r="W494" s="1348"/>
      <c r="X494" s="1348"/>
      <c r="Y494" s="1348"/>
      <c r="Z494" s="1348"/>
    </row>
    <row r="495" spans="1:26" x14ac:dyDescent="0.25">
      <c r="A495" s="873"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7" t="s">
        <v>1357</v>
      </c>
      <c r="E495" s="817" t="s">
        <v>1279</v>
      </c>
      <c r="F495" s="1351"/>
      <c r="G495" s="1351"/>
      <c r="H495" s="1351"/>
      <c r="I495" s="1307" t="str">
        <f t="shared" si="48"/>
        <v/>
      </c>
      <c r="J495" s="1351"/>
      <c r="K495" s="1351" t="str">
        <f t="shared" si="49"/>
        <v/>
      </c>
      <c r="L495" s="853" t="s">
        <v>252</v>
      </c>
      <c r="M495" s="1351">
        <v>464</v>
      </c>
      <c r="N495" s="1351"/>
      <c r="O495" s="1348"/>
      <c r="P495" s="1348"/>
      <c r="Q495" s="1348"/>
      <c r="R495" s="1348"/>
      <c r="S495" s="1348"/>
      <c r="T495" s="1348"/>
      <c r="U495" s="1348"/>
      <c r="V495" s="1348"/>
      <c r="W495" s="1348"/>
      <c r="X495" s="1348"/>
      <c r="Y495" s="1348"/>
      <c r="Z495" s="1348"/>
    </row>
    <row r="496" spans="1:26" x14ac:dyDescent="0.25">
      <c r="A496" s="873"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7" t="s">
        <v>1357</v>
      </c>
      <c r="E496" s="817" t="s">
        <v>1279</v>
      </c>
      <c r="F496" s="1351"/>
      <c r="G496" s="1351"/>
      <c r="H496" s="1351"/>
      <c r="I496" s="1307" t="str">
        <f t="shared" si="48"/>
        <v/>
      </c>
      <c r="J496" s="1351"/>
      <c r="K496" s="1351" t="str">
        <f t="shared" si="49"/>
        <v/>
      </c>
      <c r="L496" s="853" t="s">
        <v>1246</v>
      </c>
      <c r="M496" s="1351">
        <v>465</v>
      </c>
      <c r="N496" s="1351"/>
      <c r="O496" s="1348"/>
      <c r="P496" s="1348"/>
      <c r="Q496" s="1348"/>
      <c r="R496" s="1348"/>
      <c r="S496" s="1348"/>
      <c r="T496" s="1348"/>
      <c r="U496" s="1348"/>
      <c r="V496" s="1348"/>
      <c r="W496" s="1348"/>
      <c r="X496" s="1348"/>
      <c r="Y496" s="1348"/>
      <c r="Z496" s="1348"/>
    </row>
    <row r="497" spans="1:26" x14ac:dyDescent="0.25">
      <c r="A497" s="873"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7" t="s">
        <v>1357</v>
      </c>
      <c r="E497" s="817" t="s">
        <v>1279</v>
      </c>
      <c r="F497" s="1351"/>
      <c r="G497" s="1351"/>
      <c r="H497" s="1351"/>
      <c r="I497" s="1307" t="str">
        <f t="shared" si="48"/>
        <v/>
      </c>
      <c r="J497" s="1351"/>
      <c r="K497" s="1351" t="str">
        <f t="shared" si="49"/>
        <v/>
      </c>
      <c r="L497" s="853" t="s">
        <v>225</v>
      </c>
      <c r="M497" s="1351">
        <v>466</v>
      </c>
      <c r="N497" s="1351"/>
      <c r="O497" s="1348"/>
      <c r="P497" s="1348"/>
      <c r="Q497" s="1348"/>
      <c r="R497" s="1348"/>
      <c r="S497" s="1348"/>
      <c r="T497" s="1348"/>
      <c r="U497" s="1348"/>
      <c r="V497" s="1348"/>
      <c r="W497" s="1348"/>
      <c r="X497" s="1348"/>
      <c r="Y497" s="1348"/>
      <c r="Z497" s="1348"/>
    </row>
    <row r="498" spans="1:26" x14ac:dyDescent="0.25">
      <c r="A498" s="874" t="s">
        <v>463</v>
      </c>
      <c r="B498" s="1307" t="str">
        <f ca="1">_xlfn.CONCAT(IFERROR(SUBSTITUTE(ADDRESS(1,MATCH(A498,INDIRECT("'"&amp;E498&amp;"'"&amp;"!A9:Z9"),0),4),1,""),""),28)</f>
        <v>E28</v>
      </c>
      <c r="C498" s="1307" t="str">
        <f ca="1">_xlfn.CONCAT(IFERROR(SUBSTITUTE(ADDRESS(1,MATCH(A498,INDIRECT("'"&amp;E498&amp;"'"&amp;"!A9:Z9"),0),4),1,""),""))</f>
        <v>E</v>
      </c>
      <c r="D498" s="1351" t="s">
        <v>1357</v>
      </c>
      <c r="E498" s="817" t="s">
        <v>208</v>
      </c>
      <c r="F498" s="1351"/>
      <c r="G498" s="1351"/>
      <c r="H498" s="1351"/>
      <c r="I498" s="1307" t="str">
        <f t="shared" si="48"/>
        <v>Exclude PIM Classes Below</v>
      </c>
      <c r="J498" s="1351" t="str">
        <f t="shared" si="50"/>
        <v>F467</v>
      </c>
      <c r="K498" s="1351" t="str">
        <f t="shared" si="49"/>
        <v>PIM Model</v>
      </c>
      <c r="L498" s="853" t="s">
        <v>463</v>
      </c>
      <c r="M498" s="1351">
        <v>467</v>
      </c>
      <c r="N498" s="1351"/>
      <c r="O498" s="1348"/>
      <c r="P498" s="1348"/>
      <c r="Q498" s="1348"/>
      <c r="R498" s="1348"/>
      <c r="S498" s="1348"/>
      <c r="T498" s="1348"/>
      <c r="U498" s="1348"/>
      <c r="V498" s="1348"/>
      <c r="W498" s="1348"/>
      <c r="X498" s="1348"/>
      <c r="Y498" s="1348"/>
      <c r="Z498" s="1348"/>
    </row>
    <row r="499" spans="1:26" x14ac:dyDescent="0.25">
      <c r="A499" s="874"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7" t="s">
        <v>1357</v>
      </c>
      <c r="E499" s="817" t="s">
        <v>1279</v>
      </c>
      <c r="F499" s="1351"/>
      <c r="G499" s="1351"/>
      <c r="H499" s="1351"/>
      <c r="I499" s="1307" t="str">
        <f t="shared" si="48"/>
        <v>Special Pricing Code</v>
      </c>
      <c r="J499" s="1351" t="str">
        <f t="shared" si="50"/>
        <v>F468</v>
      </c>
      <c r="K499" s="1351" t="str">
        <f t="shared" si="49"/>
        <v>Pricing Schedule</v>
      </c>
      <c r="L499" s="853" t="s">
        <v>1282</v>
      </c>
      <c r="M499" s="1351">
        <v>468</v>
      </c>
      <c r="N499" s="1351"/>
      <c r="O499" s="1348"/>
      <c r="P499" s="1348"/>
      <c r="Q499" s="1348"/>
      <c r="R499" s="1348"/>
      <c r="S499" s="1348"/>
      <c r="T499" s="1348"/>
      <c r="U499" s="1348"/>
      <c r="V499" s="1348"/>
      <c r="W499" s="1348"/>
      <c r="X499" s="1348"/>
      <c r="Y499" s="1348"/>
      <c r="Z499" s="1348"/>
    </row>
    <row r="500" spans="1:26" x14ac:dyDescent="0.25">
      <c r="A500" s="874"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7" t="s">
        <v>1357</v>
      </c>
      <c r="E500" s="817" t="s">
        <v>1279</v>
      </c>
      <c r="F500" s="1130"/>
      <c r="G500" s="1351"/>
      <c r="H500" s="1351"/>
      <c r="I500" s="1307" t="str">
        <f t="shared" si="48"/>
        <v>EB Markup Amt</v>
      </c>
      <c r="J500" s="1351" t="str">
        <f t="shared" si="50"/>
        <v>F469</v>
      </c>
      <c r="K500" s="1351" t="str">
        <f t="shared" si="49"/>
        <v>Pricing Schedule</v>
      </c>
      <c r="L500" s="853" t="s">
        <v>1284</v>
      </c>
      <c r="M500" s="1351">
        <v>469</v>
      </c>
      <c r="N500" s="1351"/>
      <c r="O500" s="1348"/>
      <c r="P500" s="1348"/>
      <c r="Q500" s="1348"/>
      <c r="R500" s="1348"/>
      <c r="S500" s="1348"/>
      <c r="T500" s="1348"/>
      <c r="U500" s="1348"/>
      <c r="V500" s="1348"/>
      <c r="W500" s="1348"/>
      <c r="X500" s="1348"/>
      <c r="Y500" s="1348"/>
      <c r="Z500" s="1348"/>
    </row>
    <row r="501" spans="1:26" x14ac:dyDescent="0.25">
      <c r="A501" s="874"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7" t="s">
        <v>1357</v>
      </c>
      <c r="E501" s="817" t="s">
        <v>1279</v>
      </c>
      <c r="F501" s="1130"/>
      <c r="G501" s="1351"/>
      <c r="H501" s="1351"/>
      <c r="I501" s="1307" t="str">
        <f t="shared" si="48"/>
        <v>Min CS Markup Override Flag</v>
      </c>
      <c r="J501" s="1351" t="str">
        <f t="shared" si="50"/>
        <v>F470</v>
      </c>
      <c r="K501" s="1351" t="str">
        <f t="shared" si="49"/>
        <v>Pricing Schedule</v>
      </c>
      <c r="L501" s="853" t="s">
        <v>1285</v>
      </c>
      <c r="M501" s="1351">
        <v>470</v>
      </c>
      <c r="N501" s="1351"/>
      <c r="O501" s="1348"/>
      <c r="P501" s="1348"/>
      <c r="Q501" s="1348"/>
      <c r="R501" s="1348"/>
      <c r="S501" s="1348"/>
      <c r="T501" s="1348"/>
      <c r="U501" s="1348"/>
      <c r="V501" s="1348"/>
      <c r="W501" s="1348"/>
      <c r="X501" s="1348"/>
      <c r="Y501" s="1348"/>
      <c r="Z501" s="1348"/>
    </row>
    <row r="502" spans="1:26" x14ac:dyDescent="0.25">
      <c r="A502" s="874"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7" t="s">
        <v>1357</v>
      </c>
      <c r="E502" s="817" t="s">
        <v>1279</v>
      </c>
      <c r="F502" s="1130"/>
      <c r="G502" s="1351"/>
      <c r="H502" s="1351"/>
      <c r="I502" s="1307" t="str">
        <f t="shared" si="48"/>
        <v>Min CS Markup Amt</v>
      </c>
      <c r="J502" s="1351" t="str">
        <f t="shared" si="50"/>
        <v>F471</v>
      </c>
      <c r="K502" s="1351" t="str">
        <f t="shared" si="49"/>
        <v>Pricing Schedule</v>
      </c>
      <c r="L502" s="853" t="s">
        <v>1286</v>
      </c>
      <c r="M502" s="1351">
        <v>471</v>
      </c>
      <c r="N502" s="1351"/>
      <c r="O502" s="1348"/>
      <c r="P502" s="1348"/>
      <c r="Q502" s="1348"/>
      <c r="R502" s="1348"/>
      <c r="S502" s="1348"/>
      <c r="T502" s="1348"/>
      <c r="U502" s="1348"/>
      <c r="V502" s="1348"/>
      <c r="W502" s="1348"/>
      <c r="X502" s="1348"/>
      <c r="Y502" s="1348"/>
      <c r="Z502" s="1348"/>
    </row>
    <row r="503" spans="1:26" x14ac:dyDescent="0.25">
      <c r="A503" s="874"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7" t="s">
        <v>1357</v>
      </c>
      <c r="E503" s="817" t="s">
        <v>1279</v>
      </c>
      <c r="F503" s="1130"/>
      <c r="G503" s="1351"/>
      <c r="H503" s="1351"/>
      <c r="I503" s="1307" t="str">
        <f t="shared" si="48"/>
        <v>Split Case Fee Override Flag</v>
      </c>
      <c r="J503" s="1351" t="str">
        <f t="shared" si="50"/>
        <v>F472</v>
      </c>
      <c r="K503" s="1351" t="str">
        <f t="shared" si="49"/>
        <v>Pricing Schedule</v>
      </c>
      <c r="L503" s="853" t="s">
        <v>1287</v>
      </c>
      <c r="M503" s="1351">
        <v>472</v>
      </c>
      <c r="N503" s="1351"/>
      <c r="O503" s="1348"/>
      <c r="P503" s="1348"/>
      <c r="Q503" s="1348"/>
      <c r="R503" s="1348"/>
      <c r="S503" s="1348"/>
      <c r="T503" s="1348"/>
      <c r="U503" s="1348"/>
      <c r="V503" s="1348"/>
      <c r="W503" s="1348"/>
      <c r="X503" s="1348"/>
      <c r="Y503" s="1348"/>
      <c r="Z503" s="1348"/>
    </row>
    <row r="504" spans="1:26" x14ac:dyDescent="0.25">
      <c r="A504" s="874"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7" t="s">
        <v>1357</v>
      </c>
      <c r="E504" s="817" t="s">
        <v>1279</v>
      </c>
      <c r="F504" s="1130"/>
      <c r="G504" s="1351"/>
      <c r="H504" s="1351"/>
      <c r="I504" s="1307" t="str">
        <f t="shared" si="48"/>
        <v>Split Case Fee</v>
      </c>
      <c r="J504" s="1351" t="str">
        <f t="shared" si="50"/>
        <v>F473</v>
      </c>
      <c r="K504" s="1351" t="str">
        <f t="shared" si="49"/>
        <v>Pricing Schedule</v>
      </c>
      <c r="L504" s="853" t="s">
        <v>1288</v>
      </c>
      <c r="M504" s="1351">
        <v>473</v>
      </c>
      <c r="N504" s="1351"/>
      <c r="O504" s="1348"/>
      <c r="P504" s="1348"/>
      <c r="Q504" s="1348"/>
      <c r="R504" s="1348"/>
      <c r="S504" s="1348"/>
      <c r="T504" s="1348"/>
      <c r="U504" s="1348"/>
      <c r="V504" s="1348"/>
      <c r="W504" s="1348"/>
      <c r="X504" s="1348"/>
      <c r="Y504" s="1348"/>
      <c r="Z504" s="1348"/>
    </row>
    <row r="505" spans="1:26" x14ac:dyDescent="0.25">
      <c r="A505" s="874"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7" t="s">
        <v>1357</v>
      </c>
      <c r="E505" s="817" t="s">
        <v>1279</v>
      </c>
      <c r="F505" s="1130"/>
      <c r="G505" s="1351"/>
      <c r="H505" s="1351"/>
      <c r="I505" s="1307" t="str">
        <f t="shared" si="48"/>
        <v>Split Case Per</v>
      </c>
      <c r="J505" s="1351" t="str">
        <f t="shared" si="50"/>
        <v>F474</v>
      </c>
      <c r="K505" s="1351" t="str">
        <f t="shared" si="49"/>
        <v>Pricing Schedule</v>
      </c>
      <c r="L505" s="853" t="s">
        <v>1228</v>
      </c>
      <c r="M505" s="1351">
        <v>474</v>
      </c>
      <c r="N505" s="1351"/>
      <c r="O505" s="1348"/>
      <c r="P505" s="1348"/>
      <c r="Q505" s="1348"/>
      <c r="R505" s="1348"/>
      <c r="S505" s="1348"/>
      <c r="T505" s="1348"/>
      <c r="U505" s="1348"/>
      <c r="V505" s="1348"/>
      <c r="W505" s="1348"/>
      <c r="X505" s="1348"/>
      <c r="Y505" s="1348"/>
      <c r="Z505" s="1348"/>
    </row>
    <row r="506" spans="1:26" x14ac:dyDescent="0.25">
      <c r="A506" s="875"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7" t="s">
        <v>1357</v>
      </c>
      <c r="E506" s="817" t="s">
        <v>1279</v>
      </c>
      <c r="F506" s="1351"/>
      <c r="G506" s="1351"/>
      <c r="H506" s="1351"/>
      <c r="I506" s="1307" t="str">
        <f t="shared" si="48"/>
        <v/>
      </c>
      <c r="J506" s="1351"/>
      <c r="K506" s="1351" t="str">
        <f t="shared" si="49"/>
        <v/>
      </c>
      <c r="L506" s="853" t="s">
        <v>1289</v>
      </c>
      <c r="M506" s="1351">
        <v>475</v>
      </c>
      <c r="N506" s="1351"/>
      <c r="O506" s="1348"/>
      <c r="P506" s="1348"/>
      <c r="Q506" s="1348"/>
      <c r="R506" s="1348"/>
      <c r="S506" s="1348"/>
      <c r="T506" s="1348"/>
      <c r="U506" s="1348"/>
      <c r="V506" s="1348"/>
      <c r="W506" s="1348"/>
      <c r="X506" s="1348"/>
      <c r="Y506" s="1348"/>
      <c r="Z506" s="1348"/>
    </row>
    <row r="507" spans="1:26" x14ac:dyDescent="0.25">
      <c r="A507" s="876"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7" t="s">
        <v>1357</v>
      </c>
      <c r="E507" s="817" t="s">
        <v>1279</v>
      </c>
      <c r="F507" s="1351"/>
      <c r="G507" s="1351"/>
      <c r="H507" s="1351"/>
      <c r="I507" s="1307" t="str">
        <f t="shared" si="48"/>
        <v/>
      </c>
      <c r="J507" s="1351"/>
      <c r="K507" s="1351" t="str">
        <f t="shared" si="49"/>
        <v/>
      </c>
      <c r="L507" s="853" t="s">
        <v>252</v>
      </c>
      <c r="M507" s="1351">
        <v>476</v>
      </c>
      <c r="N507" s="1351"/>
      <c r="O507" s="1348"/>
      <c r="P507" s="1348"/>
      <c r="Q507" s="1348"/>
      <c r="R507" s="1348"/>
      <c r="S507" s="1348"/>
      <c r="T507" s="1348"/>
      <c r="U507" s="1348"/>
      <c r="V507" s="1348"/>
      <c r="W507" s="1348"/>
      <c r="X507" s="1348"/>
      <c r="Y507" s="1348"/>
      <c r="Z507" s="1348"/>
    </row>
    <row r="508" spans="1:26" x14ac:dyDescent="0.25">
      <c r="A508" s="876"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7" t="s">
        <v>1357</v>
      </c>
      <c r="E508" s="817" t="s">
        <v>1279</v>
      </c>
      <c r="F508" s="1351"/>
      <c r="G508" s="1351"/>
      <c r="H508" s="1351"/>
      <c r="I508" s="1307" t="str">
        <f t="shared" si="48"/>
        <v/>
      </c>
      <c r="J508" s="1351"/>
      <c r="K508" s="1351" t="str">
        <f t="shared" si="49"/>
        <v/>
      </c>
      <c r="L508" s="853" t="s">
        <v>1246</v>
      </c>
      <c r="M508" s="1351">
        <v>477</v>
      </c>
      <c r="N508" s="1351"/>
      <c r="O508" s="1348"/>
      <c r="P508" s="1348"/>
      <c r="Q508" s="1348"/>
      <c r="R508" s="1348"/>
      <c r="S508" s="1348"/>
      <c r="T508" s="1348"/>
      <c r="U508" s="1348"/>
      <c r="V508" s="1348"/>
      <c r="W508" s="1348"/>
      <c r="X508" s="1348"/>
      <c r="Y508" s="1348"/>
      <c r="Z508" s="1348"/>
    </row>
    <row r="509" spans="1:26" x14ac:dyDescent="0.25">
      <c r="A509" s="876"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7" t="s">
        <v>1357</v>
      </c>
      <c r="E509" s="817" t="s">
        <v>1279</v>
      </c>
      <c r="F509" s="1351"/>
      <c r="G509" s="1351"/>
      <c r="H509" s="1351"/>
      <c r="I509" s="1307" t="str">
        <f t="shared" si="48"/>
        <v/>
      </c>
      <c r="J509" s="1351"/>
      <c r="K509" s="1351" t="str">
        <f t="shared" si="49"/>
        <v/>
      </c>
      <c r="L509" s="853" t="s">
        <v>225</v>
      </c>
      <c r="M509" s="1351">
        <v>478</v>
      </c>
      <c r="N509" s="1351"/>
      <c r="O509" s="1348"/>
      <c r="P509" s="1348"/>
      <c r="Q509" s="1348"/>
      <c r="R509" s="1348"/>
      <c r="S509" s="1348"/>
      <c r="T509" s="1348"/>
      <c r="U509" s="1348"/>
      <c r="V509" s="1348"/>
      <c r="W509" s="1348"/>
      <c r="X509" s="1348"/>
      <c r="Y509" s="1348"/>
      <c r="Z509" s="1348"/>
    </row>
    <row r="510" spans="1:26" x14ac:dyDescent="0.25">
      <c r="A510" s="877" t="s">
        <v>463</v>
      </c>
      <c r="B510" s="1307" t="str">
        <f ca="1">_xlfn.CONCAT(IFERROR(SUBSTITUTE(ADDRESS(1,MATCH(A510,INDIRECT("'"&amp;E510&amp;"'"&amp;"!A9:Z9"),0),4),1,""),""),29)</f>
        <v>E29</v>
      </c>
      <c r="C510" s="1307" t="str">
        <f ca="1">_xlfn.CONCAT(IFERROR(SUBSTITUTE(ADDRESS(1,MATCH(A510,INDIRECT("'"&amp;E510&amp;"'"&amp;"!A9:Z9"),0),4),1,""),""))</f>
        <v>E</v>
      </c>
      <c r="D510" s="1351" t="s">
        <v>1357</v>
      </c>
      <c r="E510" s="817" t="s">
        <v>208</v>
      </c>
      <c r="F510" s="1351"/>
      <c r="G510" s="1351"/>
      <c r="H510" s="1351"/>
      <c r="I510" s="1307" t="str">
        <f t="shared" si="48"/>
        <v>Exclude PIM Classes Below</v>
      </c>
      <c r="J510" s="1351" t="str">
        <f t="shared" si="50"/>
        <v>F479</v>
      </c>
      <c r="K510" s="1351" t="str">
        <f t="shared" si="49"/>
        <v>PIM Model</v>
      </c>
      <c r="L510" s="853" t="s">
        <v>463</v>
      </c>
      <c r="M510" s="1351">
        <v>479</v>
      </c>
      <c r="N510" s="1351"/>
      <c r="O510" s="1348"/>
      <c r="P510" s="1348"/>
      <c r="Q510" s="1348"/>
      <c r="R510" s="1348"/>
      <c r="S510" s="1348"/>
      <c r="T510" s="1348"/>
      <c r="U510" s="1348"/>
      <c r="V510" s="1348"/>
      <c r="W510" s="1348"/>
      <c r="X510" s="1348"/>
      <c r="Y510" s="1348"/>
      <c r="Z510" s="1348"/>
    </row>
    <row r="511" spans="1:26" x14ac:dyDescent="0.25">
      <c r="A511" s="877"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7" t="s">
        <v>1357</v>
      </c>
      <c r="E511" s="817" t="s">
        <v>1279</v>
      </c>
      <c r="F511" s="1351"/>
      <c r="G511" s="1351"/>
      <c r="H511" s="1351"/>
      <c r="I511" s="1307" t="str">
        <f t="shared" si="48"/>
        <v>Special Pricing Code</v>
      </c>
      <c r="J511" s="1351" t="str">
        <f t="shared" si="50"/>
        <v>F480</v>
      </c>
      <c r="K511" s="1351" t="str">
        <f t="shared" si="49"/>
        <v>Pricing Schedule</v>
      </c>
      <c r="L511" s="853" t="s">
        <v>1282</v>
      </c>
      <c r="M511" s="1351">
        <v>480</v>
      </c>
      <c r="N511" s="1351"/>
      <c r="O511" s="1348"/>
      <c r="P511" s="1348"/>
      <c r="Q511" s="1348"/>
      <c r="R511" s="1348"/>
      <c r="S511" s="1348"/>
      <c r="T511" s="1348"/>
      <c r="U511" s="1348"/>
      <c r="V511" s="1348"/>
      <c r="W511" s="1348"/>
      <c r="X511" s="1348"/>
      <c r="Y511" s="1348"/>
      <c r="Z511" s="1348"/>
    </row>
    <row r="512" spans="1:26" x14ac:dyDescent="0.25">
      <c r="A512" s="877"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7" t="s">
        <v>1357</v>
      </c>
      <c r="E512" s="817" t="s">
        <v>1279</v>
      </c>
      <c r="F512" s="1130"/>
      <c r="G512" s="1351"/>
      <c r="H512" s="1351"/>
      <c r="I512" s="1307" t="str">
        <f t="shared" si="48"/>
        <v>EB Markup Amt</v>
      </c>
      <c r="J512" s="1351" t="str">
        <f t="shared" si="50"/>
        <v>F481</v>
      </c>
      <c r="K512" s="1351" t="str">
        <f t="shared" si="49"/>
        <v>Pricing Schedule</v>
      </c>
      <c r="L512" s="853" t="s">
        <v>1284</v>
      </c>
      <c r="M512" s="1351">
        <v>481</v>
      </c>
      <c r="N512" s="1351"/>
      <c r="O512" s="1348"/>
      <c r="P512" s="1348"/>
      <c r="Q512" s="1348"/>
      <c r="R512" s="1348"/>
      <c r="S512" s="1348"/>
      <c r="T512" s="1348"/>
      <c r="U512" s="1348"/>
      <c r="V512" s="1348"/>
      <c r="W512" s="1348"/>
      <c r="X512" s="1348"/>
      <c r="Y512" s="1348"/>
      <c r="Z512" s="1348"/>
    </row>
    <row r="513" spans="1:26" x14ac:dyDescent="0.25">
      <c r="A513" s="877"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7" t="s">
        <v>1357</v>
      </c>
      <c r="E513" s="817" t="s">
        <v>1279</v>
      </c>
      <c r="F513" s="1130"/>
      <c r="G513" s="1351"/>
      <c r="H513" s="1351"/>
      <c r="I513" s="1307" t="str">
        <f t="shared" si="48"/>
        <v>Min CS Markup Override Flag</v>
      </c>
      <c r="J513" s="1351" t="str">
        <f t="shared" si="50"/>
        <v>F482</v>
      </c>
      <c r="K513" s="1351" t="str">
        <f t="shared" si="49"/>
        <v>Pricing Schedule</v>
      </c>
      <c r="L513" s="853" t="s">
        <v>1285</v>
      </c>
      <c r="M513" s="1351">
        <v>482</v>
      </c>
      <c r="N513" s="1351"/>
      <c r="O513" s="1348"/>
      <c r="P513" s="1348"/>
      <c r="Q513" s="1348"/>
      <c r="R513" s="1348"/>
      <c r="S513" s="1348"/>
      <c r="T513" s="1348"/>
      <c r="U513" s="1348"/>
      <c r="V513" s="1348"/>
      <c r="W513" s="1348"/>
      <c r="X513" s="1348"/>
      <c r="Y513" s="1348"/>
      <c r="Z513" s="1348"/>
    </row>
    <row r="514" spans="1:26" x14ac:dyDescent="0.25">
      <c r="A514" s="877"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7" t="s">
        <v>1357</v>
      </c>
      <c r="E514" s="817" t="s">
        <v>1279</v>
      </c>
      <c r="F514" s="1130"/>
      <c r="G514" s="1351"/>
      <c r="H514" s="1351"/>
      <c r="I514" s="1307" t="str">
        <f t="shared" si="48"/>
        <v>Min CS Markup Amt</v>
      </c>
      <c r="J514" s="1351" t="str">
        <f t="shared" si="50"/>
        <v>F483</v>
      </c>
      <c r="K514" s="1351" t="str">
        <f t="shared" si="49"/>
        <v>Pricing Schedule</v>
      </c>
      <c r="L514" s="853" t="s">
        <v>1286</v>
      </c>
      <c r="M514" s="1351">
        <v>483</v>
      </c>
      <c r="N514" s="1351"/>
      <c r="O514" s="1348"/>
      <c r="P514" s="1348"/>
      <c r="Q514" s="1348"/>
      <c r="R514" s="1348"/>
      <c r="S514" s="1348"/>
      <c r="T514" s="1348"/>
      <c r="U514" s="1348"/>
      <c r="V514" s="1348"/>
      <c r="W514" s="1348"/>
      <c r="X514" s="1348"/>
      <c r="Y514" s="1348"/>
      <c r="Z514" s="1348"/>
    </row>
    <row r="515" spans="1:26" x14ac:dyDescent="0.25">
      <c r="A515" s="877"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7" t="s">
        <v>1357</v>
      </c>
      <c r="E515" s="817" t="s">
        <v>1279</v>
      </c>
      <c r="F515" s="1130"/>
      <c r="G515" s="1351"/>
      <c r="H515" s="1351"/>
      <c r="I515" s="1307" t="str">
        <f t="shared" si="48"/>
        <v>Split Case Fee Override Flag</v>
      </c>
      <c r="J515" s="1351" t="str">
        <f t="shared" si="50"/>
        <v>F484</v>
      </c>
      <c r="K515" s="1351" t="str">
        <f t="shared" si="49"/>
        <v>Pricing Schedule</v>
      </c>
      <c r="L515" s="853" t="s">
        <v>1287</v>
      </c>
      <c r="M515" s="1351">
        <v>484</v>
      </c>
      <c r="N515" s="1351"/>
      <c r="O515" s="1348"/>
      <c r="P515" s="1348"/>
      <c r="Q515" s="1348"/>
      <c r="R515" s="1348"/>
      <c r="S515" s="1348"/>
      <c r="T515" s="1348"/>
      <c r="U515" s="1348"/>
      <c r="V515" s="1348"/>
      <c r="W515" s="1348"/>
      <c r="X515" s="1348"/>
      <c r="Y515" s="1348"/>
      <c r="Z515" s="1348"/>
    </row>
    <row r="516" spans="1:26" x14ac:dyDescent="0.25">
      <c r="A516" s="877"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7" t="s">
        <v>1357</v>
      </c>
      <c r="E516" s="817" t="s">
        <v>1279</v>
      </c>
      <c r="F516" s="1130"/>
      <c r="G516" s="1351"/>
      <c r="H516" s="1351"/>
      <c r="I516" s="1307" t="str">
        <f t="shared" ref="I516:I579" si="51">IF(J516&lt;&gt;"",A516,"")</f>
        <v>Split Case Fee</v>
      </c>
      <c r="J516" s="1351" t="str">
        <f t="shared" si="50"/>
        <v>F485</v>
      </c>
      <c r="K516" s="1351" t="str">
        <f t="shared" ref="K516:K579" si="52">IF(J516&lt;&gt;"",E516,"")</f>
        <v>Pricing Schedule</v>
      </c>
      <c r="L516" s="853" t="s">
        <v>1288</v>
      </c>
      <c r="M516" s="1351">
        <v>485</v>
      </c>
      <c r="N516" s="1351"/>
      <c r="O516" s="1348"/>
      <c r="P516" s="1348"/>
      <c r="Q516" s="1348"/>
      <c r="R516" s="1348"/>
      <c r="S516" s="1348"/>
      <c r="T516" s="1348"/>
      <c r="U516" s="1348"/>
      <c r="V516" s="1348"/>
      <c r="W516" s="1348"/>
      <c r="X516" s="1348"/>
      <c r="Y516" s="1348"/>
      <c r="Z516" s="1348"/>
    </row>
    <row r="517" spans="1:26" x14ac:dyDescent="0.25">
      <c r="A517" s="877"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7" t="s">
        <v>1357</v>
      </c>
      <c r="E517" s="817" t="s">
        <v>1279</v>
      </c>
      <c r="F517" s="1130"/>
      <c r="G517" s="1351"/>
      <c r="H517" s="1351"/>
      <c r="I517" s="1307" t="str">
        <f t="shared" si="51"/>
        <v>Split Case Per</v>
      </c>
      <c r="J517" s="1351" t="str">
        <f t="shared" si="50"/>
        <v>F486</v>
      </c>
      <c r="K517" s="1351" t="str">
        <f t="shared" si="52"/>
        <v>Pricing Schedule</v>
      </c>
      <c r="L517" s="853" t="s">
        <v>1228</v>
      </c>
      <c r="M517" s="1351">
        <v>486</v>
      </c>
      <c r="N517" s="1351"/>
      <c r="O517" s="1348"/>
      <c r="P517" s="1348"/>
      <c r="Q517" s="1348"/>
      <c r="R517" s="1348"/>
      <c r="S517" s="1348"/>
      <c r="T517" s="1348"/>
      <c r="U517" s="1348"/>
      <c r="V517" s="1348"/>
      <c r="W517" s="1348"/>
      <c r="X517" s="1348"/>
      <c r="Y517" s="1348"/>
      <c r="Z517" s="1348"/>
    </row>
    <row r="518" spans="1:26" x14ac:dyDescent="0.25">
      <c r="A518" s="872"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7" t="s">
        <v>1357</v>
      </c>
      <c r="E518" s="817" t="s">
        <v>1279</v>
      </c>
      <c r="F518" s="1351"/>
      <c r="G518" s="1351"/>
      <c r="H518" s="1351"/>
      <c r="I518" s="1307" t="str">
        <f t="shared" si="51"/>
        <v/>
      </c>
      <c r="J518" s="1351"/>
      <c r="K518" s="1351" t="str">
        <f t="shared" si="52"/>
        <v/>
      </c>
      <c r="L518" s="853" t="s">
        <v>1289</v>
      </c>
      <c r="M518" s="1351">
        <v>487</v>
      </c>
      <c r="N518" s="1351"/>
      <c r="O518" s="1348"/>
      <c r="P518" s="1348"/>
      <c r="Q518" s="1348"/>
      <c r="R518" s="1348"/>
      <c r="S518" s="1348"/>
      <c r="T518" s="1348"/>
      <c r="U518" s="1348"/>
      <c r="V518" s="1348"/>
      <c r="W518" s="1348"/>
      <c r="X518" s="1348"/>
      <c r="Y518" s="1348"/>
      <c r="Z518" s="1348"/>
    </row>
    <row r="519" spans="1:26" x14ac:dyDescent="0.25">
      <c r="A519" s="873"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7" t="s">
        <v>1357</v>
      </c>
      <c r="E519" s="817" t="s">
        <v>1279</v>
      </c>
      <c r="F519" s="1351"/>
      <c r="G519" s="1351"/>
      <c r="H519" s="1351"/>
      <c r="I519" s="1307" t="str">
        <f t="shared" si="51"/>
        <v/>
      </c>
      <c r="J519" s="1351"/>
      <c r="K519" s="1351" t="str">
        <f t="shared" si="52"/>
        <v/>
      </c>
      <c r="L519" s="853" t="s">
        <v>252</v>
      </c>
      <c r="M519" s="1351">
        <v>488</v>
      </c>
      <c r="N519" s="1351"/>
      <c r="O519" s="1348"/>
      <c r="P519" s="1348"/>
      <c r="Q519" s="1348"/>
      <c r="R519" s="1348"/>
      <c r="S519" s="1348"/>
      <c r="T519" s="1348"/>
      <c r="U519" s="1348"/>
      <c r="V519" s="1348"/>
      <c r="W519" s="1348"/>
      <c r="X519" s="1348"/>
      <c r="Y519" s="1348"/>
      <c r="Z519" s="1348"/>
    </row>
    <row r="520" spans="1:26" x14ac:dyDescent="0.25">
      <c r="A520" s="873"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7" t="s">
        <v>1357</v>
      </c>
      <c r="E520" s="817" t="s">
        <v>1279</v>
      </c>
      <c r="F520" s="1351"/>
      <c r="G520" s="1351"/>
      <c r="H520" s="1351"/>
      <c r="I520" s="1307" t="str">
        <f t="shared" si="51"/>
        <v/>
      </c>
      <c r="J520" s="1351"/>
      <c r="K520" s="1351" t="str">
        <f t="shared" si="52"/>
        <v/>
      </c>
      <c r="L520" s="853" t="s">
        <v>1246</v>
      </c>
      <c r="M520" s="1351">
        <v>489</v>
      </c>
      <c r="N520" s="1351"/>
      <c r="O520" s="1348"/>
      <c r="P520" s="1348"/>
      <c r="Q520" s="1348"/>
      <c r="R520" s="1348"/>
      <c r="S520" s="1348"/>
      <c r="T520" s="1348"/>
      <c r="U520" s="1348"/>
      <c r="V520" s="1348"/>
      <c r="W520" s="1348"/>
      <c r="X520" s="1348"/>
      <c r="Y520" s="1348"/>
      <c r="Z520" s="1348"/>
    </row>
    <row r="521" spans="1:26" x14ac:dyDescent="0.25">
      <c r="A521" s="873"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7" t="s">
        <v>1357</v>
      </c>
      <c r="E521" s="817" t="s">
        <v>1279</v>
      </c>
      <c r="F521" s="1351"/>
      <c r="G521" s="1351"/>
      <c r="H521" s="1351"/>
      <c r="I521" s="1307" t="str">
        <f t="shared" si="51"/>
        <v/>
      </c>
      <c r="J521" s="1351"/>
      <c r="K521" s="1351" t="str">
        <f t="shared" si="52"/>
        <v/>
      </c>
      <c r="L521" s="853" t="s">
        <v>225</v>
      </c>
      <c r="M521" s="1351">
        <v>490</v>
      </c>
      <c r="N521" s="1351"/>
      <c r="O521" s="1348"/>
      <c r="P521" s="1348"/>
      <c r="Q521" s="1348"/>
      <c r="R521" s="1348"/>
      <c r="S521" s="1348"/>
      <c r="T521" s="1348"/>
      <c r="U521" s="1348"/>
      <c r="V521" s="1348"/>
      <c r="W521" s="1348"/>
      <c r="X521" s="1348"/>
      <c r="Y521" s="1348"/>
      <c r="Z521" s="1348"/>
    </row>
    <row r="522" spans="1:26" x14ac:dyDescent="0.25">
      <c r="A522" s="874" t="s">
        <v>463</v>
      </c>
      <c r="B522" s="1307" t="str">
        <f ca="1">_xlfn.CONCAT(IFERROR(SUBSTITUTE(ADDRESS(1,MATCH(A522,INDIRECT("'"&amp;E522&amp;"'"&amp;"!A9:Z9"),0),4),1,""),""),30)</f>
        <v>E30</v>
      </c>
      <c r="C522" s="1307" t="str">
        <f ca="1">_xlfn.CONCAT(IFERROR(SUBSTITUTE(ADDRESS(1,MATCH(A522,INDIRECT("'"&amp;E522&amp;"'"&amp;"!A9:Z9"),0),4),1,""),""))</f>
        <v>E</v>
      </c>
      <c r="D522" s="1351" t="s">
        <v>1357</v>
      </c>
      <c r="E522" s="817" t="s">
        <v>208</v>
      </c>
      <c r="F522" s="1351"/>
      <c r="G522" s="1351"/>
      <c r="H522" s="1351"/>
      <c r="I522" s="1307" t="str">
        <f t="shared" si="51"/>
        <v>Exclude PIM Classes Below</v>
      </c>
      <c r="J522" s="1351" t="str">
        <f t="shared" ref="J522:J538" si="53">IF(M522&lt;&gt;"",Q$1&amp;M522,"")</f>
        <v>F491</v>
      </c>
      <c r="K522" s="1351" t="str">
        <f t="shared" si="52"/>
        <v>PIM Model</v>
      </c>
      <c r="L522" s="853" t="s">
        <v>463</v>
      </c>
      <c r="M522" s="1351">
        <v>491</v>
      </c>
      <c r="N522" s="1351"/>
      <c r="O522" s="1348"/>
      <c r="P522" s="1348"/>
      <c r="Q522" s="1348"/>
      <c r="R522" s="1348"/>
      <c r="S522" s="1348"/>
      <c r="T522" s="1348"/>
      <c r="U522" s="1348"/>
      <c r="V522" s="1348"/>
      <c r="W522" s="1348"/>
      <c r="X522" s="1348"/>
      <c r="Y522" s="1348"/>
      <c r="Z522" s="1348"/>
    </row>
    <row r="523" spans="1:26" x14ac:dyDescent="0.25">
      <c r="A523" s="874"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7" t="s">
        <v>1357</v>
      </c>
      <c r="E523" s="817" t="s">
        <v>1279</v>
      </c>
      <c r="F523" s="1351"/>
      <c r="G523" s="1351"/>
      <c r="H523" s="1351"/>
      <c r="I523" s="1307" t="str">
        <f t="shared" si="51"/>
        <v>Special Pricing Code</v>
      </c>
      <c r="J523" s="1351" t="str">
        <f t="shared" si="53"/>
        <v>F492</v>
      </c>
      <c r="K523" s="1351" t="str">
        <f t="shared" si="52"/>
        <v>Pricing Schedule</v>
      </c>
      <c r="L523" s="853" t="s">
        <v>1282</v>
      </c>
      <c r="M523" s="1351">
        <v>492</v>
      </c>
      <c r="N523" s="1351"/>
      <c r="O523" s="1348"/>
      <c r="P523" s="1348"/>
      <c r="Q523" s="1348"/>
      <c r="R523" s="1348"/>
      <c r="S523" s="1348"/>
      <c r="T523" s="1348"/>
      <c r="U523" s="1348"/>
      <c r="V523" s="1348"/>
      <c r="W523" s="1348"/>
      <c r="X523" s="1348"/>
      <c r="Y523" s="1348"/>
      <c r="Z523" s="1348"/>
    </row>
    <row r="524" spans="1:26" x14ac:dyDescent="0.25">
      <c r="A524" s="874"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7" t="s">
        <v>1357</v>
      </c>
      <c r="E524" s="817" t="s">
        <v>1279</v>
      </c>
      <c r="F524" s="1130"/>
      <c r="G524" s="1351"/>
      <c r="H524" s="1351"/>
      <c r="I524" s="1307" t="str">
        <f t="shared" si="51"/>
        <v>EB Markup Amt</v>
      </c>
      <c r="J524" s="1351" t="str">
        <f t="shared" si="53"/>
        <v>F493</v>
      </c>
      <c r="K524" s="1351" t="str">
        <f t="shared" si="52"/>
        <v>Pricing Schedule</v>
      </c>
      <c r="L524" s="853" t="s">
        <v>1284</v>
      </c>
      <c r="M524" s="1351">
        <v>493</v>
      </c>
      <c r="N524" s="1351"/>
      <c r="O524" s="1348"/>
      <c r="P524" s="1348"/>
      <c r="Q524" s="1348"/>
      <c r="R524" s="1348"/>
      <c r="S524" s="1348"/>
      <c r="T524" s="1348"/>
      <c r="U524" s="1348"/>
      <c r="V524" s="1348"/>
      <c r="W524" s="1348"/>
      <c r="X524" s="1348"/>
      <c r="Y524" s="1348"/>
      <c r="Z524" s="1348"/>
    </row>
    <row r="525" spans="1:26" x14ac:dyDescent="0.25">
      <c r="A525" s="874"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7" t="s">
        <v>1357</v>
      </c>
      <c r="E525" s="817" t="s">
        <v>1279</v>
      </c>
      <c r="F525" s="1130"/>
      <c r="G525" s="1351"/>
      <c r="H525" s="1351"/>
      <c r="I525" s="1307" t="str">
        <f t="shared" si="51"/>
        <v>Min CS Markup Override Flag</v>
      </c>
      <c r="J525" s="1351" t="str">
        <f t="shared" si="53"/>
        <v>F494</v>
      </c>
      <c r="K525" s="1351" t="str">
        <f t="shared" si="52"/>
        <v>Pricing Schedule</v>
      </c>
      <c r="L525" s="853" t="s">
        <v>1285</v>
      </c>
      <c r="M525" s="1351">
        <v>494</v>
      </c>
      <c r="N525" s="1351"/>
      <c r="O525" s="1348"/>
      <c r="P525" s="1348"/>
      <c r="Q525" s="1348"/>
      <c r="R525" s="1348"/>
      <c r="S525" s="1348"/>
      <c r="T525" s="1348"/>
      <c r="U525" s="1348"/>
      <c r="V525" s="1348"/>
      <c r="W525" s="1348"/>
      <c r="X525" s="1348"/>
      <c r="Y525" s="1348"/>
      <c r="Z525" s="1348"/>
    </row>
    <row r="526" spans="1:26" x14ac:dyDescent="0.25">
      <c r="A526" s="874"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7" t="s">
        <v>1357</v>
      </c>
      <c r="E526" s="817" t="s">
        <v>1279</v>
      </c>
      <c r="F526" s="1130"/>
      <c r="G526" s="1351"/>
      <c r="H526" s="1351"/>
      <c r="I526" s="1307" t="str">
        <f t="shared" si="51"/>
        <v>Min CS Markup Amt</v>
      </c>
      <c r="J526" s="1351" t="str">
        <f t="shared" si="53"/>
        <v>F495</v>
      </c>
      <c r="K526" s="1351" t="str">
        <f t="shared" si="52"/>
        <v>Pricing Schedule</v>
      </c>
      <c r="L526" s="853" t="s">
        <v>1286</v>
      </c>
      <c r="M526" s="1351">
        <v>495</v>
      </c>
      <c r="N526" s="1351"/>
      <c r="O526" s="1348"/>
      <c r="P526" s="1348"/>
      <c r="Q526" s="1348"/>
      <c r="R526" s="1348"/>
      <c r="S526" s="1348"/>
      <c r="T526" s="1348"/>
      <c r="U526" s="1348"/>
      <c r="V526" s="1348"/>
      <c r="W526" s="1348"/>
      <c r="X526" s="1348"/>
      <c r="Y526" s="1348"/>
      <c r="Z526" s="1348"/>
    </row>
    <row r="527" spans="1:26" x14ac:dyDescent="0.25">
      <c r="A527" s="874"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7" t="s">
        <v>1357</v>
      </c>
      <c r="E527" s="817" t="s">
        <v>1279</v>
      </c>
      <c r="F527" s="1130"/>
      <c r="G527" s="1351"/>
      <c r="H527" s="1351"/>
      <c r="I527" s="1307" t="str">
        <f t="shared" si="51"/>
        <v>Split Case Fee Override Flag</v>
      </c>
      <c r="J527" s="1351" t="str">
        <f t="shared" si="53"/>
        <v>F496</v>
      </c>
      <c r="K527" s="1351" t="str">
        <f t="shared" si="52"/>
        <v>Pricing Schedule</v>
      </c>
      <c r="L527" s="853" t="s">
        <v>1287</v>
      </c>
      <c r="M527" s="1351">
        <v>496</v>
      </c>
      <c r="N527" s="1351"/>
      <c r="O527" s="1348"/>
      <c r="P527" s="1348"/>
      <c r="Q527" s="1348"/>
      <c r="R527" s="1348"/>
      <c r="S527" s="1348"/>
      <c r="T527" s="1348"/>
      <c r="U527" s="1348"/>
      <c r="V527" s="1348"/>
      <c r="W527" s="1348"/>
      <c r="X527" s="1348"/>
      <c r="Y527" s="1348"/>
      <c r="Z527" s="1348"/>
    </row>
    <row r="528" spans="1:26" x14ac:dyDescent="0.25">
      <c r="A528" s="874"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7" t="s">
        <v>1357</v>
      </c>
      <c r="E528" s="817" t="s">
        <v>1279</v>
      </c>
      <c r="F528" s="1130"/>
      <c r="G528" s="1351"/>
      <c r="H528" s="1351"/>
      <c r="I528" s="1307" t="str">
        <f t="shared" si="51"/>
        <v>Split Case Fee</v>
      </c>
      <c r="J528" s="1351" t="str">
        <f t="shared" si="53"/>
        <v>F497</v>
      </c>
      <c r="K528" s="1351" t="str">
        <f t="shared" si="52"/>
        <v>Pricing Schedule</v>
      </c>
      <c r="L528" s="853" t="s">
        <v>1288</v>
      </c>
      <c r="M528" s="1351">
        <v>497</v>
      </c>
      <c r="N528" s="1351"/>
      <c r="O528" s="1348"/>
      <c r="P528" s="1348"/>
      <c r="Q528" s="1348"/>
      <c r="R528" s="1348"/>
      <c r="S528" s="1348"/>
      <c r="T528" s="1348"/>
      <c r="U528" s="1348"/>
      <c r="V528" s="1348"/>
      <c r="W528" s="1348"/>
      <c r="X528" s="1348"/>
      <c r="Y528" s="1348"/>
      <c r="Z528" s="1348"/>
    </row>
    <row r="529" spans="1:26" x14ac:dyDescent="0.25">
      <c r="A529" s="874"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7" t="s">
        <v>1357</v>
      </c>
      <c r="E529" s="817" t="s">
        <v>1279</v>
      </c>
      <c r="F529" s="1130"/>
      <c r="G529" s="1351"/>
      <c r="H529" s="1351"/>
      <c r="I529" s="1307" t="str">
        <f t="shared" si="51"/>
        <v>Split Case Per</v>
      </c>
      <c r="J529" s="1351" t="str">
        <f t="shared" si="53"/>
        <v>F498</v>
      </c>
      <c r="K529" s="1351" t="str">
        <f t="shared" si="52"/>
        <v>Pricing Schedule</v>
      </c>
      <c r="L529" s="853" t="s">
        <v>1228</v>
      </c>
      <c r="M529" s="1351">
        <v>498</v>
      </c>
      <c r="N529" s="1351"/>
      <c r="O529" s="1348"/>
      <c r="P529" s="1348"/>
      <c r="Q529" s="1348"/>
      <c r="R529" s="1348"/>
      <c r="S529" s="1348"/>
      <c r="T529" s="1348"/>
      <c r="U529" s="1348"/>
      <c r="V529" s="1348"/>
      <c r="W529" s="1348"/>
      <c r="X529" s="1348"/>
      <c r="Y529" s="1348"/>
      <c r="Z529" s="134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07" t="str">
        <f t="shared" si="51"/>
        <v>Pricing Termination End Date</v>
      </c>
      <c r="J530" s="1351" t="str">
        <f t="shared" si="53"/>
        <v>F499</v>
      </c>
      <c r="K530" s="1351" t="str">
        <f t="shared" si="52"/>
        <v>Pricing Schedule</v>
      </c>
      <c r="L530" s="853" t="s">
        <v>1275</v>
      </c>
      <c r="M530" s="1351">
        <v>499</v>
      </c>
      <c r="N530" s="1351"/>
      <c r="O530" s="1348"/>
      <c r="P530" s="1348"/>
      <c r="Q530" s="1348"/>
      <c r="R530" s="1348"/>
      <c r="S530" s="1348"/>
      <c r="T530" s="1348"/>
      <c r="U530" s="1348"/>
      <c r="V530" s="1348"/>
      <c r="W530" s="1348"/>
      <c r="X530" s="1348"/>
      <c r="Y530" s="1348"/>
      <c r="Z530" s="134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07" t="str">
        <f t="shared" si="51"/>
        <v>Pricing Termination End Date Flag</v>
      </c>
      <c r="J531" s="1351" t="str">
        <f t="shared" si="53"/>
        <v>F500</v>
      </c>
      <c r="K531" s="1351" t="str">
        <f t="shared" si="52"/>
        <v>Pricing Schedule</v>
      </c>
      <c r="L531" s="853" t="s">
        <v>1276</v>
      </c>
      <c r="M531" s="1351">
        <v>500</v>
      </c>
      <c r="N531" s="1351"/>
      <c r="O531" s="1348"/>
      <c r="P531" s="1348"/>
      <c r="Q531" s="1348"/>
      <c r="R531" s="1348"/>
      <c r="S531" s="1348"/>
      <c r="T531" s="1348"/>
      <c r="U531" s="1348"/>
      <c r="V531" s="1348"/>
      <c r="W531" s="1348"/>
      <c r="X531" s="1348"/>
      <c r="Y531" s="1348"/>
      <c r="Z531" s="1348"/>
    </row>
    <row r="532" spans="1:26" x14ac:dyDescent="0.25">
      <c r="A532" s="852" t="s">
        <v>1270</v>
      </c>
      <c r="B532" s="1307" t="str">
        <f t="shared" ca="1" si="54"/>
        <v>H4</v>
      </c>
      <c r="C532" s="1351" t="str">
        <f t="shared" ca="1" si="55"/>
        <v>H5</v>
      </c>
      <c r="D532" s="817" t="s">
        <v>1350</v>
      </c>
      <c r="E532" s="817" t="s">
        <v>1279</v>
      </c>
      <c r="F532" s="1351"/>
      <c r="G532" s="1351"/>
      <c r="H532" s="1351"/>
      <c r="I532" s="1307" t="str">
        <f t="shared" si="51"/>
        <v>Pricing Override Flag</v>
      </c>
      <c r="J532" s="1351" t="str">
        <f t="shared" si="53"/>
        <v>F501</v>
      </c>
      <c r="K532" s="1351" t="str">
        <f t="shared" si="52"/>
        <v>Pricing Schedule</v>
      </c>
      <c r="L532" s="853" t="s">
        <v>1270</v>
      </c>
      <c r="M532" s="1351">
        <v>501</v>
      </c>
      <c r="N532" s="1351"/>
      <c r="O532" s="1348"/>
      <c r="P532" s="1348"/>
      <c r="Q532" s="1348"/>
      <c r="R532" s="1348"/>
      <c r="S532" s="1348"/>
      <c r="T532" s="1348"/>
      <c r="U532" s="1348"/>
      <c r="V532" s="1348"/>
      <c r="W532" s="1348"/>
      <c r="X532" s="1348"/>
      <c r="Y532" s="1348"/>
      <c r="Z532" s="1348"/>
    </row>
    <row r="533" spans="1:26" x14ac:dyDescent="0.25">
      <c r="A533" s="852" t="s">
        <v>1268</v>
      </c>
      <c r="B533" s="1307" t="str">
        <f t="shared" ca="1" si="54"/>
        <v>F4</v>
      </c>
      <c r="C533" s="1351" t="str">
        <f t="shared" ca="1" si="55"/>
        <v>F5</v>
      </c>
      <c r="D533" s="817" t="s">
        <v>1350</v>
      </c>
      <c r="E533" s="817" t="s">
        <v>1279</v>
      </c>
      <c r="F533" s="1351"/>
      <c r="G533" s="1351"/>
      <c r="H533" s="1351"/>
      <c r="I533" s="1307" t="str">
        <f t="shared" si="51"/>
        <v>EBP Cost Basis</v>
      </c>
      <c r="J533" s="1351" t="str">
        <f t="shared" si="53"/>
        <v>F514</v>
      </c>
      <c r="K533" s="1351" t="str">
        <f t="shared" si="52"/>
        <v>Pricing Schedule</v>
      </c>
      <c r="L533" s="852" t="s">
        <v>1268</v>
      </c>
      <c r="M533" s="1351">
        <v>514</v>
      </c>
      <c r="N533" s="1351"/>
      <c r="O533" s="1348"/>
      <c r="P533" s="1348"/>
      <c r="Q533" s="1348"/>
      <c r="R533" s="1348"/>
      <c r="S533" s="1348"/>
      <c r="T533" s="1348"/>
      <c r="U533" s="1348"/>
      <c r="V533" s="1348"/>
      <c r="W533" s="1348"/>
      <c r="X533" s="1348"/>
      <c r="Y533" s="1348"/>
      <c r="Z533" s="1348"/>
    </row>
    <row r="534" spans="1:26" x14ac:dyDescent="0.25">
      <c r="A534" s="852" t="s">
        <v>1269</v>
      </c>
      <c r="B534" s="1307" t="str">
        <f t="shared" ca="1" si="54"/>
        <v>G4</v>
      </c>
      <c r="C534" s="1351" t="str">
        <f t="shared" ca="1" si="55"/>
        <v>G5</v>
      </c>
      <c r="D534" s="817" t="s">
        <v>1350</v>
      </c>
      <c r="E534" s="817" t="s">
        <v>1279</v>
      </c>
      <c r="F534" s="1351"/>
      <c r="G534" s="1351"/>
      <c r="H534" s="1351"/>
      <c r="I534" s="1307" t="str">
        <f t="shared" si="51"/>
        <v>Eligible EBP Language</v>
      </c>
      <c r="J534" s="1351" t="str">
        <f t="shared" si="53"/>
        <v>F515</v>
      </c>
      <c r="K534" s="1351" t="str">
        <f t="shared" si="52"/>
        <v>Pricing Schedule</v>
      </c>
      <c r="L534" s="852" t="s">
        <v>1460</v>
      </c>
      <c r="M534" s="1351">
        <v>515</v>
      </c>
      <c r="N534" s="1351"/>
      <c r="O534" s="1348"/>
      <c r="P534" s="1348"/>
      <c r="Q534" s="1348"/>
      <c r="R534" s="1348"/>
      <c r="S534" s="1348"/>
      <c r="T534" s="1348"/>
      <c r="U534" s="1348"/>
      <c r="V534" s="1348"/>
      <c r="W534" s="1348"/>
      <c r="X534" s="1348"/>
      <c r="Y534" s="1348"/>
      <c r="Z534" s="1348"/>
    </row>
    <row r="535" spans="1:26" x14ac:dyDescent="0.25">
      <c r="A535" s="852" t="s">
        <v>1271</v>
      </c>
      <c r="B535" s="1307" t="str">
        <f t="shared" ca="1" si="54"/>
        <v>I4</v>
      </c>
      <c r="C535" s="1351" t="str">
        <f t="shared" ca="1" si="55"/>
        <v>I5</v>
      </c>
      <c r="D535" s="817" t="s">
        <v>1350</v>
      </c>
      <c r="E535" s="817" t="s">
        <v>1279</v>
      </c>
      <c r="F535" s="1351"/>
      <c r="G535" s="1351"/>
      <c r="H535" s="1351"/>
      <c r="I535" s="1307" t="str">
        <f t="shared" si="51"/>
        <v>Product Pricing Schedule Included Flag</v>
      </c>
      <c r="J535" s="1351" t="str">
        <f t="shared" si="53"/>
        <v>F517</v>
      </c>
      <c r="K535" s="1351" t="str">
        <f t="shared" si="52"/>
        <v>Pricing Schedule</v>
      </c>
      <c r="L535" s="852" t="s">
        <v>1271</v>
      </c>
      <c r="M535" s="1351">
        <v>517</v>
      </c>
      <c r="N535" s="1351"/>
      <c r="O535" s="1348"/>
      <c r="P535" s="1348"/>
      <c r="Q535" s="1348"/>
      <c r="R535" s="1348"/>
      <c r="S535" s="1348"/>
      <c r="T535" s="1348"/>
      <c r="U535" s="1348"/>
      <c r="V535" s="1348"/>
      <c r="W535" s="1348"/>
      <c r="X535" s="1348"/>
      <c r="Y535" s="1348"/>
      <c r="Z535" s="1348"/>
    </row>
    <row r="536" spans="1:26" x14ac:dyDescent="0.25">
      <c r="A536" s="852" t="s">
        <v>1272</v>
      </c>
      <c r="B536" s="1307" t="str">
        <f t="shared" ca="1" si="54"/>
        <v>J4</v>
      </c>
      <c r="C536" s="1351" t="str">
        <f t="shared" ca="1" si="55"/>
        <v>J5</v>
      </c>
      <c r="D536" s="817" t="s">
        <v>1350</v>
      </c>
      <c r="E536" s="817" t="s">
        <v>1279</v>
      </c>
      <c r="F536" s="1351"/>
      <c r="G536" s="1351"/>
      <c r="H536" s="1351"/>
      <c r="I536" s="1307" t="str">
        <f t="shared" si="51"/>
        <v>Special Pricing Flag</v>
      </c>
      <c r="J536" s="1351" t="str">
        <f t="shared" si="53"/>
        <v>F518</v>
      </c>
      <c r="K536" s="1351" t="str">
        <f t="shared" si="52"/>
        <v>Pricing Schedule</v>
      </c>
      <c r="L536" s="852" t="s">
        <v>1272</v>
      </c>
      <c r="M536" s="1351">
        <v>518</v>
      </c>
      <c r="N536" s="1351"/>
      <c r="O536" s="1348"/>
      <c r="P536" s="1348"/>
      <c r="Q536" s="1348"/>
      <c r="R536" s="1348"/>
      <c r="S536" s="1348"/>
      <c r="T536" s="1348"/>
      <c r="U536" s="1348"/>
      <c r="V536" s="1348"/>
      <c r="W536" s="1348"/>
      <c r="X536" s="1348"/>
      <c r="Y536" s="1348"/>
      <c r="Z536" s="1348"/>
    </row>
    <row r="537" spans="1:26" x14ac:dyDescent="0.25">
      <c r="A537" s="852" t="s">
        <v>1273</v>
      </c>
      <c r="B537" s="1307" t="str">
        <f t="shared" ca="1" si="54"/>
        <v>K4</v>
      </c>
      <c r="C537" s="1351" t="str">
        <f t="shared" ca="1" si="55"/>
        <v>K5</v>
      </c>
      <c r="D537" s="817" t="s">
        <v>1350</v>
      </c>
      <c r="E537" s="817" t="s">
        <v>1279</v>
      </c>
      <c r="F537" s="1351"/>
      <c r="G537" s="1351"/>
      <c r="H537" s="1351"/>
      <c r="I537" s="1307" t="str">
        <f t="shared" si="51"/>
        <v>Altenate Pricing Schedule Flag</v>
      </c>
      <c r="J537" s="1351" t="str">
        <f t="shared" si="53"/>
        <v>F519</v>
      </c>
      <c r="K537" s="1351" t="str">
        <f t="shared" si="52"/>
        <v>Pricing Schedule</v>
      </c>
      <c r="L537" s="852" t="s">
        <v>1462</v>
      </c>
      <c r="M537" s="1351">
        <v>519</v>
      </c>
      <c r="N537" s="1351"/>
      <c r="O537" s="1348"/>
      <c r="P537" s="1348"/>
      <c r="Q537" s="1348"/>
      <c r="R537" s="1348"/>
      <c r="S537" s="1348"/>
      <c r="T537" s="1348"/>
      <c r="U537" s="1348"/>
      <c r="V537" s="1348"/>
      <c r="W537" s="1348"/>
      <c r="X537" s="1348"/>
      <c r="Y537" s="1348"/>
      <c r="Z537" s="1348"/>
    </row>
    <row r="538" spans="1:26" x14ac:dyDescent="0.25">
      <c r="A538" s="852" t="s">
        <v>1274</v>
      </c>
      <c r="B538" s="1307" t="str">
        <f t="shared" ca="1" si="54"/>
        <v>L4</v>
      </c>
      <c r="C538" s="1351" t="str">
        <f t="shared" ca="1" si="55"/>
        <v>L5</v>
      </c>
      <c r="D538" s="817" t="s">
        <v>1350</v>
      </c>
      <c r="E538" s="817" t="s">
        <v>1279</v>
      </c>
      <c r="F538" s="1351"/>
      <c r="G538" s="1351"/>
      <c r="H538" s="1351"/>
      <c r="I538" s="1307" t="str">
        <f t="shared" si="51"/>
        <v>EB Pricing Schedule Flag</v>
      </c>
      <c r="J538" s="1351" t="str">
        <f t="shared" si="53"/>
        <v>F520</v>
      </c>
      <c r="K538" s="1351" t="str">
        <f t="shared" si="52"/>
        <v>Pricing Schedule</v>
      </c>
      <c r="L538" s="852" t="s">
        <v>1274</v>
      </c>
      <c r="M538" s="52">
        <v>520</v>
      </c>
      <c r="N538" s="1351"/>
      <c r="O538" s="1348" t="s">
        <v>725</v>
      </c>
      <c r="P538" s="1348"/>
      <c r="Q538" s="1348"/>
      <c r="R538" s="1348"/>
      <c r="S538" s="1348"/>
      <c r="T538" s="1348"/>
      <c r="U538" s="1348"/>
      <c r="V538" s="1348"/>
      <c r="W538" s="1348"/>
      <c r="X538" s="1348"/>
      <c r="Y538" s="1348"/>
      <c r="Z538" s="134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51" t="s">
        <v>1492</v>
      </c>
      <c r="G539" s="1351" t="str">
        <f>IF(T539&lt;&gt;"","A","")</f>
        <v/>
      </c>
      <c r="H539" s="1351" t="s">
        <v>1991</v>
      </c>
      <c r="I539" s="1307" t="str">
        <f t="shared" si="51"/>
        <v/>
      </c>
      <c r="J539" s="1351"/>
      <c r="K539" s="1351" t="str">
        <f t="shared" si="52"/>
        <v/>
      </c>
      <c r="L539" s="852" t="s">
        <v>1492</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51"/>
      <c r="G540" s="1351"/>
      <c r="H540" s="1351"/>
      <c r="I540" s="1307" t="str">
        <f t="shared" si="51"/>
        <v/>
      </c>
      <c r="J540" s="1351" t="str">
        <f t="shared" ref="J540:J552" si="56">IF(M540&lt;&gt;"",IF($Q$540="Yes",Q$1&amp;M540,""))</f>
        <v/>
      </c>
      <c r="K540" s="1351" t="str">
        <f t="shared" si="52"/>
        <v/>
      </c>
      <c r="L540" s="852" t="s">
        <v>1706</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51" t="s">
        <v>1383</v>
      </c>
      <c r="G541" s="1351" t="str">
        <f>IF(T541&lt;&gt;"","B","")</f>
        <v/>
      </c>
      <c r="H541" s="1351" t="s">
        <v>1991</v>
      </c>
      <c r="I541" s="1307" t="str">
        <f t="shared" si="51"/>
        <v/>
      </c>
      <c r="J541" s="1351"/>
      <c r="K541" s="1351" t="str">
        <f t="shared" si="52"/>
        <v/>
      </c>
      <c r="L541" s="852"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51" t="s">
        <v>1992</v>
      </c>
      <c r="G542" s="1351" t="str">
        <f>IF(T542&lt;&gt;"","E","")</f>
        <v/>
      </c>
      <c r="H542" s="1351" t="s">
        <v>1991</v>
      </c>
      <c r="I542" s="1307" t="str">
        <f t="shared" si="51"/>
        <v/>
      </c>
      <c r="J542" s="1351" t="str">
        <f t="shared" si="56"/>
        <v/>
      </c>
      <c r="K542" s="1351" t="str">
        <f t="shared" si="52"/>
        <v/>
      </c>
      <c r="L542" s="852" t="s">
        <v>1380</v>
      </c>
      <c r="M542" s="1366">
        <v>525</v>
      </c>
      <c r="N542" s="1351"/>
      <c r="O542" s="1348" t="s">
        <v>1633</v>
      </c>
      <c r="P542" s="1348"/>
      <c r="Q542" s="1348"/>
      <c r="R542" s="1351" t="s">
        <v>851</v>
      </c>
      <c r="S542" s="1348"/>
      <c r="T542" s="1351" t="str">
        <f t="shared" ref="T542:T553" si="59">IF(Q$540="Yes",1,"")</f>
        <v/>
      </c>
      <c r="U542" s="1348"/>
      <c r="V542" s="1348"/>
      <c r="W542" s="1348"/>
      <c r="X542" s="1348"/>
      <c r="Y542" s="1348"/>
      <c r="Z542" s="1348"/>
    </row>
    <row r="543" spans="1:26" x14ac:dyDescent="0.25">
      <c r="A543" s="872" t="s">
        <v>1381</v>
      </c>
      <c r="B543" s="852" t="str">
        <f t="shared" ca="1" si="57"/>
        <v>J5</v>
      </c>
      <c r="C543" s="852" t="str">
        <f t="shared" ca="1" si="58"/>
        <v>J6</v>
      </c>
      <c r="D543" s="852" t="s">
        <v>1350</v>
      </c>
      <c r="E543" s="852" t="s">
        <v>1517</v>
      </c>
      <c r="F543" s="1351" t="s">
        <v>1993</v>
      </c>
      <c r="G543" s="1351" t="str">
        <f>IF(T543&lt;&gt;"","I","")</f>
        <v/>
      </c>
      <c r="H543" s="1351" t="s">
        <v>1991</v>
      </c>
      <c r="I543" s="1307" t="str">
        <f t="shared" si="51"/>
        <v/>
      </c>
      <c r="J543" s="1351" t="str">
        <f t="shared" si="56"/>
        <v/>
      </c>
      <c r="K543" s="1351" t="str">
        <f t="shared" si="52"/>
        <v/>
      </c>
      <c r="L543" s="852"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2" t="s">
        <v>1397</v>
      </c>
      <c r="B544" s="852" t="str">
        <f t="shared" ca="1" si="57"/>
        <v>L5</v>
      </c>
      <c r="C544" s="852" t="str">
        <f t="shared" ca="1" si="58"/>
        <v>L6</v>
      </c>
      <c r="D544" s="852" t="s">
        <v>1350</v>
      </c>
      <c r="E544" s="852" t="s">
        <v>1517</v>
      </c>
      <c r="F544" s="1351" t="s">
        <v>1994</v>
      </c>
      <c r="G544" s="1351" t="str">
        <f>IF(T544&lt;&gt;"","H","")</f>
        <v/>
      </c>
      <c r="H544" s="1351" t="s">
        <v>1991</v>
      </c>
      <c r="I544" s="1307" t="str">
        <f t="shared" si="51"/>
        <v/>
      </c>
      <c r="J544" s="1351" t="str">
        <f t="shared" si="56"/>
        <v/>
      </c>
      <c r="K544" s="1351" t="str">
        <f t="shared" si="52"/>
        <v/>
      </c>
      <c r="L544" s="852"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2" t="s">
        <v>1382</v>
      </c>
      <c r="B545" s="852" t="str">
        <f t="shared" ca="1" si="57"/>
        <v>N5</v>
      </c>
      <c r="C545" s="852" t="str">
        <f t="shared" ca="1" si="58"/>
        <v>N6</v>
      </c>
      <c r="D545" s="852" t="s">
        <v>1350</v>
      </c>
      <c r="E545" s="852" t="s">
        <v>1517</v>
      </c>
      <c r="F545" s="1351" t="s">
        <v>1382</v>
      </c>
      <c r="G545" s="1351" t="str">
        <f>IF(T545&lt;&gt;"",IF(Q543="Credit Memo","J",IF(Q543="Check","K","")),"")</f>
        <v/>
      </c>
      <c r="H545" s="1351" t="s">
        <v>1991</v>
      </c>
      <c r="I545" s="1307" t="str">
        <f t="shared" si="51"/>
        <v/>
      </c>
      <c r="J545" s="1351" t="str">
        <f t="shared" si="56"/>
        <v/>
      </c>
      <c r="K545" s="1351" t="str">
        <f t="shared" si="52"/>
        <v/>
      </c>
      <c r="L545" s="852"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2" t="s">
        <v>1487</v>
      </c>
      <c r="B546" s="852" t="str">
        <f t="shared" ca="1" si="57"/>
        <v>P5</v>
      </c>
      <c r="C546" s="852" t="str">
        <f t="shared" ca="1" si="58"/>
        <v>P6</v>
      </c>
      <c r="D546" s="852" t="s">
        <v>1350</v>
      </c>
      <c r="E546" s="852" t="s">
        <v>1517</v>
      </c>
      <c r="F546" s="1351" t="s">
        <v>1995</v>
      </c>
      <c r="G546" s="1351" t="str">
        <f>IF(T546&lt;&gt;"","F","")</f>
        <v/>
      </c>
      <c r="H546" s="1351" t="s">
        <v>1991</v>
      </c>
      <c r="I546" s="1307" t="str">
        <f t="shared" si="51"/>
        <v/>
      </c>
      <c r="J546" s="1351" t="str">
        <f t="shared" si="56"/>
        <v/>
      </c>
      <c r="K546" s="1351" t="str">
        <f t="shared" si="52"/>
        <v/>
      </c>
      <c r="L546" s="852" t="s">
        <v>1487</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2" t="s">
        <v>1488</v>
      </c>
      <c r="B547" s="852" t="str">
        <f t="shared" ca="1" si="57"/>
        <v>R5</v>
      </c>
      <c r="C547" s="852" t="str">
        <f t="shared" ca="1" si="58"/>
        <v>R6</v>
      </c>
      <c r="D547" s="852" t="s">
        <v>1350</v>
      </c>
      <c r="E547" s="852" t="s">
        <v>1517</v>
      </c>
      <c r="F547" s="1351" t="s">
        <v>1996</v>
      </c>
      <c r="G547" s="1351" t="str">
        <f>IF(T547&lt;&gt;"","G","")</f>
        <v/>
      </c>
      <c r="H547" s="1351" t="s">
        <v>1991</v>
      </c>
      <c r="I547" s="1307" t="str">
        <f t="shared" si="51"/>
        <v/>
      </c>
      <c r="J547" s="1351" t="str">
        <f t="shared" si="56"/>
        <v/>
      </c>
      <c r="K547" s="1351" t="str">
        <f t="shared" si="52"/>
        <v/>
      </c>
      <c r="L547" s="852" t="s">
        <v>1488</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2" t="s">
        <v>1489</v>
      </c>
      <c r="B548" s="852" t="str">
        <f t="shared" ca="1" si="57"/>
        <v>T5</v>
      </c>
      <c r="C548" s="852" t="str">
        <f t="shared" ca="1" si="58"/>
        <v>T6</v>
      </c>
      <c r="D548" s="852" t="s">
        <v>1350</v>
      </c>
      <c r="E548" s="852" t="s">
        <v>1517</v>
      </c>
      <c r="F548" s="867" t="s">
        <v>1489</v>
      </c>
      <c r="G548" s="1351" t="str">
        <f>IF(T548&lt;&gt;"","AW","")</f>
        <v/>
      </c>
      <c r="H548" s="1351" t="s">
        <v>1991</v>
      </c>
      <c r="I548" s="1307" t="str">
        <f t="shared" si="51"/>
        <v/>
      </c>
      <c r="J548" s="1351" t="str">
        <f t="shared" si="56"/>
        <v/>
      </c>
      <c r="K548" s="1351" t="str">
        <f t="shared" si="52"/>
        <v/>
      </c>
      <c r="L548" s="852" t="s">
        <v>1489</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51" t="s">
        <v>1385</v>
      </c>
      <c r="G549" s="1351" t="str">
        <f>IF(T549&lt;&gt;"","C","")</f>
        <v/>
      </c>
      <c r="H549" s="1351" t="s">
        <v>1991</v>
      </c>
      <c r="I549" s="1307" t="str">
        <f t="shared" si="51"/>
        <v/>
      </c>
      <c r="J549" s="1351"/>
      <c r="K549" s="1351" t="str">
        <f t="shared" si="52"/>
        <v/>
      </c>
      <c r="L549" s="852"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51" t="s">
        <v>1386</v>
      </c>
      <c r="G550" s="1351" t="str">
        <f>IF(T550&lt;&gt;"","D","")</f>
        <v/>
      </c>
      <c r="H550" s="1351" t="s">
        <v>1991</v>
      </c>
      <c r="I550" s="1307" t="str">
        <f t="shared" si="51"/>
        <v/>
      </c>
      <c r="J550" s="1351"/>
      <c r="K550" s="1351" t="str">
        <f t="shared" si="52"/>
        <v/>
      </c>
      <c r="L550" s="852"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51" t="s">
        <v>1496</v>
      </c>
      <c r="G551" s="1351" t="str">
        <f>IF(T551&lt;&gt;"","AN","")</f>
        <v/>
      </c>
      <c r="H551" s="1351" t="s">
        <v>1991</v>
      </c>
      <c r="I551" s="1307" t="str">
        <f t="shared" si="51"/>
        <v/>
      </c>
      <c r="J551" s="1351" t="str">
        <f t="shared" si="56"/>
        <v/>
      </c>
      <c r="K551" s="1351" t="str">
        <f t="shared" si="52"/>
        <v/>
      </c>
      <c r="L551" s="852" t="s">
        <v>1496</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51" t="s">
        <v>1493</v>
      </c>
      <c r="G552" s="1351" t="str">
        <f>IF(T552&lt;&gt;"","AL","")</f>
        <v/>
      </c>
      <c r="H552" s="1351" t="s">
        <v>1991</v>
      </c>
      <c r="I552" s="1307" t="str">
        <f t="shared" si="51"/>
        <v/>
      </c>
      <c r="J552" s="1351" t="str">
        <f t="shared" si="56"/>
        <v/>
      </c>
      <c r="K552" s="1351" t="str">
        <f t="shared" si="52"/>
        <v/>
      </c>
      <c r="L552" s="852" t="s">
        <v>1493</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51" t="s">
        <v>1913</v>
      </c>
      <c r="G553" s="1351" t="str">
        <f>IF(T553&lt;&gt;"","O","")</f>
        <v/>
      </c>
      <c r="H553" s="1351" t="s">
        <v>1991</v>
      </c>
      <c r="I553" s="1307" t="str">
        <f t="shared" si="51"/>
        <v/>
      </c>
      <c r="J553" s="1351"/>
      <c r="K553" s="1351" t="str">
        <f t="shared" si="52"/>
        <v/>
      </c>
      <c r="L553" s="852"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51" t="s">
        <v>1492</v>
      </c>
      <c r="G554" s="1351" t="str">
        <f>IF(T554&lt;&gt;"","A","")</f>
        <v/>
      </c>
      <c r="H554" s="1351" t="s">
        <v>1991</v>
      </c>
      <c r="I554" s="1307" t="str">
        <f t="shared" si="51"/>
        <v/>
      </c>
      <c r="J554" s="1351"/>
      <c r="K554" s="1351" t="str">
        <f t="shared" si="52"/>
        <v/>
      </c>
      <c r="L554" s="852" t="s">
        <v>1492</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51"/>
      <c r="G555" s="1351"/>
      <c r="H555" s="1351"/>
      <c r="I555" s="1307" t="str">
        <f t="shared" si="51"/>
        <v/>
      </c>
      <c r="J555" s="1351" t="str">
        <f t="shared" ref="J555:J567" si="60">IF(M555&lt;&gt;"",IF($Q$555="Yes",Q$1&amp;M555,""))</f>
        <v/>
      </c>
      <c r="K555" s="1351" t="str">
        <f t="shared" si="52"/>
        <v/>
      </c>
      <c r="L555" s="852" t="s">
        <v>1706</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51" t="s">
        <v>1383</v>
      </c>
      <c r="G556" s="1351" t="str">
        <f>IF(T556&lt;&gt;"","B","")</f>
        <v/>
      </c>
      <c r="H556" s="1351" t="s">
        <v>1991</v>
      </c>
      <c r="I556" s="1307" t="str">
        <f t="shared" si="51"/>
        <v/>
      </c>
      <c r="J556" s="1351"/>
      <c r="K556" s="1351" t="str">
        <f t="shared" si="52"/>
        <v/>
      </c>
      <c r="L556" s="852"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51" t="s">
        <v>1992</v>
      </c>
      <c r="G557" s="1351" t="str">
        <f>IF(T557&lt;&gt;"","E","")</f>
        <v/>
      </c>
      <c r="H557" s="1351" t="s">
        <v>1991</v>
      </c>
      <c r="I557" s="1307" t="str">
        <f t="shared" si="51"/>
        <v/>
      </c>
      <c r="J557" s="1351" t="str">
        <f t="shared" si="60"/>
        <v/>
      </c>
      <c r="K557" s="1351" t="str">
        <f t="shared" si="52"/>
        <v/>
      </c>
      <c r="L557" s="852"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51" t="s">
        <v>1993</v>
      </c>
      <c r="G558" s="1351" t="str">
        <f>IF(T558&lt;&gt;"","I","")</f>
        <v/>
      </c>
      <c r="H558" s="1351" t="s">
        <v>1991</v>
      </c>
      <c r="I558" s="1307" t="str">
        <f t="shared" si="51"/>
        <v/>
      </c>
      <c r="J558" s="1351" t="str">
        <f t="shared" si="60"/>
        <v/>
      </c>
      <c r="K558" s="1351" t="str">
        <f t="shared" si="52"/>
        <v/>
      </c>
      <c r="L558" s="852" t="s">
        <v>1381</v>
      </c>
      <c r="M558" s="1366">
        <v>541</v>
      </c>
      <c r="N558" s="1351"/>
      <c r="O558" s="1348" t="s">
        <v>1634</v>
      </c>
      <c r="P558" s="1348"/>
      <c r="Q558" s="1348"/>
      <c r="R558" s="1351" t="s">
        <v>851</v>
      </c>
      <c r="S558" s="1348"/>
      <c r="T558" s="1351" t="str">
        <f t="shared" si="61"/>
        <v/>
      </c>
      <c r="U558" s="1348"/>
      <c r="V558" s="1348"/>
      <c r="W558" s="1348"/>
      <c r="X558" s="1348"/>
      <c r="Y558" s="1348"/>
      <c r="Z558" s="1348"/>
    </row>
    <row r="559" spans="1:26" x14ac:dyDescent="0.25">
      <c r="A559" s="875" t="s">
        <v>1397</v>
      </c>
      <c r="B559" s="852" t="str">
        <f t="shared" ca="1" si="62"/>
        <v>L19</v>
      </c>
      <c r="C559" s="852" t="str">
        <f t="shared" ca="1" si="63"/>
        <v>L20</v>
      </c>
      <c r="D559" s="852" t="s">
        <v>1350</v>
      </c>
      <c r="E559" s="852" t="s">
        <v>1517</v>
      </c>
      <c r="F559" s="1351" t="s">
        <v>1994</v>
      </c>
      <c r="G559" s="1351" t="str">
        <f>IF(T559&lt;&gt;"","H","")</f>
        <v/>
      </c>
      <c r="H559" s="1351" t="s">
        <v>1991</v>
      </c>
      <c r="I559" s="1307" t="str">
        <f t="shared" si="51"/>
        <v/>
      </c>
      <c r="J559" s="1351" t="str">
        <f t="shared" si="60"/>
        <v/>
      </c>
      <c r="K559" s="1351" t="str">
        <f t="shared" si="52"/>
        <v/>
      </c>
      <c r="L559" s="852"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5" t="s">
        <v>1382</v>
      </c>
      <c r="B560" s="852" t="str">
        <f t="shared" ca="1" si="62"/>
        <v>N19</v>
      </c>
      <c r="C560" s="852" t="str">
        <f t="shared" ca="1" si="63"/>
        <v>N20</v>
      </c>
      <c r="D560" s="852" t="s">
        <v>1350</v>
      </c>
      <c r="E560" s="852" t="s">
        <v>1517</v>
      </c>
      <c r="F560" s="1351" t="s">
        <v>1382</v>
      </c>
      <c r="G560" s="1351" t="str">
        <f>IF(T560&lt;&gt;"",IF(Q558="Credit Memo","J",IF(Q558="Check","K","")),"")</f>
        <v/>
      </c>
      <c r="H560" s="1351" t="s">
        <v>1991</v>
      </c>
      <c r="I560" s="1307" t="str">
        <f t="shared" si="51"/>
        <v/>
      </c>
      <c r="J560" s="1351" t="str">
        <f t="shared" si="60"/>
        <v/>
      </c>
      <c r="K560" s="1351" t="str">
        <f t="shared" si="52"/>
        <v/>
      </c>
      <c r="L560" s="852"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5" t="s">
        <v>1487</v>
      </c>
      <c r="B561" s="852" t="str">
        <f t="shared" ca="1" si="62"/>
        <v>P19</v>
      </c>
      <c r="C561" s="852" t="str">
        <f t="shared" ca="1" si="63"/>
        <v>P20</v>
      </c>
      <c r="D561" s="852" t="s">
        <v>1350</v>
      </c>
      <c r="E561" s="852" t="s">
        <v>1517</v>
      </c>
      <c r="F561" s="1351" t="s">
        <v>1995</v>
      </c>
      <c r="G561" s="1351" t="str">
        <f>IF(T561&lt;&gt;"","F","")</f>
        <v/>
      </c>
      <c r="H561" s="1351" t="s">
        <v>1991</v>
      </c>
      <c r="I561" s="1307" t="str">
        <f t="shared" si="51"/>
        <v/>
      </c>
      <c r="J561" s="1351" t="str">
        <f t="shared" si="60"/>
        <v/>
      </c>
      <c r="K561" s="1351" t="str">
        <f t="shared" si="52"/>
        <v/>
      </c>
      <c r="L561" s="852" t="s">
        <v>1487</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5" t="s">
        <v>1488</v>
      </c>
      <c r="B562" s="852" t="str">
        <f t="shared" ca="1" si="62"/>
        <v>R19</v>
      </c>
      <c r="C562" s="852" t="str">
        <f t="shared" ca="1" si="63"/>
        <v>R20</v>
      </c>
      <c r="D562" s="852" t="s">
        <v>1350</v>
      </c>
      <c r="E562" s="852" t="s">
        <v>1517</v>
      </c>
      <c r="F562" s="1351" t="s">
        <v>1996</v>
      </c>
      <c r="G562" s="1351" t="str">
        <f>IF(T562&lt;&gt;"","G","")</f>
        <v/>
      </c>
      <c r="H562" s="1351" t="s">
        <v>1991</v>
      </c>
      <c r="I562" s="1307" t="str">
        <f t="shared" si="51"/>
        <v/>
      </c>
      <c r="J562" s="1351" t="str">
        <f t="shared" si="60"/>
        <v/>
      </c>
      <c r="K562" s="1351" t="str">
        <f t="shared" si="52"/>
        <v/>
      </c>
      <c r="L562" s="852" t="s">
        <v>1488</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5" t="s">
        <v>1489</v>
      </c>
      <c r="B563" s="852" t="str">
        <f t="shared" ca="1" si="62"/>
        <v>T19</v>
      </c>
      <c r="C563" s="852" t="str">
        <f t="shared" ca="1" si="63"/>
        <v>T20</v>
      </c>
      <c r="D563" s="852" t="s">
        <v>1350</v>
      </c>
      <c r="E563" s="852" t="s">
        <v>1517</v>
      </c>
      <c r="F563" s="867" t="s">
        <v>1489</v>
      </c>
      <c r="G563" s="1351" t="str">
        <f>IF(T563&lt;&gt;"","AW","")</f>
        <v/>
      </c>
      <c r="H563" s="1351" t="s">
        <v>1991</v>
      </c>
      <c r="I563" s="1307" t="str">
        <f t="shared" si="51"/>
        <v/>
      </c>
      <c r="J563" s="1351" t="str">
        <f t="shared" si="60"/>
        <v/>
      </c>
      <c r="K563" s="1351" t="str">
        <f t="shared" si="52"/>
        <v/>
      </c>
      <c r="L563" s="852" t="s">
        <v>1489</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51" t="s">
        <v>1385</v>
      </c>
      <c r="G564" s="1351" t="str">
        <f>IF(T564&lt;&gt;"","C","")</f>
        <v/>
      </c>
      <c r="H564" s="1351" t="s">
        <v>1991</v>
      </c>
      <c r="I564" s="1307" t="str">
        <f t="shared" si="51"/>
        <v/>
      </c>
      <c r="J564" s="1351"/>
      <c r="K564" s="1351" t="str">
        <f t="shared" si="52"/>
        <v/>
      </c>
      <c r="L564" s="852"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51" t="s">
        <v>1386</v>
      </c>
      <c r="G565" s="1351" t="str">
        <f>IF(T565&lt;&gt;"","D","")</f>
        <v/>
      </c>
      <c r="H565" s="1351" t="s">
        <v>1991</v>
      </c>
      <c r="I565" s="1307" t="str">
        <f t="shared" si="51"/>
        <v/>
      </c>
      <c r="J565" s="1351"/>
      <c r="K565" s="1351" t="str">
        <f t="shared" si="52"/>
        <v/>
      </c>
      <c r="L565" s="852"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51" t="s">
        <v>1496</v>
      </c>
      <c r="G566" s="1351" t="str">
        <f>IF(T566&lt;&gt;"","AN","")</f>
        <v/>
      </c>
      <c r="H566" s="1351" t="s">
        <v>1991</v>
      </c>
      <c r="I566" s="1307" t="str">
        <f t="shared" si="51"/>
        <v/>
      </c>
      <c r="J566" s="1351" t="str">
        <f t="shared" si="60"/>
        <v/>
      </c>
      <c r="K566" s="1351" t="str">
        <f t="shared" si="52"/>
        <v/>
      </c>
      <c r="L566" s="852" t="s">
        <v>1496</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51" t="s">
        <v>1493</v>
      </c>
      <c r="G567" s="1351" t="str">
        <f>IF(T567&lt;&gt;"","AL","")</f>
        <v/>
      </c>
      <c r="H567" s="1351" t="s">
        <v>1991</v>
      </c>
      <c r="I567" s="1307" t="str">
        <f t="shared" si="51"/>
        <v/>
      </c>
      <c r="J567" s="1351" t="str">
        <f t="shared" si="60"/>
        <v/>
      </c>
      <c r="K567" s="1351" t="str">
        <f t="shared" si="52"/>
        <v/>
      </c>
      <c r="L567" s="852" t="s">
        <v>1493</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51" t="s">
        <v>1913</v>
      </c>
      <c r="G568" s="1351" t="str">
        <f>IF(T568&lt;&gt;"","O","")</f>
        <v/>
      </c>
      <c r="H568" s="1351" t="s">
        <v>1991</v>
      </c>
      <c r="I568" s="1307" t="str">
        <f t="shared" si="51"/>
        <v/>
      </c>
      <c r="J568" s="1351"/>
      <c r="K568" s="1351" t="str">
        <f t="shared" si="52"/>
        <v/>
      </c>
      <c r="L568" s="852"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51" t="s">
        <v>1492</v>
      </c>
      <c r="G569" s="1351" t="str">
        <f>IF(T569&lt;&gt;"","A","")</f>
        <v/>
      </c>
      <c r="H569" s="1351" t="s">
        <v>1991</v>
      </c>
      <c r="I569" s="1307" t="str">
        <f t="shared" si="51"/>
        <v/>
      </c>
      <c r="J569" s="1351"/>
      <c r="K569" s="1351" t="str">
        <f t="shared" si="52"/>
        <v/>
      </c>
      <c r="L569" s="852" t="s">
        <v>1492</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51"/>
      <c r="G570" s="1351"/>
      <c r="H570" s="1351"/>
      <c r="I570" s="1307" t="str">
        <f t="shared" si="51"/>
        <v/>
      </c>
      <c r="J570" s="1351" t="str">
        <f t="shared" ref="J570:J587" si="65">IF(M570&lt;&gt;"",IF($Q$570="Yes",Q$1&amp;M570,""))</f>
        <v/>
      </c>
      <c r="K570" s="1351" t="str">
        <f t="shared" si="52"/>
        <v/>
      </c>
      <c r="L570" s="852" t="s">
        <v>1706</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51" t="s">
        <v>1383</v>
      </c>
      <c r="G571" s="1351" t="str">
        <f>IF(T571&lt;&gt;"","B","")</f>
        <v/>
      </c>
      <c r="H571" s="1351" t="s">
        <v>1991</v>
      </c>
      <c r="I571" s="1307" t="str">
        <f t="shared" si="51"/>
        <v/>
      </c>
      <c r="J571" s="1351"/>
      <c r="K571" s="1351" t="str">
        <f t="shared" si="52"/>
        <v/>
      </c>
      <c r="L571" s="852"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51" t="s">
        <v>1992</v>
      </c>
      <c r="G572" s="1351" t="str">
        <f>IF(T572&lt;&gt;"","E","")</f>
        <v/>
      </c>
      <c r="H572" s="1351" t="s">
        <v>1991</v>
      </c>
      <c r="I572" s="1307" t="str">
        <f t="shared" si="51"/>
        <v/>
      </c>
      <c r="J572" s="1351" t="str">
        <f t="shared" si="65"/>
        <v/>
      </c>
      <c r="K572" s="1351" t="str">
        <f t="shared" si="52"/>
        <v/>
      </c>
      <c r="L572" s="852"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51" t="s">
        <v>1993</v>
      </c>
      <c r="G573" s="1351" t="str">
        <f>IF(T573&lt;&gt;"","I","")</f>
        <v/>
      </c>
      <c r="H573" s="1351" t="s">
        <v>1991</v>
      </c>
      <c r="I573" s="1307" t="str">
        <f t="shared" si="51"/>
        <v/>
      </c>
      <c r="J573" s="1351" t="str">
        <f t="shared" si="65"/>
        <v/>
      </c>
      <c r="K573" s="1351" t="str">
        <f t="shared" si="52"/>
        <v/>
      </c>
      <c r="L573" s="852" t="s">
        <v>1381</v>
      </c>
      <c r="M573" s="1366">
        <v>556</v>
      </c>
      <c r="N573" s="1351"/>
      <c r="O573" s="1132" t="s">
        <v>1635</v>
      </c>
      <c r="P573" s="1348"/>
      <c r="Q573" s="1348" t="s">
        <v>482</v>
      </c>
      <c r="R573" s="1351" t="s">
        <v>851</v>
      </c>
      <c r="S573" s="1348"/>
      <c r="T573" s="1351" t="str">
        <f t="shared" si="64"/>
        <v/>
      </c>
      <c r="U573" s="1348"/>
      <c r="V573" s="1348"/>
      <c r="W573" s="1348"/>
      <c r="X573" s="1348"/>
      <c r="Y573" s="1348"/>
      <c r="Z573" s="1348"/>
    </row>
    <row r="574" spans="1:26" x14ac:dyDescent="0.25">
      <c r="A574" s="872" t="s">
        <v>1397</v>
      </c>
      <c r="B574" s="852" t="str">
        <f t="shared" ca="1" si="66"/>
        <v>L33</v>
      </c>
      <c r="C574" s="852" t="str">
        <f t="shared" ca="1" si="67"/>
        <v>L34</v>
      </c>
      <c r="D574" s="852" t="s">
        <v>1350</v>
      </c>
      <c r="E574" s="852" t="s">
        <v>1517</v>
      </c>
      <c r="F574" s="1351" t="s">
        <v>1994</v>
      </c>
      <c r="G574" s="1351" t="str">
        <f>IF(T574&lt;&gt;"","H","")</f>
        <v/>
      </c>
      <c r="H574" s="1351" t="s">
        <v>1991</v>
      </c>
      <c r="I574" s="1307" t="str">
        <f t="shared" si="51"/>
        <v/>
      </c>
      <c r="J574" s="1351" t="str">
        <f t="shared" si="65"/>
        <v/>
      </c>
      <c r="K574" s="1351" t="str">
        <f t="shared" si="52"/>
        <v/>
      </c>
      <c r="L574" s="852"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2" t="s">
        <v>1382</v>
      </c>
      <c r="B575" s="852" t="str">
        <f t="shared" ca="1" si="66"/>
        <v>N33</v>
      </c>
      <c r="C575" s="852" t="str">
        <f t="shared" ca="1" si="67"/>
        <v>N34</v>
      </c>
      <c r="D575" s="852" t="s">
        <v>1350</v>
      </c>
      <c r="E575" s="852" t="s">
        <v>1517</v>
      </c>
      <c r="F575" s="1351" t="s">
        <v>1382</v>
      </c>
      <c r="G575" s="1351" t="str">
        <f>IF(T575&lt;&gt;"",IF(Q573="Credit Memo","J",IF(Q573="Check","K","")),"")</f>
        <v/>
      </c>
      <c r="H575" s="1351" t="s">
        <v>1991</v>
      </c>
      <c r="I575" s="1307" t="str">
        <f t="shared" si="51"/>
        <v/>
      </c>
      <c r="J575" s="1351" t="str">
        <f t="shared" si="65"/>
        <v/>
      </c>
      <c r="K575" s="1351" t="str">
        <f t="shared" si="52"/>
        <v/>
      </c>
      <c r="L575" s="852"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2" t="s">
        <v>1487</v>
      </c>
      <c r="B576" s="852" t="str">
        <f t="shared" ca="1" si="66"/>
        <v>P33</v>
      </c>
      <c r="C576" s="852" t="str">
        <f t="shared" ca="1" si="67"/>
        <v>P34</v>
      </c>
      <c r="D576" s="852" t="s">
        <v>1350</v>
      </c>
      <c r="E576" s="852" t="s">
        <v>1517</v>
      </c>
      <c r="F576" s="1351" t="s">
        <v>1995</v>
      </c>
      <c r="G576" s="1351" t="str">
        <f>IF(T576&lt;&gt;"","F","")</f>
        <v/>
      </c>
      <c r="H576" s="1351" t="s">
        <v>1991</v>
      </c>
      <c r="I576" s="1307" t="str">
        <f t="shared" si="51"/>
        <v/>
      </c>
      <c r="J576" s="1351" t="str">
        <f t="shared" si="65"/>
        <v/>
      </c>
      <c r="K576" s="1351" t="str">
        <f t="shared" si="52"/>
        <v/>
      </c>
      <c r="L576" s="852" t="s">
        <v>1487</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2" t="s">
        <v>1488</v>
      </c>
      <c r="B577" s="852" t="str">
        <f t="shared" ca="1" si="66"/>
        <v>R33</v>
      </c>
      <c r="C577" s="852" t="str">
        <f t="shared" ca="1" si="67"/>
        <v>R34</v>
      </c>
      <c r="D577" s="852" t="s">
        <v>1350</v>
      </c>
      <c r="E577" s="852" t="s">
        <v>1517</v>
      </c>
      <c r="F577" s="1351" t="s">
        <v>1996</v>
      </c>
      <c r="G577" s="1351" t="str">
        <f>IF(T577&lt;&gt;"","G","")</f>
        <v/>
      </c>
      <c r="H577" s="1351" t="s">
        <v>1991</v>
      </c>
      <c r="I577" s="1307" t="str">
        <f t="shared" si="51"/>
        <v/>
      </c>
      <c r="J577" s="1351" t="str">
        <f t="shared" si="65"/>
        <v/>
      </c>
      <c r="K577" s="1351" t="str">
        <f t="shared" si="52"/>
        <v/>
      </c>
      <c r="L577" s="852" t="s">
        <v>1488</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2" t="s">
        <v>1489</v>
      </c>
      <c r="B578" s="852" t="str">
        <f t="shared" ca="1" si="66"/>
        <v>T33</v>
      </c>
      <c r="C578" s="852" t="str">
        <f t="shared" ca="1" si="67"/>
        <v>T34</v>
      </c>
      <c r="D578" s="852" t="s">
        <v>1350</v>
      </c>
      <c r="E578" s="852" t="s">
        <v>1517</v>
      </c>
      <c r="F578" s="867" t="s">
        <v>1489</v>
      </c>
      <c r="G578" s="1351" t="str">
        <f>IF(T578&lt;&gt;"","AW","")</f>
        <v/>
      </c>
      <c r="H578" s="1351" t="s">
        <v>1991</v>
      </c>
      <c r="I578" s="1307" t="str">
        <f t="shared" si="51"/>
        <v/>
      </c>
      <c r="J578" s="1351" t="str">
        <f t="shared" si="65"/>
        <v/>
      </c>
      <c r="K578" s="1351" t="str">
        <f t="shared" si="52"/>
        <v/>
      </c>
      <c r="L578" s="852" t="s">
        <v>1489</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51" t="s">
        <v>1385</v>
      </c>
      <c r="G579" s="1351" t="str">
        <f>IF(T579&lt;&gt;"","C","")</f>
        <v/>
      </c>
      <c r="H579" s="1351" t="s">
        <v>1991</v>
      </c>
      <c r="I579" s="1307" t="str">
        <f t="shared" si="51"/>
        <v/>
      </c>
      <c r="J579" s="1351"/>
      <c r="K579" s="1351" t="str">
        <f t="shared" si="52"/>
        <v/>
      </c>
      <c r="L579" s="852"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51" t="s">
        <v>1386</v>
      </c>
      <c r="G580" s="1351" t="str">
        <f>IF(T580&lt;&gt;"","D","")</f>
        <v/>
      </c>
      <c r="H580" s="1351" t="s">
        <v>1991</v>
      </c>
      <c r="I580" s="1307" t="str">
        <f t="shared" ref="I580:I643" si="68">IF(J580&lt;&gt;"",A580,"")</f>
        <v/>
      </c>
      <c r="J580" s="1351"/>
      <c r="K580" s="1351" t="str">
        <f t="shared" ref="K580:K643" si="69">IF(J580&lt;&gt;"",E580,"")</f>
        <v/>
      </c>
      <c r="L580" s="852"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51" t="s">
        <v>1496</v>
      </c>
      <c r="G581" s="1351" t="str">
        <f>IF(T581&lt;&gt;"","AN","")</f>
        <v/>
      </c>
      <c r="H581" s="1351" t="s">
        <v>1991</v>
      </c>
      <c r="I581" s="1307" t="str">
        <f t="shared" si="68"/>
        <v/>
      </c>
      <c r="J581" s="1351" t="str">
        <f t="shared" si="65"/>
        <v/>
      </c>
      <c r="K581" s="1351" t="str">
        <f t="shared" si="69"/>
        <v/>
      </c>
      <c r="L581" s="852" t="s">
        <v>1496</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2" t="s">
        <v>1493</v>
      </c>
      <c r="B582" s="852" t="s">
        <v>1778</v>
      </c>
      <c r="C582" s="852" t="s">
        <v>1779</v>
      </c>
      <c r="D582" s="852" t="s">
        <v>1350</v>
      </c>
      <c r="E582" s="852" t="s">
        <v>1517</v>
      </c>
      <c r="F582" s="1351" t="s">
        <v>1493</v>
      </c>
      <c r="G582" s="1351" t="str">
        <f>IF(T582&lt;&gt;"","AL","")</f>
        <v/>
      </c>
      <c r="H582" s="1351" t="s">
        <v>1991</v>
      </c>
      <c r="I582" s="1307" t="str">
        <f t="shared" si="68"/>
        <v/>
      </c>
      <c r="J582" s="1351" t="str">
        <f t="shared" si="65"/>
        <v/>
      </c>
      <c r="K582" s="1351" t="str">
        <f t="shared" si="69"/>
        <v/>
      </c>
      <c r="L582" s="852" t="s">
        <v>1493</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2" t="s">
        <v>1507</v>
      </c>
      <c r="B583" s="852" t="s">
        <v>1780</v>
      </c>
      <c r="C583" s="852" t="s">
        <v>1781</v>
      </c>
      <c r="D583" s="852" t="s">
        <v>1350</v>
      </c>
      <c r="E583" s="852" t="s">
        <v>1517</v>
      </c>
      <c r="F583" s="1351" t="s">
        <v>1997</v>
      </c>
      <c r="G583" s="1351" t="str">
        <f>IF(T583&lt;&gt;"","L","")</f>
        <v/>
      </c>
      <c r="H583" s="1351" t="s">
        <v>1991</v>
      </c>
      <c r="I583" s="1307" t="str">
        <f t="shared" si="68"/>
        <v/>
      </c>
      <c r="J583" s="1351" t="str">
        <f t="shared" si="65"/>
        <v/>
      </c>
      <c r="K583" s="1351" t="str">
        <f t="shared" si="69"/>
        <v/>
      </c>
      <c r="L583" s="852" t="s">
        <v>1507</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51" t="str">
        <f>IF(T584&lt;&gt;"","AH","")</f>
        <v/>
      </c>
      <c r="H584" s="1351" t="s">
        <v>1991</v>
      </c>
      <c r="I584" s="1307" t="str">
        <f t="shared" si="68"/>
        <v/>
      </c>
      <c r="J584" s="1351" t="str">
        <f t="shared" si="65"/>
        <v/>
      </c>
      <c r="K584" s="1351" t="str">
        <f t="shared" si="69"/>
        <v/>
      </c>
      <c r="L584" s="852"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51"/>
      <c r="H585" s="1351"/>
      <c r="I585" s="1307" t="str">
        <f t="shared" si="68"/>
        <v/>
      </c>
      <c r="J585" s="1351"/>
      <c r="K585" s="1351" t="str">
        <f t="shared" si="69"/>
        <v/>
      </c>
      <c r="L585" s="852"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51" t="s">
        <v>1913</v>
      </c>
      <c r="G586" s="1351" t="str">
        <f>IF(T586&lt;&gt;"","AI","")</f>
        <v/>
      </c>
      <c r="H586" s="1351" t="s">
        <v>1991</v>
      </c>
      <c r="I586" s="1307" t="str">
        <f t="shared" si="68"/>
        <v/>
      </c>
      <c r="J586" s="1351"/>
      <c r="K586" s="1351" t="str">
        <f t="shared" si="69"/>
        <v/>
      </c>
      <c r="L586" s="854"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51" t="s">
        <v>1509</v>
      </c>
      <c r="G587" s="1351" t="str">
        <f>IF(T587&lt;&gt;"","P","")</f>
        <v/>
      </c>
      <c r="H587" s="1351" t="s">
        <v>1991</v>
      </c>
      <c r="I587" s="1307" t="str">
        <f t="shared" si="68"/>
        <v/>
      </c>
      <c r="J587" s="1351" t="str">
        <f t="shared" si="65"/>
        <v/>
      </c>
      <c r="K587" s="1351" t="str">
        <f t="shared" si="69"/>
        <v/>
      </c>
      <c r="L587" s="852" t="s">
        <v>1509</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51" t="s">
        <v>1492</v>
      </c>
      <c r="G588" s="1351" t="str">
        <f>IF(T588&lt;&gt;"","A","")</f>
        <v/>
      </c>
      <c r="H588" s="1351" t="s">
        <v>1991</v>
      </c>
      <c r="I588" s="1307" t="str">
        <f t="shared" si="68"/>
        <v/>
      </c>
      <c r="J588" s="1351"/>
      <c r="K588" s="1351" t="str">
        <f t="shared" si="69"/>
        <v/>
      </c>
      <c r="L588" s="852" t="s">
        <v>1492</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51"/>
      <c r="G589" s="1351"/>
      <c r="H589" s="1351"/>
      <c r="I589" s="1307" t="str">
        <f t="shared" si="68"/>
        <v/>
      </c>
      <c r="J589" s="1351" t="str">
        <f t="shared" ref="J589:J606" si="71">IF(M589&lt;&gt;"",IF($Q$589="Yes",Q$1&amp;M589,""))</f>
        <v/>
      </c>
      <c r="K589" s="1351" t="str">
        <f t="shared" si="69"/>
        <v/>
      </c>
      <c r="L589" s="852" t="s">
        <v>1706</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51" t="s">
        <v>1383</v>
      </c>
      <c r="G590" s="1351" t="str">
        <f>IF(T590&lt;&gt;"","B","")</f>
        <v/>
      </c>
      <c r="H590" s="1351" t="s">
        <v>1991</v>
      </c>
      <c r="I590" s="1307" t="str">
        <f t="shared" si="68"/>
        <v/>
      </c>
      <c r="J590" s="1351"/>
      <c r="K590" s="1351" t="str">
        <f t="shared" si="69"/>
        <v/>
      </c>
      <c r="L590" s="852"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51" t="s">
        <v>1992</v>
      </c>
      <c r="G591" s="1351" t="str">
        <f>IF(T591&lt;&gt;"","E","")</f>
        <v/>
      </c>
      <c r="H591" s="1351" t="s">
        <v>1991</v>
      </c>
      <c r="I591" s="1307" t="str">
        <f t="shared" si="68"/>
        <v/>
      </c>
      <c r="J591" s="1351" t="str">
        <f t="shared" si="71"/>
        <v/>
      </c>
      <c r="K591" s="1351" t="str">
        <f t="shared" si="69"/>
        <v/>
      </c>
      <c r="L591" s="852"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51" t="s">
        <v>1993</v>
      </c>
      <c r="G592" s="1351" t="str">
        <f>IF(T592&lt;&gt;"","I","")</f>
        <v/>
      </c>
      <c r="H592" s="1351" t="s">
        <v>1991</v>
      </c>
      <c r="I592" s="1307" t="str">
        <f t="shared" si="68"/>
        <v/>
      </c>
      <c r="J592" s="1351" t="str">
        <f t="shared" si="71"/>
        <v/>
      </c>
      <c r="K592" s="1351" t="str">
        <f t="shared" si="69"/>
        <v/>
      </c>
      <c r="L592" s="852" t="s">
        <v>1381</v>
      </c>
      <c r="M592" s="1366">
        <v>575</v>
      </c>
      <c r="N592" s="1351"/>
      <c r="O592" s="1132" t="s">
        <v>1636</v>
      </c>
      <c r="P592" s="1348"/>
      <c r="Q592" s="1348"/>
      <c r="R592" s="1351" t="s">
        <v>851</v>
      </c>
      <c r="S592" s="1348"/>
      <c r="T592" s="1351" t="str">
        <f t="shared" si="70"/>
        <v/>
      </c>
      <c r="U592" s="1348"/>
      <c r="V592" s="1348"/>
      <c r="W592" s="1348"/>
      <c r="X592" s="1348"/>
      <c r="Y592" s="1348"/>
      <c r="Z592" s="1348"/>
    </row>
    <row r="593" spans="1:26" x14ac:dyDescent="0.25">
      <c r="A593" s="875" t="s">
        <v>1397</v>
      </c>
      <c r="B593" s="852" t="str">
        <f t="shared" ca="1" si="72"/>
        <v>L47</v>
      </c>
      <c r="C593" s="852" t="str">
        <f t="shared" ca="1" si="73"/>
        <v>L48</v>
      </c>
      <c r="D593" s="852" t="s">
        <v>1350</v>
      </c>
      <c r="E593" s="852" t="s">
        <v>1517</v>
      </c>
      <c r="F593" s="1351" t="s">
        <v>1994</v>
      </c>
      <c r="G593" s="1351" t="str">
        <f>IF(T593&lt;&gt;"","H","")</f>
        <v/>
      </c>
      <c r="H593" s="1351" t="s">
        <v>1991</v>
      </c>
      <c r="I593" s="1307" t="str">
        <f t="shared" si="68"/>
        <v/>
      </c>
      <c r="J593" s="1351" t="str">
        <f t="shared" si="71"/>
        <v/>
      </c>
      <c r="K593" s="1351" t="str">
        <f t="shared" si="69"/>
        <v/>
      </c>
      <c r="L593" s="852"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5" t="s">
        <v>1382</v>
      </c>
      <c r="B594" s="852" t="str">
        <f t="shared" ca="1" si="72"/>
        <v>N47</v>
      </c>
      <c r="C594" s="852" t="str">
        <f t="shared" ca="1" si="73"/>
        <v>N48</v>
      </c>
      <c r="D594" s="852" t="s">
        <v>1350</v>
      </c>
      <c r="E594" s="852" t="s">
        <v>1517</v>
      </c>
      <c r="F594" s="1351" t="s">
        <v>1382</v>
      </c>
      <c r="G594" s="1351" t="str">
        <f>IF(T594&lt;&gt;"",IF(Q592="Credit Memo","J",IF(Q592="Check","K","")),"")</f>
        <v/>
      </c>
      <c r="H594" s="1351" t="s">
        <v>1991</v>
      </c>
      <c r="I594" s="1307" t="str">
        <f t="shared" si="68"/>
        <v/>
      </c>
      <c r="J594" s="1351" t="str">
        <f t="shared" si="71"/>
        <v/>
      </c>
      <c r="K594" s="1351" t="str">
        <f t="shared" si="69"/>
        <v/>
      </c>
      <c r="L594" s="852"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5" t="s">
        <v>1487</v>
      </c>
      <c r="B595" s="852" t="str">
        <f t="shared" ca="1" si="72"/>
        <v>P47</v>
      </c>
      <c r="C595" s="852" t="str">
        <f t="shared" ca="1" si="73"/>
        <v>P48</v>
      </c>
      <c r="D595" s="852" t="s">
        <v>1350</v>
      </c>
      <c r="E595" s="852" t="s">
        <v>1517</v>
      </c>
      <c r="F595" s="1351" t="s">
        <v>1995</v>
      </c>
      <c r="G595" s="1351" t="str">
        <f>IF(T595&lt;&gt;"","F","")</f>
        <v/>
      </c>
      <c r="H595" s="1351" t="s">
        <v>1991</v>
      </c>
      <c r="I595" s="1307" t="str">
        <f t="shared" si="68"/>
        <v/>
      </c>
      <c r="J595" s="1351" t="str">
        <f t="shared" si="71"/>
        <v/>
      </c>
      <c r="K595" s="1351" t="str">
        <f t="shared" si="69"/>
        <v/>
      </c>
      <c r="L595" s="852" t="s">
        <v>1487</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5" t="s">
        <v>1488</v>
      </c>
      <c r="B596" s="852" t="str">
        <f t="shared" ca="1" si="72"/>
        <v>R47</v>
      </c>
      <c r="C596" s="852" t="str">
        <f t="shared" ca="1" si="73"/>
        <v>R48</v>
      </c>
      <c r="D596" s="852" t="s">
        <v>1350</v>
      </c>
      <c r="E596" s="852" t="s">
        <v>1517</v>
      </c>
      <c r="F596" s="1351" t="s">
        <v>1996</v>
      </c>
      <c r="G596" s="1351" t="str">
        <f>IF(T596&lt;&gt;"","G","")</f>
        <v/>
      </c>
      <c r="H596" s="1351" t="s">
        <v>1991</v>
      </c>
      <c r="I596" s="1307" t="str">
        <f t="shared" si="68"/>
        <v/>
      </c>
      <c r="J596" s="1351" t="str">
        <f t="shared" si="71"/>
        <v/>
      </c>
      <c r="K596" s="1351" t="str">
        <f t="shared" si="69"/>
        <v/>
      </c>
      <c r="L596" s="852" t="s">
        <v>1488</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5" t="s">
        <v>1489</v>
      </c>
      <c r="B597" s="852" t="str">
        <f t="shared" ca="1" si="72"/>
        <v>T47</v>
      </c>
      <c r="C597" s="852" t="str">
        <f t="shared" ca="1" si="73"/>
        <v>T48</v>
      </c>
      <c r="D597" s="852" t="s">
        <v>1350</v>
      </c>
      <c r="E597" s="852" t="s">
        <v>1517</v>
      </c>
      <c r="F597" s="867" t="s">
        <v>1489</v>
      </c>
      <c r="G597" s="1351" t="str">
        <f>IF(T597&lt;&gt;"","AW","")</f>
        <v/>
      </c>
      <c r="H597" s="1351" t="s">
        <v>1991</v>
      </c>
      <c r="I597" s="1307" t="str">
        <f t="shared" si="68"/>
        <v/>
      </c>
      <c r="J597" s="1351" t="str">
        <f t="shared" si="71"/>
        <v/>
      </c>
      <c r="K597" s="1351" t="str">
        <f t="shared" si="69"/>
        <v/>
      </c>
      <c r="L597" s="852" t="s">
        <v>1489</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51" t="s">
        <v>1385</v>
      </c>
      <c r="G598" s="1351" t="str">
        <f>IF(T598&lt;&gt;"","C","")</f>
        <v/>
      </c>
      <c r="H598" s="1351" t="s">
        <v>1991</v>
      </c>
      <c r="I598" s="1307" t="str">
        <f t="shared" si="68"/>
        <v/>
      </c>
      <c r="J598" s="1351"/>
      <c r="K598" s="1351" t="str">
        <f t="shared" si="69"/>
        <v/>
      </c>
      <c r="L598" s="852"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51" t="s">
        <v>1386</v>
      </c>
      <c r="G599" s="1351" t="str">
        <f>IF(T599&lt;&gt;"","D","")</f>
        <v/>
      </c>
      <c r="H599" s="1351" t="s">
        <v>1991</v>
      </c>
      <c r="I599" s="1307" t="str">
        <f t="shared" si="68"/>
        <v/>
      </c>
      <c r="J599" s="1351"/>
      <c r="K599" s="1351" t="str">
        <f t="shared" si="69"/>
        <v/>
      </c>
      <c r="L599" s="852"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51" t="s">
        <v>1496</v>
      </c>
      <c r="G600" s="1351" t="str">
        <f>IF(T600&lt;&gt;"","AN","")</f>
        <v/>
      </c>
      <c r="H600" s="1351" t="s">
        <v>1991</v>
      </c>
      <c r="I600" s="1307" t="str">
        <f t="shared" si="68"/>
        <v/>
      </c>
      <c r="J600" s="1351" t="str">
        <f t="shared" si="71"/>
        <v/>
      </c>
      <c r="K600" s="1351" t="str">
        <f t="shared" si="69"/>
        <v/>
      </c>
      <c r="L600" s="852" t="s">
        <v>1496</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51" t="s">
        <v>1493</v>
      </c>
      <c r="G601" s="1351" t="str">
        <f>IF(T601&lt;&gt;"","AL","")</f>
        <v/>
      </c>
      <c r="H601" s="1351" t="s">
        <v>1991</v>
      </c>
      <c r="I601" s="1307" t="str">
        <f t="shared" si="68"/>
        <v/>
      </c>
      <c r="J601" s="1351" t="str">
        <f t="shared" si="71"/>
        <v/>
      </c>
      <c r="K601" s="1351" t="str">
        <f t="shared" si="69"/>
        <v/>
      </c>
      <c r="L601" s="852" t="s">
        <v>1493</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51" t="s">
        <v>1997</v>
      </c>
      <c r="G602" s="1351" t="str">
        <f>IF(T602&lt;&gt;"","L","")</f>
        <v/>
      </c>
      <c r="H602" s="1351" t="s">
        <v>1991</v>
      </c>
      <c r="I602" s="1307" t="str">
        <f t="shared" si="68"/>
        <v/>
      </c>
      <c r="J602" s="1351" t="str">
        <f t="shared" si="71"/>
        <v/>
      </c>
      <c r="K602" s="1351" t="str">
        <f t="shared" si="69"/>
        <v/>
      </c>
      <c r="L602" s="852" t="s">
        <v>1507</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51" t="str">
        <f>IF(T603&lt;&gt;"","AH","")</f>
        <v/>
      </c>
      <c r="H603" s="1351" t="s">
        <v>1991</v>
      </c>
      <c r="I603" s="1307" t="str">
        <f t="shared" si="68"/>
        <v/>
      </c>
      <c r="J603" s="1351" t="str">
        <f t="shared" si="71"/>
        <v/>
      </c>
      <c r="K603" s="1351" t="str">
        <f t="shared" si="69"/>
        <v/>
      </c>
      <c r="L603" s="852"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51"/>
      <c r="H604" s="1351"/>
      <c r="I604" s="1307" t="str">
        <f t="shared" si="68"/>
        <v/>
      </c>
      <c r="J604" s="1351"/>
      <c r="K604" s="1351" t="str">
        <f t="shared" si="69"/>
        <v/>
      </c>
      <c r="L604" s="852"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51" t="s">
        <v>1913</v>
      </c>
      <c r="G605" s="1351"/>
      <c r="H605" s="1351" t="s">
        <v>1991</v>
      </c>
      <c r="I605" s="1307" t="str">
        <f t="shared" si="68"/>
        <v/>
      </c>
      <c r="J605" s="1351"/>
      <c r="K605" s="1351" t="str">
        <f t="shared" si="69"/>
        <v/>
      </c>
      <c r="L605" s="852"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51" t="s">
        <v>1509</v>
      </c>
      <c r="G606" s="1351" t="str">
        <f>IF(T606&lt;&gt;"","P","")</f>
        <v/>
      </c>
      <c r="H606" s="1351" t="s">
        <v>1991</v>
      </c>
      <c r="I606" s="1307" t="str">
        <f t="shared" si="68"/>
        <v/>
      </c>
      <c r="J606" s="1351" t="str">
        <f t="shared" si="71"/>
        <v/>
      </c>
      <c r="K606" s="1351" t="str">
        <f t="shared" si="69"/>
        <v/>
      </c>
      <c r="L606" s="852" t="s">
        <v>1509</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51" t="s">
        <v>1492</v>
      </c>
      <c r="G607" s="1351" t="str">
        <f>IF(T607&lt;&gt;"","A","")</f>
        <v/>
      </c>
      <c r="H607" s="1351" t="s">
        <v>1991</v>
      </c>
      <c r="I607" s="1307" t="str">
        <f t="shared" si="68"/>
        <v/>
      </c>
      <c r="J607" s="1351"/>
      <c r="K607" s="1351" t="str">
        <f t="shared" si="69"/>
        <v/>
      </c>
      <c r="L607" s="852" t="s">
        <v>1492</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51"/>
      <c r="G608" s="1351"/>
      <c r="H608" s="1351"/>
      <c r="I608" s="1307" t="str">
        <f t="shared" si="68"/>
        <v/>
      </c>
      <c r="J608" s="1351" t="str">
        <f t="shared" ref="J608:J637" si="75">IF(M608&lt;&gt;"",IF($Q$608="Yes",Q$1&amp;M608,""))</f>
        <v/>
      </c>
      <c r="K608" s="1351" t="str">
        <f t="shared" si="69"/>
        <v/>
      </c>
      <c r="L608" s="852" t="s">
        <v>1706</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51" t="s">
        <v>1383</v>
      </c>
      <c r="G609" s="1351" t="str">
        <f>IF(T609&lt;&gt;"","B","")</f>
        <v/>
      </c>
      <c r="H609" s="1351" t="s">
        <v>1991</v>
      </c>
      <c r="I609" s="1307" t="str">
        <f t="shared" si="68"/>
        <v/>
      </c>
      <c r="J609" s="1351"/>
      <c r="K609" s="1351" t="str">
        <f t="shared" si="69"/>
        <v/>
      </c>
      <c r="L609" s="852"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51" t="s">
        <v>1992</v>
      </c>
      <c r="G610" s="1351" t="str">
        <f>IF(T610&lt;&gt;"","E","")</f>
        <v/>
      </c>
      <c r="H610" s="1351" t="s">
        <v>1991</v>
      </c>
      <c r="I610" s="1307" t="str">
        <f t="shared" si="68"/>
        <v/>
      </c>
      <c r="J610" s="1351" t="str">
        <f t="shared" si="75"/>
        <v/>
      </c>
      <c r="K610" s="1351" t="str">
        <f t="shared" si="69"/>
        <v/>
      </c>
      <c r="L610" s="852"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3" t="s">
        <v>1381</v>
      </c>
      <c r="B611" s="852" t="str">
        <f t="shared" ca="1" si="76"/>
        <v>J61</v>
      </c>
      <c r="C611" s="852" t="str">
        <f t="shared" ca="1" si="77"/>
        <v>J62</v>
      </c>
      <c r="D611" s="852" t="s">
        <v>1350</v>
      </c>
      <c r="E611" s="852" t="s">
        <v>1517</v>
      </c>
      <c r="F611" s="1351" t="s">
        <v>1993</v>
      </c>
      <c r="G611" s="1351" t="str">
        <f>IF(T611&lt;&gt;"","I","")</f>
        <v/>
      </c>
      <c r="H611" s="1351" t="s">
        <v>1991</v>
      </c>
      <c r="I611" s="1307" t="str">
        <f t="shared" si="68"/>
        <v/>
      </c>
      <c r="J611" s="1351" t="str">
        <f t="shared" si="75"/>
        <v/>
      </c>
      <c r="K611" s="1351" t="str">
        <f t="shared" si="69"/>
        <v/>
      </c>
      <c r="L611" s="852" t="s">
        <v>1381</v>
      </c>
      <c r="M611" s="1366">
        <v>594</v>
      </c>
      <c r="N611" s="1351"/>
      <c r="O611" s="1348" t="s">
        <v>1637</v>
      </c>
      <c r="P611" s="1348"/>
      <c r="Q611" s="1348"/>
      <c r="R611" s="1351" t="s">
        <v>851</v>
      </c>
      <c r="S611" s="1348"/>
      <c r="T611" s="1351" t="str">
        <f t="shared" si="74"/>
        <v/>
      </c>
      <c r="U611" s="1348"/>
      <c r="V611" s="1348"/>
      <c r="W611" s="1348"/>
      <c r="X611" s="1348"/>
      <c r="Y611" s="1348"/>
      <c r="Z611" s="1348"/>
    </row>
    <row r="612" spans="1:26" x14ac:dyDescent="0.25">
      <c r="A612" s="873" t="s">
        <v>1397</v>
      </c>
      <c r="B612" s="852" t="str">
        <f t="shared" ca="1" si="76"/>
        <v>L61</v>
      </c>
      <c r="C612" s="852" t="str">
        <f t="shared" ca="1" si="77"/>
        <v>L62</v>
      </c>
      <c r="D612" s="852" t="s">
        <v>1350</v>
      </c>
      <c r="E612" s="852" t="s">
        <v>1517</v>
      </c>
      <c r="F612" s="1351" t="s">
        <v>1994</v>
      </c>
      <c r="G612" s="1351" t="str">
        <f>IF(T612&lt;&gt;"","H","")</f>
        <v/>
      </c>
      <c r="H612" s="1351" t="s">
        <v>1991</v>
      </c>
      <c r="I612" s="1307" t="str">
        <f t="shared" si="68"/>
        <v/>
      </c>
      <c r="J612" s="1351" t="str">
        <f t="shared" si="75"/>
        <v/>
      </c>
      <c r="K612" s="1351" t="str">
        <f t="shared" si="69"/>
        <v/>
      </c>
      <c r="L612" s="852"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3" t="s">
        <v>1382</v>
      </c>
      <c r="B613" s="852" t="str">
        <f t="shared" ca="1" si="76"/>
        <v>N61</v>
      </c>
      <c r="C613" s="852" t="str">
        <f t="shared" ca="1" si="77"/>
        <v>N62</v>
      </c>
      <c r="D613" s="852" t="s">
        <v>1350</v>
      </c>
      <c r="E613" s="852" t="s">
        <v>1517</v>
      </c>
      <c r="F613" s="1351" t="s">
        <v>1382</v>
      </c>
      <c r="G613" s="1351" t="str">
        <f>IF(T613&lt;&gt;"",IF(Q611="Credit Memo","J",IF(Q611="Check","K","")),"")</f>
        <v/>
      </c>
      <c r="H613" s="1351" t="s">
        <v>1991</v>
      </c>
      <c r="I613" s="1307" t="str">
        <f t="shared" si="68"/>
        <v/>
      </c>
      <c r="J613" s="1351" t="str">
        <f t="shared" si="75"/>
        <v/>
      </c>
      <c r="K613" s="1351" t="str">
        <f t="shared" si="69"/>
        <v/>
      </c>
      <c r="L613" s="852"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3" t="s">
        <v>1487</v>
      </c>
      <c r="B614" s="852" t="str">
        <f t="shared" ca="1" si="76"/>
        <v>P61</v>
      </c>
      <c r="C614" s="852" t="str">
        <f t="shared" ca="1" si="77"/>
        <v>P62</v>
      </c>
      <c r="D614" s="852" t="s">
        <v>1350</v>
      </c>
      <c r="E614" s="852" t="s">
        <v>1517</v>
      </c>
      <c r="F614" s="1351" t="s">
        <v>1995</v>
      </c>
      <c r="G614" s="1351" t="str">
        <f>IF(T614&lt;&gt;"","F","")</f>
        <v/>
      </c>
      <c r="H614" s="1351" t="s">
        <v>1991</v>
      </c>
      <c r="I614" s="1307" t="str">
        <f t="shared" si="68"/>
        <v/>
      </c>
      <c r="J614" s="1351" t="str">
        <f t="shared" si="75"/>
        <v/>
      </c>
      <c r="K614" s="1351" t="str">
        <f t="shared" si="69"/>
        <v/>
      </c>
      <c r="L614" s="852" t="s">
        <v>1487</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3" t="s">
        <v>1488</v>
      </c>
      <c r="B615" s="852" t="str">
        <f t="shared" ca="1" si="76"/>
        <v>R61</v>
      </c>
      <c r="C615" s="852" t="str">
        <f t="shared" ca="1" si="77"/>
        <v>R62</v>
      </c>
      <c r="D615" s="852" t="s">
        <v>1350</v>
      </c>
      <c r="E615" s="852" t="s">
        <v>1517</v>
      </c>
      <c r="F615" s="1351" t="s">
        <v>1996</v>
      </c>
      <c r="G615" s="1351" t="str">
        <f>IF(T615&lt;&gt;"","G","")</f>
        <v/>
      </c>
      <c r="H615" s="1351" t="s">
        <v>1991</v>
      </c>
      <c r="I615" s="1307" t="str">
        <f t="shared" si="68"/>
        <v/>
      </c>
      <c r="J615" s="1351" t="str">
        <f t="shared" si="75"/>
        <v/>
      </c>
      <c r="K615" s="1351" t="str">
        <f t="shared" si="69"/>
        <v/>
      </c>
      <c r="L615" s="852" t="s">
        <v>1488</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3" t="s">
        <v>1489</v>
      </c>
      <c r="B616" s="852" t="str">
        <f t="shared" ca="1" si="76"/>
        <v>T61</v>
      </c>
      <c r="C616" s="852" t="str">
        <f t="shared" ca="1" si="77"/>
        <v>T62</v>
      </c>
      <c r="D616" s="852" t="s">
        <v>1350</v>
      </c>
      <c r="E616" s="852" t="s">
        <v>1517</v>
      </c>
      <c r="F616" s="867" t="s">
        <v>1489</v>
      </c>
      <c r="G616" s="1351" t="str">
        <f>IF(T616&lt;&gt;"","AW","")</f>
        <v/>
      </c>
      <c r="H616" s="1351" t="s">
        <v>1991</v>
      </c>
      <c r="I616" s="1307" t="str">
        <f t="shared" si="68"/>
        <v/>
      </c>
      <c r="J616" s="1351" t="str">
        <f t="shared" si="75"/>
        <v/>
      </c>
      <c r="K616" s="1351" t="str">
        <f t="shared" si="69"/>
        <v/>
      </c>
      <c r="L616" s="852" t="s">
        <v>1489</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51" t="s">
        <v>1385</v>
      </c>
      <c r="G617" s="1351" t="str">
        <f>IF(T617&lt;&gt;"","C","")</f>
        <v/>
      </c>
      <c r="H617" s="1351" t="s">
        <v>1991</v>
      </c>
      <c r="I617" s="1307" t="str">
        <f t="shared" si="68"/>
        <v/>
      </c>
      <c r="J617" s="1351"/>
      <c r="K617" s="1351" t="str">
        <f t="shared" si="69"/>
        <v/>
      </c>
      <c r="L617" s="852"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51" t="s">
        <v>1386</v>
      </c>
      <c r="G618" s="1351" t="str">
        <f>IF(T618&lt;&gt;"","D","")</f>
        <v/>
      </c>
      <c r="H618" s="1351" t="s">
        <v>1991</v>
      </c>
      <c r="I618" s="1307" t="str">
        <f t="shared" si="68"/>
        <v/>
      </c>
      <c r="J618" s="1351"/>
      <c r="K618" s="1351" t="str">
        <f t="shared" si="69"/>
        <v/>
      </c>
      <c r="L618" s="852"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51" t="s">
        <v>1496</v>
      </c>
      <c r="G619" s="1351" t="str">
        <f>IF(T619&lt;&gt;"","AN","")</f>
        <v/>
      </c>
      <c r="H619" s="1351" t="s">
        <v>1991</v>
      </c>
      <c r="I619" s="1307" t="str">
        <f t="shared" si="68"/>
        <v/>
      </c>
      <c r="J619" s="1351" t="str">
        <f t="shared" si="75"/>
        <v/>
      </c>
      <c r="K619" s="1351" t="str">
        <f t="shared" si="69"/>
        <v/>
      </c>
      <c r="L619" s="852" t="s">
        <v>1496</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51" t="s">
        <v>1493</v>
      </c>
      <c r="G620" s="1351" t="str">
        <f>IF(T620&lt;&gt;"","AL","")</f>
        <v/>
      </c>
      <c r="H620" s="1351" t="s">
        <v>1991</v>
      </c>
      <c r="I620" s="1307" t="str">
        <f t="shared" si="68"/>
        <v/>
      </c>
      <c r="J620" s="1351" t="str">
        <f t="shared" si="75"/>
        <v/>
      </c>
      <c r="K620" s="1351" t="str">
        <f t="shared" si="69"/>
        <v/>
      </c>
      <c r="L620" s="852" t="s">
        <v>1493</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51" t="s">
        <v>1997</v>
      </c>
      <c r="G621" s="1351" t="str">
        <f>IF(T621&lt;&gt;"","L","")</f>
        <v/>
      </c>
      <c r="H621" s="1351" t="s">
        <v>1991</v>
      </c>
      <c r="I621" s="1307" t="str">
        <f t="shared" si="68"/>
        <v/>
      </c>
      <c r="J621" s="1351" t="str">
        <f t="shared" si="75"/>
        <v/>
      </c>
      <c r="K621" s="1351" t="str">
        <f t="shared" si="69"/>
        <v/>
      </c>
      <c r="L621" s="852" t="s">
        <v>1507</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51"/>
      <c r="H622" s="1351"/>
      <c r="I622" s="1307" t="str">
        <f t="shared" si="68"/>
        <v/>
      </c>
      <c r="J622" s="1351" t="str">
        <f t="shared" si="75"/>
        <v/>
      </c>
      <c r="K622" s="1351" t="str">
        <f t="shared" si="69"/>
        <v/>
      </c>
      <c r="L622" s="852"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51"/>
      <c r="H623" s="1351"/>
      <c r="I623" s="1307" t="str">
        <f t="shared" si="68"/>
        <v/>
      </c>
      <c r="J623" s="1351"/>
      <c r="K623" s="1351" t="str">
        <f t="shared" si="69"/>
        <v/>
      </c>
      <c r="L623" s="852"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0"/>
      <c r="G624" s="1351"/>
      <c r="H624" s="1351"/>
      <c r="I624" s="1307" t="str">
        <f t="shared" si="68"/>
        <v/>
      </c>
      <c r="J624" s="1351"/>
      <c r="K624" s="1351" t="str">
        <f t="shared" si="69"/>
        <v/>
      </c>
      <c r="L624" s="852"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51"/>
      <c r="G625" s="1351"/>
      <c r="H625" s="1351"/>
      <c r="I625" s="1307" t="str">
        <f t="shared" si="68"/>
        <v/>
      </c>
      <c r="J625" s="1351" t="str">
        <f t="shared" si="75"/>
        <v/>
      </c>
      <c r="K625" s="1351" t="str">
        <f t="shared" si="69"/>
        <v/>
      </c>
      <c r="L625" s="852"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51"/>
      <c r="G626" s="1351"/>
      <c r="H626" s="1351"/>
      <c r="I626" s="1307" t="str">
        <f t="shared" si="68"/>
        <v/>
      </c>
      <c r="J626" s="1351"/>
      <c r="K626" s="1351" t="str">
        <f t="shared" si="69"/>
        <v/>
      </c>
      <c r="L626" s="852"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51"/>
      <c r="G627" s="1351"/>
      <c r="H627" s="1351"/>
      <c r="I627" s="1307" t="str">
        <f t="shared" si="68"/>
        <v/>
      </c>
      <c r="J627" s="1351"/>
      <c r="K627" s="1351" t="str">
        <f t="shared" si="69"/>
        <v/>
      </c>
      <c r="L627" s="852"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51"/>
      <c r="G628" s="1351"/>
      <c r="H628" s="1351"/>
      <c r="I628" s="1307" t="str">
        <f t="shared" si="68"/>
        <v/>
      </c>
      <c r="J628" s="1351" t="str">
        <f t="shared" si="75"/>
        <v/>
      </c>
      <c r="K628" s="1351" t="str">
        <f t="shared" si="69"/>
        <v/>
      </c>
      <c r="L628" s="852"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51"/>
      <c r="G629" s="1351"/>
      <c r="H629" s="1351"/>
      <c r="I629" s="1307" t="str">
        <f t="shared" si="68"/>
        <v/>
      </c>
      <c r="J629" s="1351"/>
      <c r="K629" s="1351" t="str">
        <f t="shared" si="69"/>
        <v/>
      </c>
      <c r="L629" s="852"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51"/>
      <c r="G630" s="1351"/>
      <c r="H630" s="1351"/>
      <c r="I630" s="1307" t="str">
        <f t="shared" si="68"/>
        <v/>
      </c>
      <c r="J630" s="1351"/>
      <c r="K630" s="1351" t="str">
        <f t="shared" si="69"/>
        <v/>
      </c>
      <c r="L630" s="852"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51"/>
      <c r="G631" s="1351"/>
      <c r="H631" s="1351"/>
      <c r="I631" s="1307" t="str">
        <f t="shared" si="68"/>
        <v/>
      </c>
      <c r="J631" s="1351" t="str">
        <f t="shared" si="75"/>
        <v/>
      </c>
      <c r="K631" s="1351" t="str">
        <f t="shared" si="69"/>
        <v/>
      </c>
      <c r="L631" s="852"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51"/>
      <c r="G632" s="1351"/>
      <c r="H632" s="1351"/>
      <c r="I632" s="1307" t="str">
        <f t="shared" si="68"/>
        <v/>
      </c>
      <c r="J632" s="1351"/>
      <c r="K632" s="1351" t="str">
        <f t="shared" si="69"/>
        <v/>
      </c>
      <c r="L632" s="852"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51"/>
      <c r="G633" s="1351"/>
      <c r="H633" s="1351"/>
      <c r="I633" s="1307" t="str">
        <f t="shared" si="68"/>
        <v/>
      </c>
      <c r="J633" s="1351"/>
      <c r="K633" s="1351" t="str">
        <f t="shared" si="69"/>
        <v/>
      </c>
      <c r="L633" s="852"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51"/>
      <c r="G634" s="1351"/>
      <c r="H634" s="1351"/>
      <c r="I634" s="1307" t="str">
        <f t="shared" si="68"/>
        <v/>
      </c>
      <c r="J634" s="1351" t="str">
        <f t="shared" si="75"/>
        <v/>
      </c>
      <c r="K634" s="1351" t="str">
        <f t="shared" si="69"/>
        <v/>
      </c>
      <c r="L634" s="852"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51"/>
      <c r="G635" s="1351"/>
      <c r="H635" s="1351"/>
      <c r="I635" s="1307" t="str">
        <f t="shared" si="68"/>
        <v/>
      </c>
      <c r="J635" s="1351"/>
      <c r="K635" s="1351" t="str">
        <f t="shared" si="69"/>
        <v/>
      </c>
      <c r="L635" s="852"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51"/>
      <c r="G636" s="1351"/>
      <c r="H636" s="1351"/>
      <c r="I636" s="1307" t="str">
        <f t="shared" si="68"/>
        <v/>
      </c>
      <c r="J636" s="1351"/>
      <c r="K636" s="1351" t="str">
        <f t="shared" si="69"/>
        <v/>
      </c>
      <c r="L636" s="852"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51" t="s">
        <v>1509</v>
      </c>
      <c r="G637" s="1351" t="str">
        <f>IF(T637&lt;&gt;"","P","")</f>
        <v/>
      </c>
      <c r="H637" s="1351" t="s">
        <v>1991</v>
      </c>
      <c r="I637" s="1307" t="str">
        <f t="shared" si="68"/>
        <v/>
      </c>
      <c r="J637" s="1351" t="str">
        <f t="shared" si="75"/>
        <v/>
      </c>
      <c r="K637" s="1351" t="str">
        <f t="shared" si="69"/>
        <v/>
      </c>
      <c r="L637" s="852" t="s">
        <v>1509</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51" t="s">
        <v>1492</v>
      </c>
      <c r="G638" s="1351" t="str">
        <f>IF(T638&lt;&gt;"","A","")</f>
        <v/>
      </c>
      <c r="H638" s="1351" t="s">
        <v>1991</v>
      </c>
      <c r="I638" s="1307" t="str">
        <f t="shared" si="68"/>
        <v/>
      </c>
      <c r="J638" s="1351"/>
      <c r="K638" s="1351" t="str">
        <f t="shared" si="69"/>
        <v/>
      </c>
      <c r="L638" s="852" t="s">
        <v>1492</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51"/>
      <c r="G639" s="1351"/>
      <c r="H639" s="1351"/>
      <c r="I639" s="1307" t="str">
        <f t="shared" si="68"/>
        <v/>
      </c>
      <c r="J639" s="1351" t="str">
        <f t="shared" ref="J639:J668" si="81">IF(M639&lt;&gt;"",IF($Q$639="Yes",Q$1&amp;M639,""))</f>
        <v/>
      </c>
      <c r="K639" s="1351" t="str">
        <f t="shared" si="69"/>
        <v/>
      </c>
      <c r="L639" s="852" t="s">
        <v>1706</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51" t="s">
        <v>1383</v>
      </c>
      <c r="G640" s="1351" t="str">
        <f>IF(T640&lt;&gt;"","B","")</f>
        <v/>
      </c>
      <c r="H640" s="1351" t="s">
        <v>1991</v>
      </c>
      <c r="I640" s="1307" t="str">
        <f t="shared" si="68"/>
        <v/>
      </c>
      <c r="J640" s="1351"/>
      <c r="K640" s="1351" t="str">
        <f t="shared" si="69"/>
        <v/>
      </c>
      <c r="L640" s="852"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51" t="s">
        <v>1992</v>
      </c>
      <c r="G641" s="1351" t="str">
        <f>IF(T641&lt;&gt;"","E","")</f>
        <v/>
      </c>
      <c r="H641" s="1351" t="s">
        <v>1991</v>
      </c>
      <c r="I641" s="1307" t="str">
        <f t="shared" si="68"/>
        <v/>
      </c>
      <c r="J641" s="1351" t="str">
        <f t="shared" si="81"/>
        <v/>
      </c>
      <c r="K641" s="1351" t="str">
        <f t="shared" si="69"/>
        <v/>
      </c>
      <c r="L641" s="852"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6" t="s">
        <v>1381</v>
      </c>
      <c r="B642" s="852" t="str">
        <f t="shared" ca="1" si="82"/>
        <v>J77</v>
      </c>
      <c r="C642" s="852" t="str">
        <f t="shared" ca="1" si="83"/>
        <v>J78</v>
      </c>
      <c r="D642" s="852" t="s">
        <v>1350</v>
      </c>
      <c r="E642" s="852" t="s">
        <v>1517</v>
      </c>
      <c r="F642" s="1351" t="s">
        <v>1993</v>
      </c>
      <c r="G642" s="1351" t="str">
        <f>IF(T642&lt;&gt;"","I","")</f>
        <v/>
      </c>
      <c r="H642" s="1351" t="s">
        <v>1991</v>
      </c>
      <c r="I642" s="1307" t="str">
        <f t="shared" si="68"/>
        <v/>
      </c>
      <c r="J642" s="1351" t="str">
        <f t="shared" si="81"/>
        <v/>
      </c>
      <c r="K642" s="1351" t="str">
        <f t="shared" si="69"/>
        <v/>
      </c>
      <c r="L642" s="852" t="s">
        <v>1381</v>
      </c>
      <c r="M642" s="1366">
        <v>625</v>
      </c>
      <c r="N642" s="1351"/>
      <c r="O642" s="1348" t="s">
        <v>1638</v>
      </c>
      <c r="P642" s="1348"/>
      <c r="Q642" s="1348"/>
      <c r="R642" s="599" t="s">
        <v>851</v>
      </c>
      <c r="S642" s="1348"/>
      <c r="T642" s="1351" t="str">
        <f t="shared" si="80"/>
        <v/>
      </c>
      <c r="U642" s="1348"/>
      <c r="V642" s="1348"/>
      <c r="W642" s="1348"/>
      <c r="X642" s="1348"/>
      <c r="Y642" s="1348"/>
      <c r="Z642" s="1348"/>
    </row>
    <row r="643" spans="1:26" x14ac:dyDescent="0.25">
      <c r="A643" s="876" t="s">
        <v>1397</v>
      </c>
      <c r="B643" s="852" t="str">
        <f t="shared" ca="1" si="82"/>
        <v>L77</v>
      </c>
      <c r="C643" s="852" t="str">
        <f t="shared" ca="1" si="83"/>
        <v>L78</v>
      </c>
      <c r="D643" s="852" t="s">
        <v>1350</v>
      </c>
      <c r="E643" s="852" t="s">
        <v>1517</v>
      </c>
      <c r="F643" s="1351" t="s">
        <v>1994</v>
      </c>
      <c r="G643" s="1351" t="str">
        <f>IF(T643&lt;&gt;"","H","")</f>
        <v/>
      </c>
      <c r="H643" s="1351" t="s">
        <v>1991</v>
      </c>
      <c r="I643" s="1307" t="str">
        <f t="shared" si="68"/>
        <v/>
      </c>
      <c r="J643" s="1351" t="str">
        <f t="shared" si="81"/>
        <v/>
      </c>
      <c r="K643" s="1351" t="str">
        <f t="shared" si="69"/>
        <v/>
      </c>
      <c r="L643" s="852"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6" t="s">
        <v>1382</v>
      </c>
      <c r="B644" s="852" t="str">
        <f t="shared" ca="1" si="82"/>
        <v>N77</v>
      </c>
      <c r="C644" s="852" t="str">
        <f t="shared" ca="1" si="83"/>
        <v>N78</v>
      </c>
      <c r="D644" s="852" t="s">
        <v>1350</v>
      </c>
      <c r="E644" s="852" t="s">
        <v>1517</v>
      </c>
      <c r="F644" s="1351" t="s">
        <v>1382</v>
      </c>
      <c r="G644" s="1351" t="str">
        <f>IF(T644&lt;&gt;"",IF(Q642="Credit Memo","J",IF(Q642="Check","K","")),"")</f>
        <v/>
      </c>
      <c r="H644" s="1351" t="s">
        <v>1991</v>
      </c>
      <c r="I644" s="1307" t="str">
        <f t="shared" ref="I644:I707" si="84">IF(J644&lt;&gt;"",A644,"")</f>
        <v/>
      </c>
      <c r="J644" s="1351" t="str">
        <f t="shared" si="81"/>
        <v/>
      </c>
      <c r="K644" s="1351" t="str">
        <f t="shared" ref="K644:K707" si="85">IF(J644&lt;&gt;"",E644,"")</f>
        <v/>
      </c>
      <c r="L644" s="852"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6" t="s">
        <v>1487</v>
      </c>
      <c r="B645" s="852" t="str">
        <f t="shared" ca="1" si="82"/>
        <v>P77</v>
      </c>
      <c r="C645" s="852" t="str">
        <f t="shared" ca="1" si="83"/>
        <v>P78</v>
      </c>
      <c r="D645" s="852" t="s">
        <v>1350</v>
      </c>
      <c r="E645" s="852" t="s">
        <v>1517</v>
      </c>
      <c r="F645" s="1351" t="s">
        <v>1995</v>
      </c>
      <c r="G645" s="1351" t="str">
        <f>IF(T645&lt;&gt;"","F","")</f>
        <v/>
      </c>
      <c r="H645" s="1351" t="s">
        <v>1991</v>
      </c>
      <c r="I645" s="1307" t="str">
        <f t="shared" si="84"/>
        <v/>
      </c>
      <c r="J645" s="1351" t="str">
        <f t="shared" si="81"/>
        <v/>
      </c>
      <c r="K645" s="1351" t="str">
        <f t="shared" si="85"/>
        <v/>
      </c>
      <c r="L645" s="852" t="s">
        <v>1487</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6" t="s">
        <v>1488</v>
      </c>
      <c r="B646" s="852" t="str">
        <f t="shared" ca="1" si="82"/>
        <v>R77</v>
      </c>
      <c r="C646" s="852" t="str">
        <f t="shared" ca="1" si="83"/>
        <v>R78</v>
      </c>
      <c r="D646" s="852" t="s">
        <v>1350</v>
      </c>
      <c r="E646" s="852" t="s">
        <v>1517</v>
      </c>
      <c r="F646" s="1351" t="s">
        <v>1996</v>
      </c>
      <c r="G646" s="1351" t="str">
        <f>IF(T646&lt;&gt;"","G","")</f>
        <v/>
      </c>
      <c r="H646" s="1351" t="s">
        <v>1991</v>
      </c>
      <c r="I646" s="1307" t="str">
        <f t="shared" si="84"/>
        <v/>
      </c>
      <c r="J646" s="1351" t="str">
        <f t="shared" si="81"/>
        <v/>
      </c>
      <c r="K646" s="1351" t="str">
        <f t="shared" si="85"/>
        <v/>
      </c>
      <c r="L646" s="852" t="s">
        <v>1488</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6" t="s">
        <v>1489</v>
      </c>
      <c r="B647" s="852" t="str">
        <f t="shared" ca="1" si="82"/>
        <v>T77</v>
      </c>
      <c r="C647" s="852" t="str">
        <f t="shared" ca="1" si="83"/>
        <v>T78</v>
      </c>
      <c r="D647" s="852" t="s">
        <v>1350</v>
      </c>
      <c r="E647" s="852" t="s">
        <v>1517</v>
      </c>
      <c r="F647" s="867" t="s">
        <v>1489</v>
      </c>
      <c r="G647" s="1351" t="str">
        <f>IF(T647&lt;&gt;"","AW","")</f>
        <v/>
      </c>
      <c r="H647" s="1351" t="s">
        <v>1991</v>
      </c>
      <c r="I647" s="1307" t="str">
        <f t="shared" si="84"/>
        <v/>
      </c>
      <c r="J647" s="1351" t="str">
        <f t="shared" si="81"/>
        <v/>
      </c>
      <c r="K647" s="1351" t="str">
        <f t="shared" si="85"/>
        <v/>
      </c>
      <c r="L647" s="852" t="s">
        <v>1489</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51" t="s">
        <v>1385</v>
      </c>
      <c r="G648" s="1351" t="str">
        <f>IF(T648&lt;&gt;"","C","")</f>
        <v/>
      </c>
      <c r="H648" s="1351" t="s">
        <v>1991</v>
      </c>
      <c r="I648" s="1307" t="str">
        <f t="shared" si="84"/>
        <v/>
      </c>
      <c r="J648" s="1351"/>
      <c r="K648" s="1351" t="str">
        <f t="shared" si="85"/>
        <v/>
      </c>
      <c r="L648" s="852"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51" t="s">
        <v>1386</v>
      </c>
      <c r="G649" s="1351" t="str">
        <f>IF(T649&lt;&gt;"","D","")</f>
        <v/>
      </c>
      <c r="H649" s="1351" t="s">
        <v>1991</v>
      </c>
      <c r="I649" s="1307" t="str">
        <f t="shared" si="84"/>
        <v/>
      </c>
      <c r="J649" s="1351"/>
      <c r="K649" s="1351" t="str">
        <f t="shared" si="85"/>
        <v/>
      </c>
      <c r="L649" s="852"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51" t="s">
        <v>1496</v>
      </c>
      <c r="G650" s="1351" t="str">
        <f>IF(T650&lt;&gt;"","AN","")</f>
        <v/>
      </c>
      <c r="H650" s="1351" t="s">
        <v>1991</v>
      </c>
      <c r="I650" s="1307" t="str">
        <f t="shared" si="84"/>
        <v/>
      </c>
      <c r="J650" s="1351" t="str">
        <f t="shared" si="81"/>
        <v/>
      </c>
      <c r="K650" s="1351" t="str">
        <f t="shared" si="85"/>
        <v/>
      </c>
      <c r="L650" s="852" t="s">
        <v>1496</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51" t="s">
        <v>1493</v>
      </c>
      <c r="G651" s="1351" t="str">
        <f>IF(T651&lt;&gt;"","AL","")</f>
        <v/>
      </c>
      <c r="H651" s="1351" t="s">
        <v>1991</v>
      </c>
      <c r="I651" s="1307" t="str">
        <f t="shared" si="84"/>
        <v/>
      </c>
      <c r="J651" s="1351" t="str">
        <f t="shared" si="81"/>
        <v/>
      </c>
      <c r="K651" s="1351" t="str">
        <f t="shared" si="85"/>
        <v/>
      </c>
      <c r="L651" s="852" t="s">
        <v>1493</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51" t="s">
        <v>1997</v>
      </c>
      <c r="G652" s="1351" t="str">
        <f>IF(T652&lt;&gt;"","L","")</f>
        <v/>
      </c>
      <c r="H652" s="1351" t="s">
        <v>1991</v>
      </c>
      <c r="I652" s="1307" t="str">
        <f t="shared" si="84"/>
        <v/>
      </c>
      <c r="J652" s="1351" t="str">
        <f t="shared" si="81"/>
        <v/>
      </c>
      <c r="K652" s="1351" t="str">
        <f t="shared" si="85"/>
        <v/>
      </c>
      <c r="L652" s="852" t="s">
        <v>1507</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51"/>
      <c r="H653" s="1351"/>
      <c r="I653" s="1307" t="str">
        <f t="shared" si="84"/>
        <v/>
      </c>
      <c r="J653" s="1351" t="str">
        <f t="shared" si="81"/>
        <v/>
      </c>
      <c r="K653" s="1351" t="str">
        <f t="shared" si="85"/>
        <v/>
      </c>
      <c r="L653" s="852"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51"/>
      <c r="H654" s="1351"/>
      <c r="I654" s="1307" t="str">
        <f t="shared" si="84"/>
        <v/>
      </c>
      <c r="J654" s="1351"/>
      <c r="K654" s="1351" t="str">
        <f t="shared" si="85"/>
        <v/>
      </c>
      <c r="L654" s="852"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0"/>
      <c r="G655" s="1351"/>
      <c r="H655" s="1351"/>
      <c r="I655" s="1307" t="str">
        <f t="shared" si="84"/>
        <v/>
      </c>
      <c r="J655" s="1351"/>
      <c r="K655" s="1351" t="str">
        <f t="shared" si="85"/>
        <v/>
      </c>
      <c r="L655" s="852"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51"/>
      <c r="G656" s="1351"/>
      <c r="H656" s="1351"/>
      <c r="I656" s="1307" t="str">
        <f t="shared" si="84"/>
        <v/>
      </c>
      <c r="J656" s="1351" t="str">
        <f t="shared" si="81"/>
        <v/>
      </c>
      <c r="K656" s="1351" t="str">
        <f t="shared" si="85"/>
        <v/>
      </c>
      <c r="L656" s="852"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51"/>
      <c r="G657" s="1351"/>
      <c r="H657" s="1351"/>
      <c r="I657" s="1307" t="str">
        <f t="shared" si="84"/>
        <v/>
      </c>
      <c r="J657" s="1351"/>
      <c r="K657" s="1351" t="str">
        <f t="shared" si="85"/>
        <v/>
      </c>
      <c r="L657" s="852"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51"/>
      <c r="G658" s="1351"/>
      <c r="H658" s="1351"/>
      <c r="I658" s="1307" t="str">
        <f t="shared" si="84"/>
        <v/>
      </c>
      <c r="J658" s="1351"/>
      <c r="K658" s="1351" t="str">
        <f t="shared" si="85"/>
        <v/>
      </c>
      <c r="L658" s="852"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51"/>
      <c r="G659" s="1351"/>
      <c r="H659" s="1351"/>
      <c r="I659" s="1307" t="str">
        <f t="shared" si="84"/>
        <v/>
      </c>
      <c r="J659" s="1351" t="str">
        <f t="shared" si="81"/>
        <v/>
      </c>
      <c r="K659" s="1351" t="str">
        <f t="shared" si="85"/>
        <v/>
      </c>
      <c r="L659" s="852"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51"/>
      <c r="G660" s="1351"/>
      <c r="H660" s="1351"/>
      <c r="I660" s="1307" t="str">
        <f t="shared" si="84"/>
        <v/>
      </c>
      <c r="J660" s="1351"/>
      <c r="K660" s="1351" t="str">
        <f t="shared" si="85"/>
        <v/>
      </c>
      <c r="L660" s="852"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51"/>
      <c r="G661" s="1351"/>
      <c r="H661" s="1351"/>
      <c r="I661" s="1307" t="str">
        <f t="shared" si="84"/>
        <v/>
      </c>
      <c r="J661" s="1351"/>
      <c r="K661" s="1351" t="str">
        <f t="shared" si="85"/>
        <v/>
      </c>
      <c r="L661" s="852"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51"/>
      <c r="G662" s="1351"/>
      <c r="H662" s="1351"/>
      <c r="I662" s="1307" t="str">
        <f t="shared" si="84"/>
        <v/>
      </c>
      <c r="J662" s="1351" t="str">
        <f t="shared" si="81"/>
        <v/>
      </c>
      <c r="K662" s="1351" t="str">
        <f t="shared" si="85"/>
        <v/>
      </c>
      <c r="L662" s="852"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51"/>
      <c r="G663" s="1351"/>
      <c r="H663" s="1351"/>
      <c r="I663" s="1307" t="str">
        <f t="shared" si="84"/>
        <v/>
      </c>
      <c r="J663" s="1351"/>
      <c r="K663" s="1351" t="str">
        <f t="shared" si="85"/>
        <v/>
      </c>
      <c r="L663" s="852"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51"/>
      <c r="G664" s="1351"/>
      <c r="H664" s="1351"/>
      <c r="I664" s="1307" t="str">
        <f t="shared" si="84"/>
        <v/>
      </c>
      <c r="J664" s="1351"/>
      <c r="K664" s="1351" t="str">
        <f t="shared" si="85"/>
        <v/>
      </c>
      <c r="L664" s="852"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51"/>
      <c r="G665" s="1351"/>
      <c r="H665" s="1351"/>
      <c r="I665" s="1307" t="str">
        <f t="shared" si="84"/>
        <v/>
      </c>
      <c r="J665" s="1351" t="str">
        <f t="shared" si="81"/>
        <v/>
      </c>
      <c r="K665" s="1351" t="str">
        <f t="shared" si="85"/>
        <v/>
      </c>
      <c r="L665" s="852"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51"/>
      <c r="G666" s="1351"/>
      <c r="H666" s="1351"/>
      <c r="I666" s="1307" t="str">
        <f t="shared" si="84"/>
        <v/>
      </c>
      <c r="J666" s="1351"/>
      <c r="K666" s="1351" t="str">
        <f t="shared" si="85"/>
        <v/>
      </c>
      <c r="L666" s="852"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51"/>
      <c r="G667" s="1351"/>
      <c r="H667" s="1351"/>
      <c r="I667" s="1307" t="str">
        <f t="shared" si="84"/>
        <v/>
      </c>
      <c r="J667" s="1351"/>
      <c r="K667" s="1351" t="str">
        <f t="shared" si="85"/>
        <v/>
      </c>
      <c r="L667" s="852"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51" t="s">
        <v>1509</v>
      </c>
      <c r="G668" s="1351" t="str">
        <f>IF(T668&lt;&gt;"","P","")</f>
        <v/>
      </c>
      <c r="H668" s="1351" t="s">
        <v>1991</v>
      </c>
      <c r="I668" s="1307" t="str">
        <f t="shared" si="84"/>
        <v/>
      </c>
      <c r="J668" s="1351" t="str">
        <f t="shared" si="81"/>
        <v/>
      </c>
      <c r="K668" s="1351" t="str">
        <f t="shared" si="85"/>
        <v/>
      </c>
      <c r="L668" s="852" t="s">
        <v>1509</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51" t="s">
        <v>1492</v>
      </c>
      <c r="G669" s="1351" t="str">
        <f>IF(T669&lt;&gt;"","A","")</f>
        <v/>
      </c>
      <c r="H669" s="1351" t="s">
        <v>1991</v>
      </c>
      <c r="I669" s="1307" t="str">
        <f t="shared" si="84"/>
        <v/>
      </c>
      <c r="J669" s="1351"/>
      <c r="K669" s="1351" t="str">
        <f t="shared" si="85"/>
        <v/>
      </c>
      <c r="L669" s="852" t="s">
        <v>1492</v>
      </c>
      <c r="M669" s="1366">
        <v>652</v>
      </c>
      <c r="N669" s="1351"/>
      <c r="O669" s="1348" t="s">
        <v>725</v>
      </c>
      <c r="P669" s="1348"/>
      <c r="Q669" s="1348"/>
      <c r="R669" s="1351" t="s">
        <v>1526</v>
      </c>
      <c r="S669" s="1348"/>
      <c r="T669" s="1351" t="str">
        <f t="shared" ref="T669:T682" si="88">IF(Q$670="Yes",7,"")</f>
        <v/>
      </c>
      <c r="U669" s="1348"/>
      <c r="V669" s="1348"/>
      <c r="W669" s="1348"/>
      <c r="X669" s="1348"/>
      <c r="Y669" s="1348"/>
      <c r="Z669" s="134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51"/>
      <c r="G670" s="1351"/>
      <c r="H670" s="1351"/>
      <c r="I670" s="1307" t="str">
        <f t="shared" si="84"/>
        <v/>
      </c>
      <c r="J670" s="1351" t="str">
        <f t="shared" ref="J670:J684" si="89">IF(M670&lt;&gt;"",IF($Q$670="Yes",Q$1&amp;M670,""))</f>
        <v/>
      </c>
      <c r="K670" s="1351" t="str">
        <f t="shared" si="85"/>
        <v/>
      </c>
      <c r="L670" s="852" t="s">
        <v>1706</v>
      </c>
      <c r="M670" s="1366">
        <v>653</v>
      </c>
      <c r="N670" s="1351"/>
      <c r="O670" s="1348">
        <f>'Configurable Tab'!H9</f>
        <v>91</v>
      </c>
      <c r="P670" s="1447" t="str">
        <f>'Configurable Tab'!J9</f>
        <v>Yes</v>
      </c>
      <c r="Q670" s="1388" t="s">
        <v>648</v>
      </c>
      <c r="R670" s="1351" t="s">
        <v>1526</v>
      </c>
      <c r="S670" s="1348"/>
      <c r="T670" s="1351" t="str">
        <f t="shared" si="88"/>
        <v/>
      </c>
      <c r="U670" s="1348"/>
      <c r="V670" s="1348"/>
      <c r="W670" s="1348"/>
      <c r="X670" s="1348"/>
      <c r="Y670" s="1348"/>
      <c r="Z670" s="134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51" t="s">
        <v>1383</v>
      </c>
      <c r="G671" s="1351" t="str">
        <f>IF(T671&lt;&gt;"","B","")</f>
        <v/>
      </c>
      <c r="H671" s="1351" t="s">
        <v>1991</v>
      </c>
      <c r="I671" s="1307" t="str">
        <f t="shared" si="84"/>
        <v/>
      </c>
      <c r="J671" s="1351"/>
      <c r="K671" s="1351" t="str">
        <f t="shared" si="85"/>
        <v/>
      </c>
      <c r="L671" s="852" t="s">
        <v>1383</v>
      </c>
      <c r="M671" s="1366">
        <v>654</v>
      </c>
      <c r="N671" s="1351"/>
      <c r="O671" s="1348" t="s">
        <v>726</v>
      </c>
      <c r="P671" s="1348"/>
      <c r="Q671" s="1348"/>
      <c r="R671" s="1351" t="s">
        <v>1526</v>
      </c>
      <c r="S671" s="1348"/>
      <c r="T671" s="1351" t="str">
        <f t="shared" si="88"/>
        <v/>
      </c>
      <c r="U671" s="1348"/>
      <c r="V671" s="1348"/>
      <c r="W671" s="1348"/>
      <c r="X671" s="1348"/>
      <c r="Y671" s="1348"/>
      <c r="Z671" s="134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51" t="s">
        <v>1992</v>
      </c>
      <c r="G672" s="1351" t="str">
        <f>IF(T672&lt;&gt;"","E","")</f>
        <v/>
      </c>
      <c r="H672" s="1351" t="s">
        <v>1991</v>
      </c>
      <c r="I672" s="1307" t="str">
        <f t="shared" si="84"/>
        <v/>
      </c>
      <c r="J672" s="1351" t="str">
        <f t="shared" si="89"/>
        <v/>
      </c>
      <c r="K672" s="1351" t="str">
        <f t="shared" si="85"/>
        <v/>
      </c>
      <c r="L672" s="852" t="s">
        <v>1380</v>
      </c>
      <c r="M672" s="1366">
        <v>655</v>
      </c>
      <c r="N672" s="1351"/>
      <c r="O672" s="1348">
        <f>'Configurable Tab'!I9</f>
        <v>104</v>
      </c>
      <c r="P672" s="1348"/>
      <c r="Q672" s="1348"/>
      <c r="R672" s="1351" t="s">
        <v>1526</v>
      </c>
      <c r="S672" s="1348"/>
      <c r="T672" s="1351" t="str">
        <f t="shared" si="88"/>
        <v/>
      </c>
      <c r="U672" s="1348"/>
      <c r="V672" s="1348"/>
      <c r="W672" s="1348"/>
      <c r="X672" s="1348"/>
      <c r="Y672" s="1348"/>
      <c r="Z672" s="1348"/>
    </row>
    <row r="673" spans="1:26" x14ac:dyDescent="0.25">
      <c r="A673" s="873" t="s">
        <v>1381</v>
      </c>
      <c r="B673" s="852" t="str">
        <f t="shared" ca="1" si="90"/>
        <v>J93</v>
      </c>
      <c r="C673" s="852" t="str">
        <f t="shared" ca="1" si="91"/>
        <v>J94</v>
      </c>
      <c r="D673" s="852" t="s">
        <v>1350</v>
      </c>
      <c r="E673" s="852" t="s">
        <v>1517</v>
      </c>
      <c r="F673" s="1351" t="s">
        <v>1993</v>
      </c>
      <c r="G673" s="1351" t="str">
        <f>IF(T673&lt;&gt;"","I","")</f>
        <v/>
      </c>
      <c r="H673" s="1351" t="s">
        <v>1991</v>
      </c>
      <c r="I673" s="1307" t="str">
        <f t="shared" si="84"/>
        <v/>
      </c>
      <c r="J673" s="1351" t="str">
        <f t="shared" si="89"/>
        <v/>
      </c>
      <c r="K673" s="1351" t="str">
        <f t="shared" si="85"/>
        <v/>
      </c>
      <c r="L673" s="852" t="s">
        <v>1381</v>
      </c>
      <c r="M673" s="1366">
        <v>656</v>
      </c>
      <c r="N673" s="1351"/>
      <c r="O673" s="1348" t="s">
        <v>1639</v>
      </c>
      <c r="P673" s="1348"/>
      <c r="Q673" s="1348" t="s">
        <v>482</v>
      </c>
      <c r="R673" s="1351" t="s">
        <v>1526</v>
      </c>
      <c r="S673" s="1348"/>
      <c r="T673" s="1351" t="str">
        <f t="shared" si="88"/>
        <v/>
      </c>
      <c r="U673" s="1348"/>
      <c r="V673" s="1348"/>
      <c r="W673" s="1348"/>
      <c r="X673" s="1348"/>
      <c r="Y673" s="1348"/>
      <c r="Z673" s="1348"/>
    </row>
    <row r="674" spans="1:26" x14ac:dyDescent="0.25">
      <c r="A674" s="873" t="s">
        <v>1397</v>
      </c>
      <c r="B674" s="852" t="str">
        <f t="shared" ca="1" si="90"/>
        <v>L93</v>
      </c>
      <c r="C674" s="852" t="str">
        <f t="shared" ca="1" si="91"/>
        <v>L94</v>
      </c>
      <c r="D674" s="852" t="s">
        <v>1350</v>
      </c>
      <c r="E674" s="852" t="s">
        <v>1517</v>
      </c>
      <c r="F674" s="1351" t="s">
        <v>1994</v>
      </c>
      <c r="G674" s="1351" t="str">
        <f>IF(T674&lt;&gt;"","H","")</f>
        <v/>
      </c>
      <c r="H674" s="1351" t="s">
        <v>1991</v>
      </c>
      <c r="I674" s="1307" t="str">
        <f t="shared" si="84"/>
        <v/>
      </c>
      <c r="J674" s="1351" t="str">
        <f t="shared" si="89"/>
        <v/>
      </c>
      <c r="K674" s="1351" t="str">
        <f t="shared" si="85"/>
        <v/>
      </c>
      <c r="L674" s="852" t="s">
        <v>1397</v>
      </c>
      <c r="M674" s="1366">
        <v>657</v>
      </c>
      <c r="N674" s="1351"/>
      <c r="O674" s="1348"/>
      <c r="P674" s="1348"/>
      <c r="Q674" s="1348"/>
      <c r="R674" s="1351" t="s">
        <v>1526</v>
      </c>
      <c r="S674" s="1348"/>
      <c r="T674" s="1351" t="str">
        <f t="shared" si="88"/>
        <v/>
      </c>
      <c r="U674" s="1348"/>
      <c r="V674" s="1348"/>
      <c r="W674" s="1348"/>
      <c r="X674" s="1348"/>
      <c r="Y674" s="1348"/>
      <c r="Z674" s="1348"/>
    </row>
    <row r="675" spans="1:26" x14ac:dyDescent="0.25">
      <c r="A675" s="873" t="s">
        <v>1382</v>
      </c>
      <c r="B675" s="852" t="str">
        <f t="shared" ca="1" si="90"/>
        <v>N93</v>
      </c>
      <c r="C675" s="852" t="str">
        <f t="shared" ca="1" si="91"/>
        <v>N94</v>
      </c>
      <c r="D675" s="852" t="s">
        <v>1350</v>
      </c>
      <c r="E675" s="852" t="s">
        <v>1517</v>
      </c>
      <c r="F675" s="1351" t="s">
        <v>1382</v>
      </c>
      <c r="G675" s="1351" t="str">
        <f>IF(T675&lt;&gt;"",IF(Q673="Credit Memo","J",IF(Q673="Check","K","")),"")</f>
        <v/>
      </c>
      <c r="H675" s="1351" t="s">
        <v>1991</v>
      </c>
      <c r="I675" s="1307" t="str">
        <f t="shared" si="84"/>
        <v/>
      </c>
      <c r="J675" s="1351" t="str">
        <f t="shared" si="89"/>
        <v/>
      </c>
      <c r="K675" s="1351" t="str">
        <f t="shared" si="85"/>
        <v/>
      </c>
      <c r="L675" s="852" t="s">
        <v>1382</v>
      </c>
      <c r="M675" s="1366">
        <v>658</v>
      </c>
      <c r="N675" s="1351"/>
      <c r="O675" s="1348"/>
      <c r="P675" s="1348"/>
      <c r="Q675" s="1348"/>
      <c r="R675" s="1351" t="s">
        <v>1526</v>
      </c>
      <c r="S675" s="1348"/>
      <c r="T675" s="1351" t="str">
        <f t="shared" si="88"/>
        <v/>
      </c>
      <c r="U675" s="1348"/>
      <c r="V675" s="1348"/>
      <c r="W675" s="1348"/>
      <c r="X675" s="1348"/>
      <c r="Y675" s="1348"/>
      <c r="Z675" s="1348"/>
    </row>
    <row r="676" spans="1:26" x14ac:dyDescent="0.25">
      <c r="A676" s="873" t="s">
        <v>1487</v>
      </c>
      <c r="B676" s="852" t="str">
        <f t="shared" ca="1" si="90"/>
        <v>P93</v>
      </c>
      <c r="C676" s="852" t="str">
        <f t="shared" ca="1" si="91"/>
        <v>P94</v>
      </c>
      <c r="D676" s="852" t="s">
        <v>1350</v>
      </c>
      <c r="E676" s="852" t="s">
        <v>1517</v>
      </c>
      <c r="F676" s="1351" t="s">
        <v>1995</v>
      </c>
      <c r="G676" s="1351" t="str">
        <f>IF(T676&lt;&gt;"","F","")</f>
        <v/>
      </c>
      <c r="H676" s="1351" t="s">
        <v>1991</v>
      </c>
      <c r="I676" s="1307" t="str">
        <f t="shared" si="84"/>
        <v/>
      </c>
      <c r="J676" s="1351" t="str">
        <f t="shared" si="89"/>
        <v/>
      </c>
      <c r="K676" s="1351" t="str">
        <f t="shared" si="85"/>
        <v/>
      </c>
      <c r="L676" s="852" t="s">
        <v>1487</v>
      </c>
      <c r="M676" s="1366">
        <v>659</v>
      </c>
      <c r="N676" s="1351"/>
      <c r="O676" s="1348"/>
      <c r="P676" s="1348"/>
      <c r="Q676" s="1348"/>
      <c r="R676" s="1351" t="s">
        <v>1526</v>
      </c>
      <c r="S676" s="1348"/>
      <c r="T676" s="1351" t="str">
        <f t="shared" si="88"/>
        <v/>
      </c>
      <c r="U676" s="1348"/>
      <c r="V676" s="1348"/>
      <c r="W676" s="1348"/>
      <c r="X676" s="1348"/>
      <c r="Y676" s="1348"/>
      <c r="Z676" s="1348"/>
    </row>
    <row r="677" spans="1:26" x14ac:dyDescent="0.25">
      <c r="A677" s="873" t="s">
        <v>1488</v>
      </c>
      <c r="B677" s="852" t="str">
        <f t="shared" ca="1" si="90"/>
        <v>R93</v>
      </c>
      <c r="C677" s="852" t="str">
        <f t="shared" ca="1" si="91"/>
        <v>R94</v>
      </c>
      <c r="D677" s="852" t="s">
        <v>1350</v>
      </c>
      <c r="E677" s="852" t="s">
        <v>1517</v>
      </c>
      <c r="F677" s="1351" t="s">
        <v>1996</v>
      </c>
      <c r="G677" s="1351" t="str">
        <f>IF(T677&lt;&gt;"","G","")</f>
        <v/>
      </c>
      <c r="H677" s="1351" t="s">
        <v>1991</v>
      </c>
      <c r="I677" s="1307" t="str">
        <f t="shared" si="84"/>
        <v/>
      </c>
      <c r="J677" s="1351" t="str">
        <f t="shared" si="89"/>
        <v/>
      </c>
      <c r="K677" s="1351" t="str">
        <f t="shared" si="85"/>
        <v/>
      </c>
      <c r="L677" s="852" t="s">
        <v>1488</v>
      </c>
      <c r="M677" s="1366">
        <v>660</v>
      </c>
      <c r="N677" s="1351"/>
      <c r="O677" s="1348"/>
      <c r="P677" s="1348"/>
      <c r="Q677" s="1348"/>
      <c r="R677" s="1351" t="s">
        <v>1526</v>
      </c>
      <c r="S677" s="1348"/>
      <c r="T677" s="1351" t="str">
        <f t="shared" si="88"/>
        <v/>
      </c>
      <c r="U677" s="1348"/>
      <c r="V677" s="1348"/>
      <c r="W677" s="1348"/>
      <c r="X677" s="1348"/>
      <c r="Y677" s="1348"/>
      <c r="Z677" s="1348"/>
    </row>
    <row r="678" spans="1:26" x14ac:dyDescent="0.25">
      <c r="A678" s="873" t="s">
        <v>1489</v>
      </c>
      <c r="B678" s="852" t="str">
        <f t="shared" ca="1" si="90"/>
        <v>T93</v>
      </c>
      <c r="C678" s="852" t="str">
        <f t="shared" ca="1" si="91"/>
        <v>T94</v>
      </c>
      <c r="D678" s="852" t="s">
        <v>1350</v>
      </c>
      <c r="E678" s="852" t="s">
        <v>1517</v>
      </c>
      <c r="F678" s="867" t="s">
        <v>1489</v>
      </c>
      <c r="G678" s="1351" t="str">
        <f>IF(T678&lt;&gt;"","AW","")</f>
        <v/>
      </c>
      <c r="H678" s="1351" t="s">
        <v>1991</v>
      </c>
      <c r="I678" s="1307" t="str">
        <f t="shared" si="84"/>
        <v/>
      </c>
      <c r="J678" s="1351" t="str">
        <f t="shared" si="89"/>
        <v/>
      </c>
      <c r="K678" s="1351" t="str">
        <f t="shared" si="85"/>
        <v/>
      </c>
      <c r="L678" s="852" t="s">
        <v>1489</v>
      </c>
      <c r="M678" s="1366">
        <v>661</v>
      </c>
      <c r="N678" s="1351"/>
      <c r="O678" s="1348"/>
      <c r="P678" s="1348"/>
      <c r="Q678" s="1348"/>
      <c r="R678" s="1351" t="s">
        <v>1526</v>
      </c>
      <c r="S678" s="1348"/>
      <c r="T678" s="1351" t="str">
        <f t="shared" si="88"/>
        <v/>
      </c>
      <c r="U678" s="1348"/>
      <c r="V678" s="1348"/>
      <c r="W678" s="1348"/>
      <c r="X678" s="1348"/>
      <c r="Y678" s="1348"/>
      <c r="Z678" s="134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51" t="s">
        <v>1385</v>
      </c>
      <c r="G679" s="1351" t="str">
        <f>IF(T679&lt;&gt;"","C","")</f>
        <v/>
      </c>
      <c r="H679" s="1351" t="s">
        <v>1991</v>
      </c>
      <c r="I679" s="1307" t="str">
        <f t="shared" si="84"/>
        <v/>
      </c>
      <c r="J679" s="1351"/>
      <c r="K679" s="1351" t="str">
        <f t="shared" si="85"/>
        <v/>
      </c>
      <c r="L679" s="852" t="s">
        <v>1385</v>
      </c>
      <c r="M679" s="1366">
        <v>662</v>
      </c>
      <c r="N679" s="1351"/>
      <c r="O679" s="1348"/>
      <c r="P679" s="1348"/>
      <c r="Q679" s="1348"/>
      <c r="R679" s="1351" t="s">
        <v>1526</v>
      </c>
      <c r="S679" s="1348"/>
      <c r="T679" s="1351" t="str">
        <f t="shared" si="88"/>
        <v/>
      </c>
      <c r="U679" s="1348"/>
      <c r="V679" s="1348"/>
      <c r="W679" s="1348"/>
      <c r="X679" s="1348"/>
      <c r="Y679" s="1348"/>
      <c r="Z679" s="134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51" t="s">
        <v>1386</v>
      </c>
      <c r="G680" s="1351" t="str">
        <f>IF(T680&lt;&gt;"","D","")</f>
        <v/>
      </c>
      <c r="H680" s="1351" t="s">
        <v>1991</v>
      </c>
      <c r="I680" s="1307" t="str">
        <f t="shared" si="84"/>
        <v/>
      </c>
      <c r="J680" s="1351"/>
      <c r="K680" s="1351" t="str">
        <f t="shared" si="85"/>
        <v/>
      </c>
      <c r="L680" s="852" t="s">
        <v>1386</v>
      </c>
      <c r="M680" s="1366">
        <v>663</v>
      </c>
      <c r="N680" s="1351"/>
      <c r="O680" s="1348"/>
      <c r="P680" s="1348"/>
      <c r="Q680" s="1348"/>
      <c r="R680" s="1351" t="s">
        <v>1526</v>
      </c>
      <c r="S680" s="1348"/>
      <c r="T680" s="1351" t="str">
        <f t="shared" si="88"/>
        <v/>
      </c>
      <c r="U680" s="1348"/>
      <c r="V680" s="1348"/>
      <c r="W680" s="1348"/>
      <c r="X680" s="1348"/>
      <c r="Y680" s="1348"/>
      <c r="Z680" s="134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51" t="s">
        <v>1496</v>
      </c>
      <c r="G681" s="1351" t="str">
        <f>IF(T681&lt;&gt;"","AN","")</f>
        <v/>
      </c>
      <c r="H681" s="1351" t="s">
        <v>1991</v>
      </c>
      <c r="I681" s="1307" t="str">
        <f t="shared" si="84"/>
        <v/>
      </c>
      <c r="J681" s="1351" t="str">
        <f t="shared" si="89"/>
        <v/>
      </c>
      <c r="K681" s="1351" t="str">
        <f t="shared" si="85"/>
        <v/>
      </c>
      <c r="L681" s="852" t="s">
        <v>1496</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1526</v>
      </c>
      <c r="S681" s="1348"/>
      <c r="T681" s="1351" t="str">
        <f t="shared" si="88"/>
        <v/>
      </c>
      <c r="U681" s="1348"/>
      <c r="V681" s="1348"/>
      <c r="W681" s="1348"/>
      <c r="X681" s="1348"/>
      <c r="Y681" s="1348"/>
      <c r="Z681" s="134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51" t="s">
        <v>1493</v>
      </c>
      <c r="G682" s="1351" t="str">
        <f>IF(T682&lt;&gt;"","AL","")</f>
        <v/>
      </c>
      <c r="H682" s="1351" t="s">
        <v>1991</v>
      </c>
      <c r="I682" s="1307" t="str">
        <f t="shared" si="84"/>
        <v/>
      </c>
      <c r="J682" s="1351" t="str">
        <f t="shared" si="89"/>
        <v/>
      </c>
      <c r="K682" s="1351" t="str">
        <f t="shared" si="85"/>
        <v/>
      </c>
      <c r="L682" s="852" t="s">
        <v>1493</v>
      </c>
      <c r="M682" s="1366">
        <v>665</v>
      </c>
      <c r="N682" s="1351"/>
      <c r="O682" s="1348"/>
      <c r="P682" s="1348"/>
      <c r="Q682" s="1348"/>
      <c r="R682" s="1351" t="s">
        <v>1526</v>
      </c>
      <c r="S682" s="1348"/>
      <c r="T682" s="1351" t="str">
        <f t="shared" si="88"/>
        <v/>
      </c>
      <c r="U682" s="1348"/>
      <c r="V682" s="1348"/>
      <c r="W682" s="1348"/>
      <c r="X682" s="1348"/>
      <c r="Y682" s="1348"/>
      <c r="Z682" s="134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51" t="s">
        <v>1997</v>
      </c>
      <c r="G683" s="1351" t="str">
        <f>IF(T683&lt;&gt;"","L","")</f>
        <v/>
      </c>
      <c r="H683" s="1351" t="s">
        <v>1991</v>
      </c>
      <c r="I683" s="1307" t="str">
        <f t="shared" si="84"/>
        <v/>
      </c>
      <c r="J683" s="1351" t="str">
        <f t="shared" si="89"/>
        <v/>
      </c>
      <c r="K683" s="1351" t="str">
        <f t="shared" si="85"/>
        <v/>
      </c>
      <c r="L683" s="852" t="s">
        <v>1507</v>
      </c>
      <c r="M683" s="1366">
        <v>666</v>
      </c>
      <c r="N683" s="1351"/>
      <c r="O683" s="1348"/>
      <c r="P683" s="1348"/>
      <c r="Q683" s="1348"/>
      <c r="R683" s="1351" t="s">
        <v>1526</v>
      </c>
      <c r="S683" s="1348"/>
      <c r="T683" s="1351" t="str">
        <f>IF(Q$670="Yes",7,"")</f>
        <v/>
      </c>
      <c r="U683" s="1348"/>
      <c r="V683" s="1348"/>
      <c r="W683" s="1348"/>
      <c r="X683" s="1348"/>
      <c r="Y683" s="1348"/>
      <c r="Z683" s="134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51" t="str">
        <f>IF(T684&lt;&gt;"","AH","")</f>
        <v/>
      </c>
      <c r="H684" s="1351" t="s">
        <v>1991</v>
      </c>
      <c r="I684" s="1307" t="str">
        <f t="shared" si="84"/>
        <v/>
      </c>
      <c r="J684" s="1351" t="str">
        <f t="shared" si="89"/>
        <v/>
      </c>
      <c r="K684" s="1351" t="str">
        <f t="shared" si="85"/>
        <v/>
      </c>
      <c r="L684" s="852" t="s">
        <v>1387</v>
      </c>
      <c r="M684" s="1366">
        <v>667</v>
      </c>
      <c r="N684" s="1351"/>
      <c r="O684" s="1348"/>
      <c r="P684" s="1348"/>
      <c r="Q684" s="1348"/>
      <c r="R684" s="1351" t="s">
        <v>1526</v>
      </c>
      <c r="S684" s="1348"/>
      <c r="T684" s="1351" t="str">
        <f t="shared" ref="T684:T686" si="92">IF(Q$670="Yes",7,"")</f>
        <v/>
      </c>
      <c r="U684" s="1348"/>
      <c r="V684" s="1348"/>
      <c r="W684" s="1348"/>
      <c r="X684" s="1348"/>
      <c r="Y684" s="1348"/>
      <c r="Z684" s="134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51"/>
      <c r="H685" s="1351"/>
      <c r="I685" s="1307" t="str">
        <f t="shared" si="84"/>
        <v/>
      </c>
      <c r="J685" s="1351"/>
      <c r="K685" s="1351" t="str">
        <f t="shared" si="85"/>
        <v/>
      </c>
      <c r="L685" s="852" t="s">
        <v>1388</v>
      </c>
      <c r="M685" s="1366">
        <v>668</v>
      </c>
      <c r="N685" s="1351"/>
      <c r="O685" s="1348"/>
      <c r="P685" s="1348"/>
      <c r="Q685" s="1348"/>
      <c r="R685" s="1351" t="s">
        <v>1526</v>
      </c>
      <c r="S685" s="1348"/>
      <c r="T685" s="1351" t="str">
        <f t="shared" si="92"/>
        <v/>
      </c>
      <c r="U685" s="1348"/>
      <c r="V685" s="1348"/>
      <c r="W685" s="1348"/>
      <c r="X685" s="1348"/>
      <c r="Y685" s="1348"/>
      <c r="Z685" s="134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51" t="s">
        <v>1913</v>
      </c>
      <c r="G686" s="1351" t="str">
        <f>IF(T686&lt;&gt;"","AI","")</f>
        <v/>
      </c>
      <c r="H686" s="1351" t="s">
        <v>1991</v>
      </c>
      <c r="I686" s="1307" t="str">
        <f t="shared" si="84"/>
        <v/>
      </c>
      <c r="J686" s="1351"/>
      <c r="K686" s="1351" t="str">
        <f t="shared" si="85"/>
        <v/>
      </c>
      <c r="L686" s="852" t="s">
        <v>1389</v>
      </c>
      <c r="M686" s="1366">
        <v>669</v>
      </c>
      <c r="N686" s="1351"/>
      <c r="O686" s="1348"/>
      <c r="P686" s="1348"/>
      <c r="Q686" s="1348"/>
      <c r="R686" s="1351" t="s">
        <v>1526</v>
      </c>
      <c r="S686" s="1348"/>
      <c r="T686" s="1351" t="str">
        <f t="shared" si="92"/>
        <v/>
      </c>
      <c r="U686" s="1348"/>
      <c r="V686" s="1348"/>
      <c r="W686" s="1348"/>
      <c r="X686" s="1348"/>
      <c r="Y686" s="1348"/>
      <c r="Z686" s="134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51" t="s">
        <v>1492</v>
      </c>
      <c r="G687" s="1351" t="str">
        <f>IF(T687&lt;&gt;"","A","")</f>
        <v/>
      </c>
      <c r="H687" s="1351" t="s">
        <v>1991</v>
      </c>
      <c r="I687" s="1307" t="str">
        <f t="shared" si="84"/>
        <v/>
      </c>
      <c r="J687" s="1351"/>
      <c r="K687" s="1351" t="str">
        <f t="shared" si="85"/>
        <v/>
      </c>
      <c r="L687" s="852" t="s">
        <v>1492</v>
      </c>
      <c r="M687" s="1366">
        <v>670</v>
      </c>
      <c r="N687" s="1351"/>
      <c r="O687" s="1348" t="s">
        <v>725</v>
      </c>
      <c r="P687" s="1348"/>
      <c r="Q687" s="1348"/>
      <c r="R687" s="1351" t="s">
        <v>1526</v>
      </c>
      <c r="S687" s="1348"/>
      <c r="T687" s="1351" t="str">
        <f t="shared" ref="T687:T704" si="93">IF(Q$688="Yes",8,"")</f>
        <v/>
      </c>
      <c r="U687" s="1348"/>
      <c r="V687" s="1348"/>
      <c r="W687" s="1348"/>
      <c r="X687" s="1348"/>
      <c r="Y687" s="1348"/>
      <c r="Z687" s="134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51"/>
      <c r="G688" s="1351"/>
      <c r="H688" s="1351"/>
      <c r="I688" s="1307" t="str">
        <f t="shared" si="84"/>
        <v/>
      </c>
      <c r="J688" s="1351" t="str">
        <f t="shared" ref="J688:J702" si="94">IF(M688&lt;&gt;"",IF($Q$688="Yes",Q$1&amp;M688,""))</f>
        <v/>
      </c>
      <c r="K688" s="1351" t="str">
        <f t="shared" si="85"/>
        <v/>
      </c>
      <c r="L688" s="852" t="s">
        <v>1706</v>
      </c>
      <c r="M688" s="1366">
        <v>671</v>
      </c>
      <c r="N688" s="1351"/>
      <c r="O688" s="1348">
        <f>'Configurable Tab'!H10</f>
        <v>105</v>
      </c>
      <c r="P688" s="1447" t="str">
        <f>'Configurable Tab'!J10</f>
        <v>Yes</v>
      </c>
      <c r="Q688" s="1388" t="s">
        <v>648</v>
      </c>
      <c r="R688" s="1351" t="s">
        <v>1526</v>
      </c>
      <c r="S688" s="1348"/>
      <c r="T688" s="1351" t="str">
        <f t="shared" si="93"/>
        <v/>
      </c>
      <c r="U688" s="1348"/>
      <c r="V688" s="1348"/>
      <c r="W688" s="1348"/>
      <c r="X688" s="1348"/>
      <c r="Y688" s="1348"/>
      <c r="Z688" s="134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51" t="s">
        <v>1383</v>
      </c>
      <c r="G689" s="1351" t="str">
        <f>IF(T689&lt;&gt;"","B","")</f>
        <v/>
      </c>
      <c r="H689" s="1351" t="s">
        <v>1991</v>
      </c>
      <c r="I689" s="1307" t="str">
        <f t="shared" si="84"/>
        <v/>
      </c>
      <c r="J689" s="1351"/>
      <c r="K689" s="1351" t="str">
        <f t="shared" si="85"/>
        <v/>
      </c>
      <c r="L689" s="852" t="s">
        <v>1383</v>
      </c>
      <c r="M689" s="1366">
        <v>672</v>
      </c>
      <c r="N689" s="1351"/>
      <c r="O689" s="1348" t="s">
        <v>726</v>
      </c>
      <c r="P689" s="1348"/>
      <c r="Q689" s="1348"/>
      <c r="R689" s="1351" t="s">
        <v>1526</v>
      </c>
      <c r="S689" s="1348"/>
      <c r="T689" s="1351" t="str">
        <f t="shared" si="93"/>
        <v/>
      </c>
      <c r="U689" s="1348"/>
      <c r="V689" s="1348"/>
      <c r="W689" s="1348"/>
      <c r="X689" s="1348"/>
      <c r="Y689" s="1348"/>
      <c r="Z689" s="134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51" t="s">
        <v>1992</v>
      </c>
      <c r="G690" s="1351" t="str">
        <f>IF(T690&lt;&gt;"","E","")</f>
        <v/>
      </c>
      <c r="H690" s="1351" t="s">
        <v>1991</v>
      </c>
      <c r="I690" s="1307" t="str">
        <f t="shared" si="84"/>
        <v/>
      </c>
      <c r="J690" s="1351" t="str">
        <f t="shared" si="94"/>
        <v/>
      </c>
      <c r="K690" s="1351" t="str">
        <f t="shared" si="85"/>
        <v/>
      </c>
      <c r="L690" s="852" t="s">
        <v>1380</v>
      </c>
      <c r="M690" s="1366">
        <v>673</v>
      </c>
      <c r="N690" s="1351"/>
      <c r="O690" s="1348">
        <f>'Configurable Tab'!I10</f>
        <v>118</v>
      </c>
      <c r="P690" s="1348"/>
      <c r="Q690" s="1348"/>
      <c r="R690" s="1351" t="s">
        <v>1526</v>
      </c>
      <c r="S690" s="1348"/>
      <c r="T690" s="1351" t="str">
        <f t="shared" si="93"/>
        <v/>
      </c>
      <c r="U690" s="1348"/>
      <c r="V690" s="1348"/>
      <c r="W690" s="1348"/>
      <c r="X690" s="1348"/>
      <c r="Y690" s="1348"/>
      <c r="Z690" s="1348"/>
    </row>
    <row r="691" spans="1:26" x14ac:dyDescent="0.25">
      <c r="A691" s="876" t="s">
        <v>1381</v>
      </c>
      <c r="B691" s="852" t="str">
        <f t="shared" ca="1" si="95"/>
        <v>J107</v>
      </c>
      <c r="C691" s="852" t="str">
        <f t="shared" ca="1" si="96"/>
        <v>J108</v>
      </c>
      <c r="D691" s="852" t="s">
        <v>1350</v>
      </c>
      <c r="E691" s="852" t="s">
        <v>1517</v>
      </c>
      <c r="F691" s="1351" t="s">
        <v>1993</v>
      </c>
      <c r="G691" s="1351" t="str">
        <f>IF(T691&lt;&gt;"","I","")</f>
        <v/>
      </c>
      <c r="H691" s="1351" t="s">
        <v>1991</v>
      </c>
      <c r="I691" s="1307" t="str">
        <f t="shared" si="84"/>
        <v/>
      </c>
      <c r="J691" s="1351" t="str">
        <f t="shared" si="94"/>
        <v/>
      </c>
      <c r="K691" s="1351" t="str">
        <f t="shared" si="85"/>
        <v/>
      </c>
      <c r="L691" s="852" t="s">
        <v>1381</v>
      </c>
      <c r="M691" s="1366">
        <v>674</v>
      </c>
      <c r="N691" s="1351"/>
      <c r="O691" s="1348" t="s">
        <v>1640</v>
      </c>
      <c r="P691" s="1348"/>
      <c r="Q691" s="1348"/>
      <c r="R691" s="1351" t="s">
        <v>1526</v>
      </c>
      <c r="S691" s="1348"/>
      <c r="T691" s="1351" t="str">
        <f t="shared" si="93"/>
        <v/>
      </c>
      <c r="U691" s="1348"/>
      <c r="V691" s="1348"/>
      <c r="W691" s="1348"/>
      <c r="X691" s="1348"/>
      <c r="Y691" s="1348"/>
      <c r="Z691" s="1348"/>
    </row>
    <row r="692" spans="1:26" x14ac:dyDescent="0.25">
      <c r="A692" s="876" t="s">
        <v>1397</v>
      </c>
      <c r="B692" s="852" t="str">
        <f t="shared" ca="1" si="95"/>
        <v>L107</v>
      </c>
      <c r="C692" s="852" t="str">
        <f t="shared" ca="1" si="96"/>
        <v>L108</v>
      </c>
      <c r="D692" s="852" t="s">
        <v>1350</v>
      </c>
      <c r="E692" s="852" t="s">
        <v>1517</v>
      </c>
      <c r="F692" s="1351" t="s">
        <v>1994</v>
      </c>
      <c r="G692" s="1351" t="str">
        <f>IF(T692&lt;&gt;"","H","")</f>
        <v/>
      </c>
      <c r="H692" s="1351" t="s">
        <v>1991</v>
      </c>
      <c r="I692" s="1307" t="str">
        <f t="shared" si="84"/>
        <v/>
      </c>
      <c r="J692" s="1351" t="str">
        <f t="shared" si="94"/>
        <v/>
      </c>
      <c r="K692" s="1351" t="str">
        <f t="shared" si="85"/>
        <v/>
      </c>
      <c r="L692" s="852" t="s">
        <v>1397</v>
      </c>
      <c r="M692" s="1366">
        <v>675</v>
      </c>
      <c r="N692" s="1351"/>
      <c r="O692" s="1348"/>
      <c r="P692" s="1348"/>
      <c r="Q692" s="1348"/>
      <c r="R692" s="1351" t="s">
        <v>1526</v>
      </c>
      <c r="S692" s="1348"/>
      <c r="T692" s="1351" t="str">
        <f t="shared" si="93"/>
        <v/>
      </c>
      <c r="U692" s="1348"/>
      <c r="V692" s="1348"/>
      <c r="W692" s="1348"/>
      <c r="X692" s="1348"/>
      <c r="Y692" s="1348"/>
      <c r="Z692" s="1348"/>
    </row>
    <row r="693" spans="1:26" x14ac:dyDescent="0.25">
      <c r="A693" s="876" t="s">
        <v>1382</v>
      </c>
      <c r="B693" s="852" t="str">
        <f t="shared" ca="1" si="95"/>
        <v>N107</v>
      </c>
      <c r="C693" s="852" t="str">
        <f t="shared" ca="1" si="96"/>
        <v>N108</v>
      </c>
      <c r="D693" s="852" t="s">
        <v>1350</v>
      </c>
      <c r="E693" s="852" t="s">
        <v>1517</v>
      </c>
      <c r="F693" s="1351" t="s">
        <v>1382</v>
      </c>
      <c r="G693" s="1351" t="str">
        <f>IF(T693&lt;&gt;"",IF(Q691="Credit Memo","J",IF(Q691="Check","K","")),"")</f>
        <v/>
      </c>
      <c r="H693" s="1351" t="s">
        <v>1991</v>
      </c>
      <c r="I693" s="1307" t="str">
        <f t="shared" si="84"/>
        <v/>
      </c>
      <c r="J693" s="1351" t="str">
        <f t="shared" si="94"/>
        <v/>
      </c>
      <c r="K693" s="1351" t="str">
        <f t="shared" si="85"/>
        <v/>
      </c>
      <c r="L693" s="852" t="s">
        <v>1382</v>
      </c>
      <c r="M693" s="1366">
        <v>676</v>
      </c>
      <c r="N693" s="1351"/>
      <c r="O693" s="1348"/>
      <c r="P693" s="1348"/>
      <c r="Q693" s="1348"/>
      <c r="R693" s="1351" t="s">
        <v>1526</v>
      </c>
      <c r="S693" s="1348"/>
      <c r="T693" s="1351" t="str">
        <f t="shared" si="93"/>
        <v/>
      </c>
      <c r="U693" s="1348"/>
      <c r="V693" s="1348"/>
      <c r="W693" s="1348"/>
      <c r="X693" s="1348"/>
      <c r="Y693" s="1348"/>
      <c r="Z693" s="1348"/>
    </row>
    <row r="694" spans="1:26" x14ac:dyDescent="0.25">
      <c r="A694" s="876" t="s">
        <v>1487</v>
      </c>
      <c r="B694" s="852" t="str">
        <f t="shared" ca="1" si="95"/>
        <v>P107</v>
      </c>
      <c r="C694" s="852" t="str">
        <f t="shared" ca="1" si="96"/>
        <v>P108</v>
      </c>
      <c r="D694" s="852" t="s">
        <v>1350</v>
      </c>
      <c r="E694" s="852" t="s">
        <v>1517</v>
      </c>
      <c r="F694" s="1351" t="s">
        <v>1995</v>
      </c>
      <c r="G694" s="1351" t="str">
        <f>IF(T694&lt;&gt;"","F","")</f>
        <v/>
      </c>
      <c r="H694" s="1351" t="s">
        <v>1991</v>
      </c>
      <c r="I694" s="1307" t="str">
        <f t="shared" si="84"/>
        <v/>
      </c>
      <c r="J694" s="1351" t="str">
        <f t="shared" si="94"/>
        <v/>
      </c>
      <c r="K694" s="1351" t="str">
        <f t="shared" si="85"/>
        <v/>
      </c>
      <c r="L694" s="852" t="s">
        <v>1487</v>
      </c>
      <c r="M694" s="1366">
        <v>677</v>
      </c>
      <c r="N694" s="1351"/>
      <c r="O694" s="1348"/>
      <c r="P694" s="1348"/>
      <c r="Q694" s="1348"/>
      <c r="R694" s="1351" t="s">
        <v>1526</v>
      </c>
      <c r="S694" s="1348"/>
      <c r="T694" s="1351" t="str">
        <f t="shared" si="93"/>
        <v/>
      </c>
      <c r="U694" s="1348"/>
      <c r="V694" s="1348"/>
      <c r="W694" s="1348"/>
      <c r="X694" s="1348"/>
      <c r="Y694" s="1348"/>
      <c r="Z694" s="1348"/>
    </row>
    <row r="695" spans="1:26" x14ac:dyDescent="0.25">
      <c r="A695" s="876" t="s">
        <v>1488</v>
      </c>
      <c r="B695" s="852" t="str">
        <f t="shared" ca="1" si="95"/>
        <v>R107</v>
      </c>
      <c r="C695" s="852" t="str">
        <f t="shared" ca="1" si="96"/>
        <v>R108</v>
      </c>
      <c r="D695" s="852" t="s">
        <v>1350</v>
      </c>
      <c r="E695" s="852" t="s">
        <v>1517</v>
      </c>
      <c r="F695" s="1351" t="s">
        <v>1996</v>
      </c>
      <c r="G695" s="1351" t="str">
        <f>IF(T695&lt;&gt;"","G","")</f>
        <v/>
      </c>
      <c r="H695" s="1351" t="s">
        <v>1991</v>
      </c>
      <c r="I695" s="1307" t="str">
        <f t="shared" si="84"/>
        <v/>
      </c>
      <c r="J695" s="1351" t="str">
        <f t="shared" si="94"/>
        <v/>
      </c>
      <c r="K695" s="1351" t="str">
        <f t="shared" si="85"/>
        <v/>
      </c>
      <c r="L695" s="852" t="s">
        <v>1488</v>
      </c>
      <c r="M695" s="1366">
        <v>678</v>
      </c>
      <c r="N695" s="1351"/>
      <c r="O695" s="1348"/>
      <c r="P695" s="1348"/>
      <c r="Q695" s="1348"/>
      <c r="R695" s="1351" t="s">
        <v>1526</v>
      </c>
      <c r="S695" s="1348"/>
      <c r="T695" s="1351" t="str">
        <f t="shared" si="93"/>
        <v/>
      </c>
      <c r="U695" s="1348"/>
      <c r="V695" s="1348"/>
      <c r="W695" s="1348"/>
      <c r="X695" s="1348"/>
      <c r="Y695" s="1348"/>
      <c r="Z695" s="1348"/>
    </row>
    <row r="696" spans="1:26" x14ac:dyDescent="0.25">
      <c r="A696" s="876" t="s">
        <v>1489</v>
      </c>
      <c r="B696" s="852" t="str">
        <f t="shared" ca="1" si="95"/>
        <v>T107</v>
      </c>
      <c r="C696" s="852" t="str">
        <f t="shared" ca="1" si="96"/>
        <v>T108</v>
      </c>
      <c r="D696" s="852" t="s">
        <v>1350</v>
      </c>
      <c r="E696" s="852" t="s">
        <v>1517</v>
      </c>
      <c r="F696" s="867" t="s">
        <v>1489</v>
      </c>
      <c r="G696" s="1351" t="str">
        <f>IF(T696&lt;&gt;"","AW","")</f>
        <v/>
      </c>
      <c r="H696" s="1351" t="s">
        <v>1991</v>
      </c>
      <c r="I696" s="1307" t="str">
        <f t="shared" si="84"/>
        <v/>
      </c>
      <c r="J696" s="1351" t="str">
        <f t="shared" si="94"/>
        <v/>
      </c>
      <c r="K696" s="1351" t="str">
        <f t="shared" si="85"/>
        <v/>
      </c>
      <c r="L696" s="852" t="s">
        <v>1489</v>
      </c>
      <c r="M696" s="1366">
        <v>679</v>
      </c>
      <c r="N696" s="1351"/>
      <c r="O696" s="1348"/>
      <c r="P696" s="1348"/>
      <c r="Q696" s="1348"/>
      <c r="R696" s="1351" t="s">
        <v>1526</v>
      </c>
      <c r="S696" s="1348"/>
      <c r="T696" s="1351" t="str">
        <f t="shared" si="93"/>
        <v/>
      </c>
      <c r="U696" s="1348"/>
      <c r="V696" s="1348"/>
      <c r="W696" s="1348"/>
      <c r="X696" s="1348"/>
      <c r="Y696" s="1348"/>
      <c r="Z696" s="134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51" t="s">
        <v>1385</v>
      </c>
      <c r="G697" s="1351" t="str">
        <f>IF(T697&lt;&gt;"","C","")</f>
        <v/>
      </c>
      <c r="H697" s="1351" t="s">
        <v>1991</v>
      </c>
      <c r="I697" s="1307" t="str">
        <f t="shared" si="84"/>
        <v/>
      </c>
      <c r="J697" s="1351"/>
      <c r="K697" s="1351" t="str">
        <f t="shared" si="85"/>
        <v/>
      </c>
      <c r="L697" s="852" t="s">
        <v>1385</v>
      </c>
      <c r="M697" s="1366">
        <v>680</v>
      </c>
      <c r="N697" s="1351"/>
      <c r="O697" s="1348"/>
      <c r="P697" s="1348"/>
      <c r="Q697" s="1348"/>
      <c r="R697" s="1351" t="s">
        <v>1526</v>
      </c>
      <c r="S697" s="1348"/>
      <c r="T697" s="1351" t="str">
        <f t="shared" si="93"/>
        <v/>
      </c>
      <c r="U697" s="1348"/>
      <c r="V697" s="1348"/>
      <c r="W697" s="1348"/>
      <c r="X697" s="1348"/>
      <c r="Y697" s="1348"/>
      <c r="Z697" s="134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51" t="s">
        <v>1386</v>
      </c>
      <c r="G698" s="1351" t="str">
        <f>IF(T698&lt;&gt;"","D","")</f>
        <v/>
      </c>
      <c r="H698" s="1351" t="s">
        <v>1991</v>
      </c>
      <c r="I698" s="1307" t="str">
        <f t="shared" si="84"/>
        <v/>
      </c>
      <c r="J698" s="1351"/>
      <c r="K698" s="1351" t="str">
        <f t="shared" si="85"/>
        <v/>
      </c>
      <c r="L698" s="852" t="s">
        <v>1386</v>
      </c>
      <c r="M698" s="1366">
        <v>681</v>
      </c>
      <c r="N698" s="1351"/>
      <c r="O698" s="1348"/>
      <c r="P698" s="1348"/>
      <c r="Q698" s="1348"/>
      <c r="R698" s="1351" t="s">
        <v>1526</v>
      </c>
      <c r="S698" s="1348"/>
      <c r="T698" s="1351" t="str">
        <f t="shared" si="93"/>
        <v/>
      </c>
      <c r="U698" s="1348"/>
      <c r="V698" s="1348"/>
      <c r="W698" s="1348"/>
      <c r="X698" s="1348"/>
      <c r="Y698" s="1348"/>
      <c r="Z698" s="134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51" t="s">
        <v>1496</v>
      </c>
      <c r="G699" s="1351" t="str">
        <f>IF(T699&lt;&gt;"","AN","")</f>
        <v/>
      </c>
      <c r="H699" s="1351" t="s">
        <v>1991</v>
      </c>
      <c r="I699" s="1307" t="str">
        <f t="shared" si="84"/>
        <v/>
      </c>
      <c r="J699" s="1351" t="str">
        <f t="shared" si="94"/>
        <v/>
      </c>
      <c r="K699" s="1351" t="str">
        <f t="shared" si="85"/>
        <v/>
      </c>
      <c r="L699" s="852" t="s">
        <v>1496</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1526</v>
      </c>
      <c r="S699" s="1348"/>
      <c r="T699" s="1351" t="str">
        <f t="shared" si="93"/>
        <v/>
      </c>
      <c r="U699" s="1348"/>
      <c r="V699" s="1348"/>
      <c r="W699" s="1348"/>
      <c r="X699" s="1348"/>
      <c r="Y699" s="1348"/>
      <c r="Z699" s="134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51" t="s">
        <v>1493</v>
      </c>
      <c r="G700" s="1351" t="str">
        <f>IF(T700&lt;&gt;"","AL","")</f>
        <v/>
      </c>
      <c r="H700" s="1351" t="s">
        <v>1991</v>
      </c>
      <c r="I700" s="1307" t="str">
        <f t="shared" si="84"/>
        <v/>
      </c>
      <c r="J700" s="1351" t="str">
        <f t="shared" si="94"/>
        <v/>
      </c>
      <c r="K700" s="1351" t="str">
        <f t="shared" si="85"/>
        <v/>
      </c>
      <c r="L700" s="852" t="s">
        <v>1493</v>
      </c>
      <c r="M700" s="1366">
        <v>683</v>
      </c>
      <c r="N700" s="1351"/>
      <c r="O700" s="1348"/>
      <c r="P700" s="1348"/>
      <c r="Q700" s="1348"/>
      <c r="R700" s="1351" t="s">
        <v>1526</v>
      </c>
      <c r="S700" s="1348"/>
      <c r="T700" s="1351" t="str">
        <f t="shared" si="93"/>
        <v/>
      </c>
      <c r="U700" s="1348"/>
      <c r="V700" s="1348"/>
      <c r="W700" s="1348"/>
      <c r="X700" s="1348"/>
      <c r="Y700" s="1348"/>
      <c r="Z700" s="134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51" t="s">
        <v>1997</v>
      </c>
      <c r="G701" s="1351" t="str">
        <f>IF(T701&lt;&gt;"","L","")</f>
        <v/>
      </c>
      <c r="H701" s="1351" t="s">
        <v>1991</v>
      </c>
      <c r="I701" s="1307" t="str">
        <f t="shared" si="84"/>
        <v/>
      </c>
      <c r="J701" s="1351" t="str">
        <f t="shared" si="94"/>
        <v/>
      </c>
      <c r="K701" s="1351" t="str">
        <f t="shared" si="85"/>
        <v/>
      </c>
      <c r="L701" s="852" t="s">
        <v>1507</v>
      </c>
      <c r="M701" s="1366">
        <v>684</v>
      </c>
      <c r="N701" s="1351"/>
      <c r="O701" s="1348"/>
      <c r="P701" s="1348"/>
      <c r="Q701" s="1348"/>
      <c r="R701" s="1351" t="s">
        <v>1526</v>
      </c>
      <c r="S701" s="1348"/>
      <c r="T701" s="1351" t="str">
        <f t="shared" si="93"/>
        <v/>
      </c>
      <c r="U701" s="1348"/>
      <c r="V701" s="1348"/>
      <c r="W701" s="1348"/>
      <c r="X701" s="1348"/>
      <c r="Y701" s="1348"/>
      <c r="Z701" s="134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51" t="str">
        <f>IF(T702&lt;&gt;"","AH","")</f>
        <v/>
      </c>
      <c r="H702" s="1351" t="s">
        <v>1991</v>
      </c>
      <c r="I702" s="1307" t="str">
        <f t="shared" si="84"/>
        <v/>
      </c>
      <c r="J702" s="1351" t="str">
        <f t="shared" si="94"/>
        <v/>
      </c>
      <c r="K702" s="1351" t="str">
        <f t="shared" si="85"/>
        <v/>
      </c>
      <c r="L702" s="852" t="s">
        <v>1387</v>
      </c>
      <c r="M702" s="1366">
        <v>685</v>
      </c>
      <c r="N702" s="1351"/>
      <c r="O702" s="1348"/>
      <c r="P702" s="1348"/>
      <c r="Q702" s="1348"/>
      <c r="R702" s="1351" t="s">
        <v>1526</v>
      </c>
      <c r="S702" s="1348"/>
      <c r="T702" s="1351" t="str">
        <f t="shared" si="93"/>
        <v/>
      </c>
      <c r="U702" s="1348"/>
      <c r="V702" s="1348"/>
      <c r="W702" s="1348"/>
      <c r="X702" s="1348"/>
      <c r="Y702" s="1348"/>
      <c r="Z702" s="134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51"/>
      <c r="H703" s="1351"/>
      <c r="I703" s="1307" t="str">
        <f t="shared" si="84"/>
        <v/>
      </c>
      <c r="J703" s="1351"/>
      <c r="K703" s="1351" t="str">
        <f t="shared" si="85"/>
        <v/>
      </c>
      <c r="L703" s="852" t="s">
        <v>1388</v>
      </c>
      <c r="M703" s="1366">
        <v>686</v>
      </c>
      <c r="N703" s="1351"/>
      <c r="O703" s="1348"/>
      <c r="P703" s="1348"/>
      <c r="Q703" s="1348"/>
      <c r="R703" s="1351" t="s">
        <v>1526</v>
      </c>
      <c r="S703" s="1348"/>
      <c r="T703" s="1351" t="str">
        <f t="shared" si="93"/>
        <v/>
      </c>
      <c r="U703" s="1348"/>
      <c r="V703" s="1348"/>
      <c r="W703" s="1348"/>
      <c r="X703" s="1348"/>
      <c r="Y703" s="1348"/>
      <c r="Z703" s="134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51" t="s">
        <v>1913</v>
      </c>
      <c r="G704" s="1351" t="str">
        <f>IF(T704&lt;&gt;"","AI","")</f>
        <v/>
      </c>
      <c r="H704" s="1351" t="s">
        <v>1991</v>
      </c>
      <c r="I704" s="1307" t="str">
        <f t="shared" si="84"/>
        <v/>
      </c>
      <c r="J704" s="1351"/>
      <c r="K704" s="1351" t="str">
        <f t="shared" si="85"/>
        <v/>
      </c>
      <c r="L704" s="852" t="s">
        <v>1389</v>
      </c>
      <c r="M704" s="1366">
        <v>687</v>
      </c>
      <c r="N704" s="1351"/>
      <c r="O704" s="1348"/>
      <c r="P704" s="1348"/>
      <c r="Q704" s="1348"/>
      <c r="R704" s="1351" t="s">
        <v>1526</v>
      </c>
      <c r="S704" s="1348"/>
      <c r="T704" s="1351" t="str">
        <f t="shared" si="93"/>
        <v/>
      </c>
      <c r="U704" s="1348"/>
      <c r="V704" s="1348"/>
      <c r="W704" s="1348"/>
      <c r="X704" s="1348"/>
      <c r="Y704" s="1348"/>
      <c r="Z704" s="134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51" t="s">
        <v>1492</v>
      </c>
      <c r="G705" s="1351" t="str">
        <f>IF(T705&lt;&gt;"","A","")</f>
        <v/>
      </c>
      <c r="H705" s="1351" t="s">
        <v>1991</v>
      </c>
      <c r="I705" s="1307" t="str">
        <f t="shared" si="84"/>
        <v/>
      </c>
      <c r="J705" s="1351"/>
      <c r="K705" s="1351" t="str">
        <f t="shared" si="85"/>
        <v/>
      </c>
      <c r="L705" s="852" t="s">
        <v>1492</v>
      </c>
      <c r="M705" s="1366">
        <v>688</v>
      </c>
      <c r="N705" s="1351"/>
      <c r="O705" s="1348" t="s">
        <v>725</v>
      </c>
      <c r="P705" s="1348"/>
      <c r="Q705" s="1348"/>
      <c r="R705" s="1351" t="s">
        <v>1526</v>
      </c>
      <c r="S705" s="1348"/>
      <c r="T705" s="1351" t="str">
        <f t="shared" ref="T705:T718" si="97">IF(Q$706="Yes",9,"")</f>
        <v/>
      </c>
      <c r="U705" s="1348"/>
      <c r="V705" s="1348"/>
      <c r="W705" s="1348"/>
      <c r="X705" s="1348"/>
      <c r="Y705" s="1348"/>
      <c r="Z705" s="134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51"/>
      <c r="G706" s="1351"/>
      <c r="H706" s="1351"/>
      <c r="I706" s="1307" t="str">
        <f t="shared" si="84"/>
        <v/>
      </c>
      <c r="J706" s="1351" t="str">
        <f t="shared" ref="J706:J732" si="98">IF(M706&lt;&gt;"",IF($Q$706="Yes",Q$1&amp;M706,""))</f>
        <v/>
      </c>
      <c r="K706" s="1351" t="str">
        <f t="shared" si="85"/>
        <v/>
      </c>
      <c r="L706" s="852" t="s">
        <v>1706</v>
      </c>
      <c r="M706" s="1366">
        <v>689</v>
      </c>
      <c r="N706" s="1351"/>
      <c r="O706" s="1348">
        <f>'Configurable Tab'!H11</f>
        <v>119</v>
      </c>
      <c r="P706" s="1447" t="str">
        <f>'Configurable Tab'!J11</f>
        <v>Yes</v>
      </c>
      <c r="Q706" s="1388" t="s">
        <v>648</v>
      </c>
      <c r="R706" s="1351" t="s">
        <v>1526</v>
      </c>
      <c r="S706" s="1348"/>
      <c r="T706" s="1351" t="str">
        <f t="shared" si="97"/>
        <v/>
      </c>
      <c r="U706" s="1348"/>
      <c r="V706" s="1348"/>
      <c r="W706" s="1348"/>
      <c r="X706" s="1348"/>
      <c r="Y706" s="1348"/>
      <c r="Z706" s="134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51" t="s">
        <v>1383</v>
      </c>
      <c r="G707" s="1351" t="str">
        <f>IF(T707&lt;&gt;"","B","")</f>
        <v/>
      </c>
      <c r="H707" s="1351" t="s">
        <v>1991</v>
      </c>
      <c r="I707" s="1307" t="str">
        <f t="shared" si="84"/>
        <v/>
      </c>
      <c r="J707" s="1351"/>
      <c r="K707" s="1351" t="str">
        <f t="shared" si="85"/>
        <v/>
      </c>
      <c r="L707" s="852" t="s">
        <v>1383</v>
      </c>
      <c r="M707" s="1366">
        <v>690</v>
      </c>
      <c r="N707" s="1351"/>
      <c r="O707" s="1348" t="s">
        <v>726</v>
      </c>
      <c r="P707" s="1348"/>
      <c r="Q707" s="1348"/>
      <c r="R707" s="1351" t="s">
        <v>1526</v>
      </c>
      <c r="S707" s="1348"/>
      <c r="T707" s="1351" t="str">
        <f t="shared" si="97"/>
        <v/>
      </c>
      <c r="U707" s="1348"/>
      <c r="V707" s="1348"/>
      <c r="W707" s="1348"/>
      <c r="X707" s="1348"/>
      <c r="Y707" s="1348"/>
      <c r="Z707" s="134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51" t="s">
        <v>1992</v>
      </c>
      <c r="G708" s="1351" t="str">
        <f>IF(T708&lt;&gt;"","E","")</f>
        <v/>
      </c>
      <c r="H708" s="1351" t="s">
        <v>1991</v>
      </c>
      <c r="I708" s="1307" t="str">
        <f t="shared" ref="I708:I771" si="101">IF(J708&lt;&gt;"",A708,"")</f>
        <v/>
      </c>
      <c r="J708" s="1351" t="str">
        <f t="shared" si="98"/>
        <v/>
      </c>
      <c r="K708" s="1351" t="str">
        <f t="shared" ref="K708:K771" si="102">IF(J708&lt;&gt;"",E708,"")</f>
        <v/>
      </c>
      <c r="L708" s="852" t="s">
        <v>1380</v>
      </c>
      <c r="M708" s="1366">
        <v>691</v>
      </c>
      <c r="N708" s="1351"/>
      <c r="O708" s="1348">
        <f>'Configurable Tab'!I11</f>
        <v>134</v>
      </c>
      <c r="P708" s="1348"/>
      <c r="Q708" s="1348"/>
      <c r="R708" s="1351" t="s">
        <v>1526</v>
      </c>
      <c r="S708" s="1348"/>
      <c r="T708" s="1351" t="str">
        <f t="shared" si="97"/>
        <v/>
      </c>
      <c r="U708" s="1348"/>
      <c r="V708" s="1348"/>
      <c r="W708" s="1348"/>
      <c r="X708" s="1348"/>
      <c r="Y708" s="1348"/>
      <c r="Z708" s="1348"/>
    </row>
    <row r="709" spans="1:26" x14ac:dyDescent="0.25">
      <c r="A709" s="873" t="s">
        <v>1381</v>
      </c>
      <c r="B709" s="852" t="str">
        <f t="shared" ca="1" si="99"/>
        <v>J121</v>
      </c>
      <c r="C709" s="852" t="str">
        <f t="shared" ca="1" si="100"/>
        <v>J122</v>
      </c>
      <c r="D709" s="852" t="s">
        <v>1350</v>
      </c>
      <c r="E709" s="852" t="s">
        <v>1517</v>
      </c>
      <c r="F709" s="1351" t="s">
        <v>1993</v>
      </c>
      <c r="G709" s="1351" t="str">
        <f>IF(T709&lt;&gt;"","I","")</f>
        <v/>
      </c>
      <c r="H709" s="1351" t="s">
        <v>1991</v>
      </c>
      <c r="I709" s="1307" t="str">
        <f t="shared" si="101"/>
        <v/>
      </c>
      <c r="J709" s="1351" t="str">
        <f t="shared" si="98"/>
        <v/>
      </c>
      <c r="K709" s="1351" t="str">
        <f t="shared" si="102"/>
        <v/>
      </c>
      <c r="L709" s="852" t="s">
        <v>1381</v>
      </c>
      <c r="M709" s="1366">
        <v>692</v>
      </c>
      <c r="N709" s="1351"/>
      <c r="O709" s="1348" t="s">
        <v>1641</v>
      </c>
      <c r="P709" s="1348"/>
      <c r="Q709" s="1348"/>
      <c r="R709" s="1351" t="s">
        <v>1526</v>
      </c>
      <c r="S709" s="1348"/>
      <c r="T709" s="1351" t="str">
        <f t="shared" si="97"/>
        <v/>
      </c>
      <c r="U709" s="1348"/>
      <c r="V709" s="1348"/>
      <c r="W709" s="1348"/>
      <c r="X709" s="1348"/>
      <c r="Y709" s="1348"/>
      <c r="Z709" s="1348"/>
    </row>
    <row r="710" spans="1:26" x14ac:dyDescent="0.25">
      <c r="A710" s="873" t="s">
        <v>1397</v>
      </c>
      <c r="B710" s="852" t="str">
        <f t="shared" ca="1" si="99"/>
        <v>L121</v>
      </c>
      <c r="C710" s="852" t="str">
        <f t="shared" ca="1" si="100"/>
        <v>L122</v>
      </c>
      <c r="D710" s="852" t="s">
        <v>1350</v>
      </c>
      <c r="E710" s="852" t="s">
        <v>1517</v>
      </c>
      <c r="F710" s="1351" t="s">
        <v>1994</v>
      </c>
      <c r="G710" s="1351" t="str">
        <f>IF(T710&lt;&gt;"","H","")</f>
        <v/>
      </c>
      <c r="H710" s="1351" t="s">
        <v>1991</v>
      </c>
      <c r="I710" s="1307" t="str">
        <f t="shared" si="101"/>
        <v/>
      </c>
      <c r="J710" s="1351" t="str">
        <f t="shared" si="98"/>
        <v/>
      </c>
      <c r="K710" s="1351" t="str">
        <f t="shared" si="102"/>
        <v/>
      </c>
      <c r="L710" s="852" t="s">
        <v>1397</v>
      </c>
      <c r="M710" s="1366">
        <v>693</v>
      </c>
      <c r="N710" s="1351"/>
      <c r="O710" s="1348"/>
      <c r="P710" s="1348"/>
      <c r="Q710" s="1348"/>
      <c r="R710" s="1351" t="s">
        <v>1526</v>
      </c>
      <c r="S710" s="1348"/>
      <c r="T710" s="1351" t="str">
        <f t="shared" si="97"/>
        <v/>
      </c>
      <c r="U710" s="1348"/>
      <c r="V710" s="1348"/>
      <c r="W710" s="1348"/>
      <c r="X710" s="1348"/>
      <c r="Y710" s="1348"/>
      <c r="Z710" s="1348"/>
    </row>
    <row r="711" spans="1:26" x14ac:dyDescent="0.25">
      <c r="A711" s="873" t="s">
        <v>1382</v>
      </c>
      <c r="B711" s="852" t="str">
        <f t="shared" ca="1" si="99"/>
        <v>N121</v>
      </c>
      <c r="C711" s="852" t="str">
        <f t="shared" ca="1" si="100"/>
        <v>N122</v>
      </c>
      <c r="D711" s="852" t="s">
        <v>1350</v>
      </c>
      <c r="E711" s="852" t="s">
        <v>1517</v>
      </c>
      <c r="F711" s="1351" t="s">
        <v>1382</v>
      </c>
      <c r="G711" s="1351" t="str">
        <f>IF(T711&lt;&gt;"",IF(Q709="Credit Memo","J",IF(Q709="Check","K","")),"")</f>
        <v/>
      </c>
      <c r="H711" s="1351" t="s">
        <v>1991</v>
      </c>
      <c r="I711" s="1307" t="str">
        <f t="shared" si="101"/>
        <v/>
      </c>
      <c r="J711" s="1351" t="str">
        <f t="shared" si="98"/>
        <v/>
      </c>
      <c r="K711" s="1351" t="str">
        <f t="shared" si="102"/>
        <v/>
      </c>
      <c r="L711" s="852" t="s">
        <v>1382</v>
      </c>
      <c r="M711" s="1366">
        <v>694</v>
      </c>
      <c r="N711" s="1351"/>
      <c r="O711" s="1348"/>
      <c r="P711" s="1348"/>
      <c r="Q711" s="1348"/>
      <c r="R711" s="1351" t="s">
        <v>1526</v>
      </c>
      <c r="S711" s="1348"/>
      <c r="T711" s="1351" t="str">
        <f t="shared" si="97"/>
        <v/>
      </c>
      <c r="U711" s="1348"/>
      <c r="V711" s="1348"/>
      <c r="W711" s="1348"/>
      <c r="X711" s="1348"/>
      <c r="Y711" s="1348"/>
      <c r="Z711" s="1348"/>
    </row>
    <row r="712" spans="1:26" x14ac:dyDescent="0.25">
      <c r="A712" s="873" t="s">
        <v>1487</v>
      </c>
      <c r="B712" s="852" t="str">
        <f t="shared" ca="1" si="99"/>
        <v>P121</v>
      </c>
      <c r="C712" s="852" t="str">
        <f t="shared" ca="1" si="100"/>
        <v>P122</v>
      </c>
      <c r="D712" s="852" t="s">
        <v>1350</v>
      </c>
      <c r="E712" s="852" t="s">
        <v>1517</v>
      </c>
      <c r="F712" s="1351" t="s">
        <v>1995</v>
      </c>
      <c r="G712" s="1351" t="str">
        <f>IF(T712&lt;&gt;"","F","")</f>
        <v/>
      </c>
      <c r="H712" s="1351" t="s">
        <v>1991</v>
      </c>
      <c r="I712" s="1307" t="str">
        <f t="shared" si="101"/>
        <v/>
      </c>
      <c r="J712" s="1351" t="str">
        <f t="shared" si="98"/>
        <v/>
      </c>
      <c r="K712" s="1351" t="str">
        <f t="shared" si="102"/>
        <v/>
      </c>
      <c r="L712" s="852" t="s">
        <v>1487</v>
      </c>
      <c r="M712" s="1366">
        <v>695</v>
      </c>
      <c r="N712" s="1351"/>
      <c r="O712" s="1348"/>
      <c r="P712" s="1348"/>
      <c r="Q712" s="1348"/>
      <c r="R712" s="1351" t="s">
        <v>1526</v>
      </c>
      <c r="S712" s="1348"/>
      <c r="T712" s="1351" t="str">
        <f t="shared" si="97"/>
        <v/>
      </c>
      <c r="U712" s="1348"/>
      <c r="V712" s="1348"/>
      <c r="W712" s="1348"/>
      <c r="X712" s="1348"/>
      <c r="Y712" s="1348"/>
      <c r="Z712" s="1348"/>
    </row>
    <row r="713" spans="1:26" x14ac:dyDescent="0.25">
      <c r="A713" s="873" t="s">
        <v>1488</v>
      </c>
      <c r="B713" s="852" t="str">
        <f t="shared" ca="1" si="99"/>
        <v>R121</v>
      </c>
      <c r="C713" s="852" t="str">
        <f t="shared" ca="1" si="100"/>
        <v>R122</v>
      </c>
      <c r="D713" s="852" t="s">
        <v>1350</v>
      </c>
      <c r="E713" s="852" t="s">
        <v>1517</v>
      </c>
      <c r="F713" s="1351" t="s">
        <v>1996</v>
      </c>
      <c r="G713" s="1351" t="str">
        <f>IF(T713&lt;&gt;"","G","")</f>
        <v/>
      </c>
      <c r="H713" s="1351" t="s">
        <v>1991</v>
      </c>
      <c r="I713" s="1307" t="str">
        <f t="shared" si="101"/>
        <v/>
      </c>
      <c r="J713" s="1351" t="str">
        <f t="shared" si="98"/>
        <v/>
      </c>
      <c r="K713" s="1351" t="str">
        <f t="shared" si="102"/>
        <v/>
      </c>
      <c r="L713" s="852" t="s">
        <v>1488</v>
      </c>
      <c r="M713" s="1366">
        <v>696</v>
      </c>
      <c r="N713" s="1351"/>
      <c r="O713" s="1348"/>
      <c r="P713" s="1348"/>
      <c r="Q713" s="1348"/>
      <c r="R713" s="1351" t="s">
        <v>1526</v>
      </c>
      <c r="S713" s="1348"/>
      <c r="T713" s="1351" t="str">
        <f t="shared" si="97"/>
        <v/>
      </c>
      <c r="U713" s="1348"/>
      <c r="V713" s="1348"/>
      <c r="W713" s="1348"/>
      <c r="X713" s="1348"/>
      <c r="Y713" s="1348"/>
      <c r="Z713" s="1348"/>
    </row>
    <row r="714" spans="1:26" x14ac:dyDescent="0.25">
      <c r="A714" s="873" t="s">
        <v>1489</v>
      </c>
      <c r="B714" s="852" t="str">
        <f t="shared" ca="1" si="99"/>
        <v>T121</v>
      </c>
      <c r="C714" s="852" t="str">
        <f t="shared" ca="1" si="100"/>
        <v>T122</v>
      </c>
      <c r="D714" s="852" t="s">
        <v>1350</v>
      </c>
      <c r="E714" s="852" t="s">
        <v>1517</v>
      </c>
      <c r="F714" s="867" t="s">
        <v>1489</v>
      </c>
      <c r="G714" s="1351" t="str">
        <f>IF(T714&lt;&gt;"","AW","")</f>
        <v/>
      </c>
      <c r="H714" s="1351" t="s">
        <v>1991</v>
      </c>
      <c r="I714" s="1307" t="str">
        <f t="shared" si="101"/>
        <v/>
      </c>
      <c r="J714" s="1351" t="str">
        <f t="shared" si="98"/>
        <v/>
      </c>
      <c r="K714" s="1351" t="str">
        <f t="shared" si="102"/>
        <v/>
      </c>
      <c r="L714" s="852" t="s">
        <v>1489</v>
      </c>
      <c r="M714" s="1366">
        <v>697</v>
      </c>
      <c r="N714" s="1351"/>
      <c r="O714" s="1348"/>
      <c r="P714" s="1348"/>
      <c r="Q714" s="1348"/>
      <c r="R714" s="1351" t="s">
        <v>1526</v>
      </c>
      <c r="S714" s="1348"/>
      <c r="T714" s="1351" t="str">
        <f t="shared" si="97"/>
        <v/>
      </c>
      <c r="U714" s="1348"/>
      <c r="V714" s="1348"/>
      <c r="W714" s="1348"/>
      <c r="X714" s="1348"/>
      <c r="Y714" s="1348"/>
      <c r="Z714" s="134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51" t="s">
        <v>1385</v>
      </c>
      <c r="G715" s="1351" t="str">
        <f>IF(T715&lt;&gt;"","C","")</f>
        <v/>
      </c>
      <c r="H715" s="1351" t="s">
        <v>1991</v>
      </c>
      <c r="I715" s="1307" t="str">
        <f t="shared" si="101"/>
        <v/>
      </c>
      <c r="J715" s="1351"/>
      <c r="K715" s="1351" t="str">
        <f t="shared" si="102"/>
        <v/>
      </c>
      <c r="L715" s="852" t="s">
        <v>1385</v>
      </c>
      <c r="M715" s="1366">
        <v>698</v>
      </c>
      <c r="N715" s="1351"/>
      <c r="O715" s="1348"/>
      <c r="P715" s="1348"/>
      <c r="Q715" s="1348"/>
      <c r="R715" s="1351" t="s">
        <v>1526</v>
      </c>
      <c r="S715" s="1348"/>
      <c r="T715" s="1351" t="str">
        <f t="shared" si="97"/>
        <v/>
      </c>
      <c r="U715" s="1348"/>
      <c r="V715" s="1348"/>
      <c r="W715" s="1348"/>
      <c r="X715" s="1348"/>
      <c r="Y715" s="1348"/>
      <c r="Z715" s="134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51" t="s">
        <v>1386</v>
      </c>
      <c r="G716" s="1351" t="str">
        <f>IF(T716&lt;&gt;"","D","")</f>
        <v/>
      </c>
      <c r="H716" s="1351" t="s">
        <v>1991</v>
      </c>
      <c r="I716" s="1307" t="str">
        <f t="shared" si="101"/>
        <v/>
      </c>
      <c r="J716" s="1351"/>
      <c r="K716" s="1351" t="str">
        <f t="shared" si="102"/>
        <v/>
      </c>
      <c r="L716" s="852" t="s">
        <v>1386</v>
      </c>
      <c r="M716" s="1366">
        <v>699</v>
      </c>
      <c r="N716" s="1351"/>
      <c r="O716" s="1348"/>
      <c r="P716" s="1348"/>
      <c r="Q716" s="1348"/>
      <c r="R716" s="1351" t="s">
        <v>1526</v>
      </c>
      <c r="S716" s="1348"/>
      <c r="T716" s="1351" t="str">
        <f t="shared" si="97"/>
        <v/>
      </c>
      <c r="U716" s="1348"/>
      <c r="V716" s="1348"/>
      <c r="W716" s="1348"/>
      <c r="X716" s="1348"/>
      <c r="Y716" s="1348"/>
      <c r="Z716" s="134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51" t="s">
        <v>1496</v>
      </c>
      <c r="G717" s="1351" t="str">
        <f>IF(T717&lt;&gt;"","AN","")</f>
        <v/>
      </c>
      <c r="H717" s="1351" t="s">
        <v>1991</v>
      </c>
      <c r="I717" s="1307" t="str">
        <f t="shared" si="101"/>
        <v/>
      </c>
      <c r="J717" s="1351" t="str">
        <f t="shared" si="98"/>
        <v/>
      </c>
      <c r="K717" s="1351" t="str">
        <f t="shared" si="102"/>
        <v/>
      </c>
      <c r="L717" s="852" t="s">
        <v>1496</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1526</v>
      </c>
      <c r="S717" s="1348"/>
      <c r="T717" s="1351" t="str">
        <f t="shared" si="97"/>
        <v/>
      </c>
      <c r="U717" s="1348"/>
      <c r="V717" s="1348"/>
      <c r="W717" s="1348"/>
      <c r="X717" s="1348"/>
      <c r="Y717" s="1348"/>
      <c r="Z717" s="134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51" t="s">
        <v>1493</v>
      </c>
      <c r="G718" s="1351" t="str">
        <f>IF(T718&lt;&gt;"","AL","")</f>
        <v/>
      </c>
      <c r="H718" s="1351" t="s">
        <v>1991</v>
      </c>
      <c r="I718" s="1307" t="str">
        <f t="shared" si="101"/>
        <v/>
      </c>
      <c r="J718" s="1351" t="str">
        <f t="shared" si="98"/>
        <v/>
      </c>
      <c r="K718" s="1351" t="str">
        <f t="shared" si="102"/>
        <v/>
      </c>
      <c r="L718" s="852" t="s">
        <v>1493</v>
      </c>
      <c r="M718" s="1366">
        <v>701</v>
      </c>
      <c r="N718" s="1351"/>
      <c r="O718" s="1348"/>
      <c r="P718" s="1348"/>
      <c r="Q718" s="1348"/>
      <c r="R718" s="1351" t="s">
        <v>1526</v>
      </c>
      <c r="S718" s="1348"/>
      <c r="T718" s="1351" t="str">
        <f t="shared" si="97"/>
        <v/>
      </c>
      <c r="U718" s="1348"/>
      <c r="V718" s="1348"/>
      <c r="W718" s="1348"/>
      <c r="X718" s="1348"/>
      <c r="Y718" s="1348"/>
      <c r="Z718" s="134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51" t="s">
        <v>1997</v>
      </c>
      <c r="G719" s="1351" t="str">
        <f>IF(T719&lt;&gt;"","L","")</f>
        <v/>
      </c>
      <c r="H719" s="1351" t="s">
        <v>1991</v>
      </c>
      <c r="I719" s="1307" t="str">
        <f t="shared" si="101"/>
        <v/>
      </c>
      <c r="J719" s="1351" t="str">
        <f t="shared" si="98"/>
        <v/>
      </c>
      <c r="K719" s="1351" t="str">
        <f t="shared" si="102"/>
        <v/>
      </c>
      <c r="L719" s="852" t="s">
        <v>1507</v>
      </c>
      <c r="M719" s="1366">
        <v>702</v>
      </c>
      <c r="N719" s="1351"/>
      <c r="O719" s="1348"/>
      <c r="P719" s="1348"/>
      <c r="Q719" s="1348"/>
      <c r="R719" s="1351" t="s">
        <v>1526</v>
      </c>
      <c r="S719" s="1348"/>
      <c r="T719" s="1351" t="str">
        <f>IF(Q$706="Yes",9,"")</f>
        <v/>
      </c>
      <c r="U719" s="1348"/>
      <c r="V719" s="1348"/>
      <c r="W719" s="1348"/>
      <c r="X719" s="1348"/>
      <c r="Y719" s="1348"/>
      <c r="Z719" s="134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51"/>
      <c r="H720" s="1351"/>
      <c r="I720" s="1307" t="str">
        <f t="shared" si="101"/>
        <v/>
      </c>
      <c r="J720" s="1351" t="str">
        <f t="shared" si="98"/>
        <v/>
      </c>
      <c r="K720" s="1351" t="str">
        <f t="shared" si="102"/>
        <v/>
      </c>
      <c r="L720" s="852" t="s">
        <v>1387</v>
      </c>
      <c r="M720" s="1366">
        <v>703</v>
      </c>
      <c r="N720" s="1351"/>
      <c r="O720" s="1348"/>
      <c r="P720" s="1348"/>
      <c r="Q720" s="1348"/>
      <c r="R720" s="1351" t="s">
        <v>1526</v>
      </c>
      <c r="S720" s="1348"/>
      <c r="T720" s="1351" t="str">
        <f t="shared" ref="T720:T734" si="104">IF(Q$706="Yes",9,"")</f>
        <v/>
      </c>
      <c r="U720" s="1348"/>
      <c r="V720" s="1348"/>
      <c r="W720" s="1348"/>
      <c r="X720" s="1348"/>
      <c r="Y720" s="1348"/>
      <c r="Z720" s="134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51"/>
      <c r="H721" s="1351"/>
      <c r="I721" s="1307" t="str">
        <f t="shared" si="101"/>
        <v/>
      </c>
      <c r="J721" s="1351"/>
      <c r="K721" s="1351" t="str">
        <f t="shared" si="102"/>
        <v/>
      </c>
      <c r="L721" s="852" t="s">
        <v>1388</v>
      </c>
      <c r="M721" s="1366">
        <v>704</v>
      </c>
      <c r="N721" s="1351"/>
      <c r="O721" s="1348"/>
      <c r="P721" s="1348"/>
      <c r="Q721" s="1348"/>
      <c r="R721" s="1351" t="s">
        <v>1526</v>
      </c>
      <c r="S721" s="1348"/>
      <c r="T721" s="1351" t="str">
        <f t="shared" si="104"/>
        <v/>
      </c>
      <c r="U721" s="1348"/>
      <c r="V721" s="1348"/>
      <c r="W721" s="1348"/>
      <c r="X721" s="1348"/>
      <c r="Y721" s="1348"/>
      <c r="Z721" s="134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0"/>
      <c r="G722" s="1351"/>
      <c r="H722" s="1351"/>
      <c r="I722" s="1307" t="str">
        <f t="shared" si="101"/>
        <v/>
      </c>
      <c r="J722" s="1351"/>
      <c r="K722" s="1351" t="str">
        <f t="shared" si="102"/>
        <v/>
      </c>
      <c r="L722" s="852" t="s">
        <v>1389</v>
      </c>
      <c r="M722" s="1366">
        <v>705</v>
      </c>
      <c r="N722" s="1351"/>
      <c r="O722" s="1348"/>
      <c r="P722" s="1348"/>
      <c r="Q722" s="1348"/>
      <c r="R722" s="1351" t="s">
        <v>1526</v>
      </c>
      <c r="S722" s="1348"/>
      <c r="T722" s="1351" t="str">
        <f t="shared" si="104"/>
        <v/>
      </c>
      <c r="U722" s="1348"/>
      <c r="V722" s="1348"/>
      <c r="W722" s="1348"/>
      <c r="X722" s="1348"/>
      <c r="Y722" s="1348"/>
      <c r="Z722" s="134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51"/>
      <c r="G723" s="1351"/>
      <c r="H723" s="1351"/>
      <c r="I723" s="1307" t="str">
        <f t="shared" si="101"/>
        <v/>
      </c>
      <c r="J723" s="1351" t="str">
        <f t="shared" si="98"/>
        <v/>
      </c>
      <c r="K723" s="1351" t="str">
        <f t="shared" si="102"/>
        <v/>
      </c>
      <c r="L723" s="852" t="s">
        <v>1387</v>
      </c>
      <c r="M723" s="1366">
        <v>706</v>
      </c>
      <c r="N723" s="1351"/>
      <c r="O723" s="1348"/>
      <c r="P723" s="1348"/>
      <c r="Q723" s="1348"/>
      <c r="R723" s="1351" t="s">
        <v>1526</v>
      </c>
      <c r="S723" s="1348"/>
      <c r="T723" s="1351" t="str">
        <f t="shared" si="104"/>
        <v/>
      </c>
      <c r="U723" s="1348"/>
      <c r="V723" s="1348"/>
      <c r="W723" s="1348"/>
      <c r="X723" s="1348"/>
      <c r="Y723" s="1348"/>
      <c r="Z723" s="134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51"/>
      <c r="G724" s="1351"/>
      <c r="H724" s="1351"/>
      <c r="I724" s="1307" t="str">
        <f t="shared" si="101"/>
        <v/>
      </c>
      <c r="J724" s="1351"/>
      <c r="K724" s="1351" t="str">
        <f t="shared" si="102"/>
        <v/>
      </c>
      <c r="L724" s="852" t="s">
        <v>1388</v>
      </c>
      <c r="M724" s="1366">
        <v>707</v>
      </c>
      <c r="N724" s="1351"/>
      <c r="O724" s="1348"/>
      <c r="P724" s="1348"/>
      <c r="Q724" s="1348"/>
      <c r="R724" s="1351" t="s">
        <v>1526</v>
      </c>
      <c r="S724" s="1348"/>
      <c r="T724" s="1351" t="str">
        <f t="shared" si="104"/>
        <v/>
      </c>
      <c r="U724" s="1348"/>
      <c r="V724" s="1348"/>
      <c r="W724" s="1348"/>
      <c r="X724" s="1348"/>
      <c r="Y724" s="1348"/>
      <c r="Z724" s="134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51"/>
      <c r="G725" s="1351"/>
      <c r="H725" s="1351"/>
      <c r="I725" s="1307" t="str">
        <f t="shared" si="101"/>
        <v/>
      </c>
      <c r="J725" s="1351"/>
      <c r="K725" s="1351" t="str">
        <f t="shared" si="102"/>
        <v/>
      </c>
      <c r="L725" s="852" t="s">
        <v>1389</v>
      </c>
      <c r="M725" s="1366">
        <v>708</v>
      </c>
      <c r="N725" s="1351"/>
      <c r="O725" s="1348"/>
      <c r="P725" s="1348"/>
      <c r="Q725" s="1348"/>
      <c r="R725" s="1351" t="s">
        <v>1526</v>
      </c>
      <c r="S725" s="1348"/>
      <c r="T725" s="1351" t="str">
        <f t="shared" si="104"/>
        <v/>
      </c>
      <c r="U725" s="1348"/>
      <c r="V725" s="1348"/>
      <c r="W725" s="1348"/>
      <c r="X725" s="1348"/>
      <c r="Y725" s="1348"/>
      <c r="Z725" s="134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51"/>
      <c r="G726" s="1351"/>
      <c r="H726" s="1351"/>
      <c r="I726" s="1307" t="str">
        <f t="shared" si="101"/>
        <v/>
      </c>
      <c r="J726" s="1351" t="str">
        <f t="shared" si="98"/>
        <v/>
      </c>
      <c r="K726" s="1351" t="str">
        <f t="shared" si="102"/>
        <v/>
      </c>
      <c r="L726" s="852" t="s">
        <v>1387</v>
      </c>
      <c r="M726" s="1366">
        <v>709</v>
      </c>
      <c r="N726" s="1351"/>
      <c r="O726" s="1348"/>
      <c r="P726" s="1348"/>
      <c r="Q726" s="1348"/>
      <c r="R726" s="1351" t="s">
        <v>1526</v>
      </c>
      <c r="S726" s="1348"/>
      <c r="T726" s="1351" t="str">
        <f t="shared" si="104"/>
        <v/>
      </c>
      <c r="U726" s="1348"/>
      <c r="V726" s="1348"/>
      <c r="W726" s="1348"/>
      <c r="X726" s="1348"/>
      <c r="Y726" s="1348"/>
      <c r="Z726" s="134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51"/>
      <c r="G727" s="1351"/>
      <c r="H727" s="1351"/>
      <c r="I727" s="1307" t="str">
        <f t="shared" si="101"/>
        <v/>
      </c>
      <c r="J727" s="1351"/>
      <c r="K727" s="1351" t="str">
        <f t="shared" si="102"/>
        <v/>
      </c>
      <c r="L727" s="852" t="s">
        <v>1388</v>
      </c>
      <c r="M727" s="1366">
        <v>710</v>
      </c>
      <c r="N727" s="1351"/>
      <c r="O727" s="1348"/>
      <c r="P727" s="1348"/>
      <c r="Q727" s="1348"/>
      <c r="R727" s="1351" t="s">
        <v>1526</v>
      </c>
      <c r="S727" s="1348"/>
      <c r="T727" s="1351" t="str">
        <f t="shared" si="104"/>
        <v/>
      </c>
      <c r="U727" s="1348"/>
      <c r="V727" s="1348"/>
      <c r="W727" s="1348"/>
      <c r="X727" s="1348"/>
      <c r="Y727" s="1348"/>
      <c r="Z727" s="134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51"/>
      <c r="G728" s="1351"/>
      <c r="H728" s="1351"/>
      <c r="I728" s="1307" t="str">
        <f t="shared" si="101"/>
        <v/>
      </c>
      <c r="J728" s="1351"/>
      <c r="K728" s="1351" t="str">
        <f t="shared" si="102"/>
        <v/>
      </c>
      <c r="L728" s="852" t="s">
        <v>1389</v>
      </c>
      <c r="M728" s="1366">
        <v>711</v>
      </c>
      <c r="N728" s="1351"/>
      <c r="O728" s="1348"/>
      <c r="P728" s="1348"/>
      <c r="Q728" s="1348"/>
      <c r="R728" s="1351" t="s">
        <v>1526</v>
      </c>
      <c r="S728" s="1348"/>
      <c r="T728" s="1351" t="str">
        <f t="shared" si="104"/>
        <v/>
      </c>
      <c r="U728" s="1348"/>
      <c r="V728" s="1348"/>
      <c r="W728" s="1348"/>
      <c r="X728" s="1348"/>
      <c r="Y728" s="1348"/>
      <c r="Z728" s="134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51"/>
      <c r="G729" s="1351"/>
      <c r="H729" s="1351"/>
      <c r="I729" s="1307" t="str">
        <f t="shared" si="101"/>
        <v/>
      </c>
      <c r="J729" s="1351" t="str">
        <f t="shared" si="98"/>
        <v/>
      </c>
      <c r="K729" s="1351" t="str">
        <f t="shared" si="102"/>
        <v/>
      </c>
      <c r="L729" s="852" t="s">
        <v>1387</v>
      </c>
      <c r="M729" s="1366">
        <v>712</v>
      </c>
      <c r="N729" s="1351"/>
      <c r="O729" s="1348"/>
      <c r="P729" s="1348"/>
      <c r="Q729" s="1348"/>
      <c r="R729" s="1351" t="s">
        <v>1526</v>
      </c>
      <c r="S729" s="1348"/>
      <c r="T729" s="1351" t="str">
        <f t="shared" si="104"/>
        <v/>
      </c>
      <c r="U729" s="1348"/>
      <c r="V729" s="1348"/>
      <c r="W729" s="1348"/>
      <c r="X729" s="1348"/>
      <c r="Y729" s="1348"/>
      <c r="Z729" s="134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51"/>
      <c r="G730" s="1351"/>
      <c r="H730" s="1351"/>
      <c r="I730" s="1307" t="str">
        <f t="shared" si="101"/>
        <v/>
      </c>
      <c r="J730" s="1351"/>
      <c r="K730" s="1351" t="str">
        <f t="shared" si="102"/>
        <v/>
      </c>
      <c r="L730" s="852" t="s">
        <v>1388</v>
      </c>
      <c r="M730" s="1366">
        <v>713</v>
      </c>
      <c r="N730" s="1351"/>
      <c r="O730" s="1348"/>
      <c r="P730" s="1348"/>
      <c r="Q730" s="1348"/>
      <c r="R730" s="1351" t="s">
        <v>1526</v>
      </c>
      <c r="S730" s="1348"/>
      <c r="T730" s="1351" t="str">
        <f t="shared" si="104"/>
        <v/>
      </c>
      <c r="U730" s="1348"/>
      <c r="V730" s="1348"/>
      <c r="W730" s="1348"/>
      <c r="X730" s="1348"/>
      <c r="Y730" s="1348"/>
      <c r="Z730" s="134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51"/>
      <c r="G731" s="1351"/>
      <c r="H731" s="1351"/>
      <c r="I731" s="1307" t="str">
        <f t="shared" si="101"/>
        <v/>
      </c>
      <c r="J731" s="1351"/>
      <c r="K731" s="1351" t="str">
        <f t="shared" si="102"/>
        <v/>
      </c>
      <c r="L731" s="852" t="s">
        <v>1389</v>
      </c>
      <c r="M731" s="1366">
        <v>714</v>
      </c>
      <c r="N731" s="1351"/>
      <c r="O731" s="1348"/>
      <c r="P731" s="1348"/>
      <c r="Q731" s="1348"/>
      <c r="R731" s="1351" t="s">
        <v>1526</v>
      </c>
      <c r="S731" s="1348"/>
      <c r="T731" s="1351" t="str">
        <f t="shared" si="104"/>
        <v/>
      </c>
      <c r="U731" s="1348"/>
      <c r="V731" s="1348"/>
      <c r="W731" s="1348"/>
      <c r="X731" s="1348"/>
      <c r="Y731" s="1348"/>
      <c r="Z731" s="134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51"/>
      <c r="G732" s="1351"/>
      <c r="H732" s="1351"/>
      <c r="I732" s="1307" t="str">
        <f t="shared" si="101"/>
        <v/>
      </c>
      <c r="J732" s="1351" t="str">
        <f t="shared" si="98"/>
        <v/>
      </c>
      <c r="K732" s="1351" t="str">
        <f t="shared" si="102"/>
        <v/>
      </c>
      <c r="L732" s="852" t="s">
        <v>1387</v>
      </c>
      <c r="M732" s="1366">
        <v>715</v>
      </c>
      <c r="N732" s="1351"/>
      <c r="O732" s="1348"/>
      <c r="P732" s="1348"/>
      <c r="Q732" s="1348"/>
      <c r="R732" s="1351" t="s">
        <v>1526</v>
      </c>
      <c r="S732" s="1348"/>
      <c r="T732" s="1351" t="str">
        <f t="shared" si="104"/>
        <v/>
      </c>
      <c r="U732" s="1348"/>
      <c r="V732" s="1348"/>
      <c r="W732" s="1348"/>
      <c r="X732" s="1348"/>
      <c r="Y732" s="1348"/>
      <c r="Z732" s="134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51"/>
      <c r="G733" s="1351"/>
      <c r="H733" s="1351"/>
      <c r="I733" s="1307" t="str">
        <f t="shared" si="101"/>
        <v/>
      </c>
      <c r="J733" s="1351"/>
      <c r="K733" s="1351" t="str">
        <f t="shared" si="102"/>
        <v/>
      </c>
      <c r="L733" s="852" t="s">
        <v>1388</v>
      </c>
      <c r="M733" s="1366">
        <v>716</v>
      </c>
      <c r="N733" s="1351"/>
      <c r="O733" s="1348"/>
      <c r="P733" s="1348"/>
      <c r="Q733" s="1348"/>
      <c r="R733" s="1351" t="s">
        <v>1526</v>
      </c>
      <c r="S733" s="1348"/>
      <c r="T733" s="1351" t="str">
        <f t="shared" si="104"/>
        <v/>
      </c>
      <c r="U733" s="1348"/>
      <c r="V733" s="1348"/>
      <c r="W733" s="1348"/>
      <c r="X733" s="1348"/>
      <c r="Y733" s="1348"/>
      <c r="Z733" s="134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51"/>
      <c r="G734" s="1351"/>
      <c r="H734" s="1351"/>
      <c r="I734" s="1307" t="str">
        <f t="shared" si="101"/>
        <v/>
      </c>
      <c r="J734" s="1351"/>
      <c r="K734" s="1351" t="str">
        <f t="shared" si="102"/>
        <v/>
      </c>
      <c r="L734" s="852" t="s">
        <v>1389</v>
      </c>
      <c r="M734" s="1366">
        <v>717</v>
      </c>
      <c r="N734" s="1351"/>
      <c r="O734" s="1348"/>
      <c r="P734" s="1348"/>
      <c r="Q734" s="1348"/>
      <c r="R734" s="1351" t="s">
        <v>1526</v>
      </c>
      <c r="S734" s="1348"/>
      <c r="T734" s="1351" t="str">
        <f t="shared" si="104"/>
        <v/>
      </c>
      <c r="U734" s="1348"/>
      <c r="V734" s="1348"/>
      <c r="W734" s="1348"/>
      <c r="X734" s="1348"/>
      <c r="Y734" s="1348"/>
      <c r="Z734" s="134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51" t="s">
        <v>1492</v>
      </c>
      <c r="G735" s="1351" t="str">
        <f>IF(T735&lt;&gt;"","A","")</f>
        <v/>
      </c>
      <c r="H735" s="1351" t="s">
        <v>1991</v>
      </c>
      <c r="I735" s="1307" t="str">
        <f t="shared" si="101"/>
        <v/>
      </c>
      <c r="J735" s="1351"/>
      <c r="K735" s="1351" t="str">
        <f t="shared" si="102"/>
        <v/>
      </c>
      <c r="L735" s="852" t="s">
        <v>1492</v>
      </c>
      <c r="M735" s="1366">
        <v>718</v>
      </c>
      <c r="N735" s="1351"/>
      <c r="O735" s="1348" t="s">
        <v>725</v>
      </c>
      <c r="P735" s="1348"/>
      <c r="Q735" s="1348"/>
      <c r="R735" s="1351" t="s">
        <v>1526</v>
      </c>
      <c r="S735" s="1348"/>
      <c r="T735" s="1351" t="str">
        <f t="shared" ref="T735:T764" si="105">IF(Q$736="Yes",10,"")</f>
        <v/>
      </c>
      <c r="U735" s="1348"/>
      <c r="V735" s="1348"/>
      <c r="W735" s="1348"/>
      <c r="X735" s="1348"/>
      <c r="Y735" s="1348"/>
      <c r="Z735" s="134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51"/>
      <c r="G736" s="1351"/>
      <c r="H736" s="1351"/>
      <c r="I736" s="1307" t="str">
        <f t="shared" si="101"/>
        <v/>
      </c>
      <c r="J736" s="1351" t="str">
        <f t="shared" ref="J736:J762" si="106">IF(M736&lt;&gt;"",IF($Q$736="Yes",Q$1&amp;M736,""))</f>
        <v/>
      </c>
      <c r="K736" s="1351" t="str">
        <f t="shared" si="102"/>
        <v/>
      </c>
      <c r="L736" s="852" t="s">
        <v>1706</v>
      </c>
      <c r="M736" s="1366">
        <v>719</v>
      </c>
      <c r="N736" s="1351"/>
      <c r="O736" s="1348">
        <f>'Configurable Tab'!H12</f>
        <v>135</v>
      </c>
      <c r="P736" s="1447" t="str">
        <f>'Configurable Tab'!J12</f>
        <v>Yes</v>
      </c>
      <c r="Q736" s="1388" t="s">
        <v>648</v>
      </c>
      <c r="R736" s="1351" t="s">
        <v>1526</v>
      </c>
      <c r="S736" s="1348"/>
      <c r="T736" s="1351" t="str">
        <f t="shared" si="105"/>
        <v/>
      </c>
      <c r="U736" s="1348"/>
      <c r="V736" s="1348"/>
      <c r="W736" s="1348"/>
      <c r="X736" s="1348"/>
      <c r="Y736" s="1348"/>
      <c r="Z736" s="134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51" t="s">
        <v>1383</v>
      </c>
      <c r="G737" s="1351" t="str">
        <f>IF(T737&lt;&gt;"","B","")</f>
        <v/>
      </c>
      <c r="H737" s="1351" t="s">
        <v>1991</v>
      </c>
      <c r="I737" s="1307" t="str">
        <f t="shared" si="101"/>
        <v/>
      </c>
      <c r="J737" s="1351"/>
      <c r="K737" s="1351" t="str">
        <f t="shared" si="102"/>
        <v/>
      </c>
      <c r="L737" s="852" t="s">
        <v>1383</v>
      </c>
      <c r="M737" s="1366">
        <v>720</v>
      </c>
      <c r="N737" s="1351"/>
      <c r="O737" s="1348" t="s">
        <v>726</v>
      </c>
      <c r="P737" s="1348"/>
      <c r="Q737" s="1348"/>
      <c r="R737" s="1351" t="s">
        <v>1526</v>
      </c>
      <c r="S737" s="1348"/>
      <c r="T737" s="1351" t="str">
        <f t="shared" si="105"/>
        <v/>
      </c>
      <c r="U737" s="1348"/>
      <c r="V737" s="1348"/>
      <c r="W737" s="1348"/>
      <c r="X737" s="1348"/>
      <c r="Y737" s="1348"/>
      <c r="Z737" s="134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51" t="s">
        <v>1992</v>
      </c>
      <c r="G738" s="1351" t="str">
        <f>IF(T738&lt;&gt;"","E","")</f>
        <v/>
      </c>
      <c r="H738" s="1351" t="s">
        <v>1991</v>
      </c>
      <c r="I738" s="1307" t="str">
        <f t="shared" si="101"/>
        <v/>
      </c>
      <c r="J738" s="1351" t="str">
        <f t="shared" si="106"/>
        <v/>
      </c>
      <c r="K738" s="1351" t="str">
        <f t="shared" si="102"/>
        <v/>
      </c>
      <c r="L738" s="852" t="s">
        <v>1380</v>
      </c>
      <c r="M738" s="1366">
        <v>721</v>
      </c>
      <c r="N738" s="1351"/>
      <c r="O738" s="1348">
        <f>'Configurable Tab'!I12</f>
        <v>150</v>
      </c>
      <c r="P738" s="1348"/>
      <c r="Q738" s="1348"/>
      <c r="R738" s="1351" t="s">
        <v>1526</v>
      </c>
      <c r="S738" s="1348"/>
      <c r="T738" s="1351" t="str">
        <f t="shared" si="105"/>
        <v/>
      </c>
      <c r="U738" s="1348"/>
      <c r="V738" s="1348"/>
      <c r="W738" s="1348"/>
      <c r="X738" s="1348"/>
      <c r="Y738" s="1348"/>
      <c r="Z738" s="1348"/>
    </row>
    <row r="739" spans="1:26" x14ac:dyDescent="0.25">
      <c r="A739" s="876" t="s">
        <v>1381</v>
      </c>
      <c r="B739" s="852" t="str">
        <f t="shared" ca="1" si="107"/>
        <v>J137</v>
      </c>
      <c r="C739" s="852" t="str">
        <f t="shared" ca="1" si="108"/>
        <v>J138</v>
      </c>
      <c r="D739" s="852" t="s">
        <v>1350</v>
      </c>
      <c r="E739" s="852" t="s">
        <v>1517</v>
      </c>
      <c r="F739" s="1351" t="s">
        <v>1993</v>
      </c>
      <c r="G739" s="1351" t="str">
        <f>IF(T739&lt;&gt;"","I","")</f>
        <v/>
      </c>
      <c r="H739" s="1351" t="s">
        <v>1991</v>
      </c>
      <c r="I739" s="1307" t="str">
        <f t="shared" si="101"/>
        <v/>
      </c>
      <c r="J739" s="1351" t="str">
        <f t="shared" si="106"/>
        <v/>
      </c>
      <c r="K739" s="1351" t="str">
        <f t="shared" si="102"/>
        <v/>
      </c>
      <c r="L739" s="852" t="s">
        <v>1381</v>
      </c>
      <c r="M739" s="1366">
        <v>722</v>
      </c>
      <c r="N739" s="1351"/>
      <c r="O739" s="1348" t="s">
        <v>1642</v>
      </c>
      <c r="P739" s="1348"/>
      <c r="Q739" s="1348"/>
      <c r="R739" s="1351" t="s">
        <v>1526</v>
      </c>
      <c r="S739" s="1348"/>
      <c r="T739" s="1351" t="str">
        <f t="shared" si="105"/>
        <v/>
      </c>
      <c r="U739" s="1348"/>
      <c r="V739" s="1348"/>
      <c r="W739" s="1348"/>
      <c r="X739" s="1348"/>
      <c r="Y739" s="1348"/>
      <c r="Z739" s="1348"/>
    </row>
    <row r="740" spans="1:26" x14ac:dyDescent="0.25">
      <c r="A740" s="876" t="s">
        <v>1397</v>
      </c>
      <c r="B740" s="852" t="str">
        <f t="shared" ca="1" si="107"/>
        <v>L137</v>
      </c>
      <c r="C740" s="852" t="str">
        <f t="shared" ca="1" si="108"/>
        <v>L138</v>
      </c>
      <c r="D740" s="852" t="s">
        <v>1350</v>
      </c>
      <c r="E740" s="852" t="s">
        <v>1517</v>
      </c>
      <c r="F740" s="1351" t="s">
        <v>1994</v>
      </c>
      <c r="G740" s="1351" t="str">
        <f>IF(T740&lt;&gt;"","H","")</f>
        <v/>
      </c>
      <c r="H740" s="1351" t="s">
        <v>1991</v>
      </c>
      <c r="I740" s="1307" t="str">
        <f t="shared" si="101"/>
        <v/>
      </c>
      <c r="J740" s="1351" t="str">
        <f t="shared" si="106"/>
        <v/>
      </c>
      <c r="K740" s="1351" t="str">
        <f t="shared" si="102"/>
        <v/>
      </c>
      <c r="L740" s="852" t="s">
        <v>1397</v>
      </c>
      <c r="M740" s="1366">
        <v>723</v>
      </c>
      <c r="N740" s="1351"/>
      <c r="O740" s="1348"/>
      <c r="P740" s="1348"/>
      <c r="Q740" s="1348"/>
      <c r="R740" s="1351" t="s">
        <v>1526</v>
      </c>
      <c r="S740" s="1348"/>
      <c r="T740" s="1351" t="str">
        <f t="shared" si="105"/>
        <v/>
      </c>
      <c r="U740" s="1348"/>
      <c r="V740" s="1348"/>
      <c r="W740" s="1348"/>
      <c r="X740" s="1348"/>
      <c r="Y740" s="1348"/>
      <c r="Z740" s="1348"/>
    </row>
    <row r="741" spans="1:26" x14ac:dyDescent="0.25">
      <c r="A741" s="876" t="s">
        <v>1382</v>
      </c>
      <c r="B741" s="852" t="str">
        <f t="shared" ca="1" si="107"/>
        <v>N137</v>
      </c>
      <c r="C741" s="852" t="str">
        <f t="shared" ca="1" si="108"/>
        <v>N138</v>
      </c>
      <c r="D741" s="852" t="s">
        <v>1350</v>
      </c>
      <c r="E741" s="852" t="s">
        <v>1517</v>
      </c>
      <c r="F741" s="1351" t="s">
        <v>1382</v>
      </c>
      <c r="G741" s="1351" t="str">
        <f>IF(T741&lt;&gt;"",IF(Q739="Credit Memo","J",IF(Q739="Check","K","")),"")</f>
        <v/>
      </c>
      <c r="H741" s="1351" t="s">
        <v>1991</v>
      </c>
      <c r="I741" s="1307" t="str">
        <f t="shared" si="101"/>
        <v/>
      </c>
      <c r="J741" s="1351" t="str">
        <f t="shared" si="106"/>
        <v/>
      </c>
      <c r="K741" s="1351" t="str">
        <f t="shared" si="102"/>
        <v/>
      </c>
      <c r="L741" s="852" t="s">
        <v>1382</v>
      </c>
      <c r="M741" s="1366">
        <v>724</v>
      </c>
      <c r="N741" s="1351"/>
      <c r="O741" s="1348"/>
      <c r="P741" s="1348"/>
      <c r="Q741" s="1348"/>
      <c r="R741" s="1351" t="s">
        <v>1526</v>
      </c>
      <c r="S741" s="1348"/>
      <c r="T741" s="1351" t="str">
        <f t="shared" si="105"/>
        <v/>
      </c>
      <c r="U741" s="1348"/>
      <c r="V741" s="1348"/>
      <c r="W741" s="1348"/>
      <c r="X741" s="1348"/>
      <c r="Y741" s="1348"/>
      <c r="Z741" s="1348"/>
    </row>
    <row r="742" spans="1:26" x14ac:dyDescent="0.25">
      <c r="A742" s="876" t="s">
        <v>1487</v>
      </c>
      <c r="B742" s="852" t="str">
        <f t="shared" ca="1" si="107"/>
        <v>P137</v>
      </c>
      <c r="C742" s="852" t="str">
        <f t="shared" ca="1" si="108"/>
        <v>P138</v>
      </c>
      <c r="D742" s="852" t="s">
        <v>1350</v>
      </c>
      <c r="E742" s="852" t="s">
        <v>1517</v>
      </c>
      <c r="F742" s="1351" t="s">
        <v>1995</v>
      </c>
      <c r="G742" s="1351" t="str">
        <f>IF(T742&lt;&gt;"","F","")</f>
        <v/>
      </c>
      <c r="H742" s="1351" t="s">
        <v>1991</v>
      </c>
      <c r="I742" s="1307" t="str">
        <f t="shared" si="101"/>
        <v/>
      </c>
      <c r="J742" s="1351" t="str">
        <f t="shared" si="106"/>
        <v/>
      </c>
      <c r="K742" s="1351" t="str">
        <f t="shared" si="102"/>
        <v/>
      </c>
      <c r="L742" s="852" t="s">
        <v>1487</v>
      </c>
      <c r="M742" s="1366">
        <v>725</v>
      </c>
      <c r="N742" s="1351"/>
      <c r="O742" s="1348"/>
      <c r="P742" s="1348"/>
      <c r="Q742" s="1348"/>
      <c r="R742" s="1351" t="s">
        <v>1526</v>
      </c>
      <c r="S742" s="1348"/>
      <c r="T742" s="1351" t="str">
        <f t="shared" si="105"/>
        <v/>
      </c>
      <c r="U742" s="1348"/>
      <c r="V742" s="1348"/>
      <c r="W742" s="1348"/>
      <c r="X742" s="1348"/>
      <c r="Y742" s="1348"/>
      <c r="Z742" s="1348"/>
    </row>
    <row r="743" spans="1:26" x14ac:dyDescent="0.25">
      <c r="A743" s="876" t="s">
        <v>1488</v>
      </c>
      <c r="B743" s="852" t="str">
        <f t="shared" ca="1" si="107"/>
        <v>R137</v>
      </c>
      <c r="C743" s="852" t="str">
        <f t="shared" ca="1" si="108"/>
        <v>R138</v>
      </c>
      <c r="D743" s="852" t="s">
        <v>1350</v>
      </c>
      <c r="E743" s="852" t="s">
        <v>1517</v>
      </c>
      <c r="F743" s="1351" t="s">
        <v>1996</v>
      </c>
      <c r="G743" s="1351" t="str">
        <f>IF(T743&lt;&gt;"","G","")</f>
        <v/>
      </c>
      <c r="H743" s="1351" t="s">
        <v>1991</v>
      </c>
      <c r="I743" s="1307" t="str">
        <f t="shared" si="101"/>
        <v/>
      </c>
      <c r="J743" s="1351" t="str">
        <f t="shared" si="106"/>
        <v/>
      </c>
      <c r="K743" s="1351" t="str">
        <f t="shared" si="102"/>
        <v/>
      </c>
      <c r="L743" s="852" t="s">
        <v>1488</v>
      </c>
      <c r="M743" s="1366">
        <v>726</v>
      </c>
      <c r="N743" s="1351"/>
      <c r="O743" s="1348"/>
      <c r="P743" s="1348"/>
      <c r="Q743" s="1348"/>
      <c r="R743" s="1351" t="s">
        <v>1526</v>
      </c>
      <c r="S743" s="1348"/>
      <c r="T743" s="1351" t="str">
        <f t="shared" si="105"/>
        <v/>
      </c>
      <c r="U743" s="1348"/>
      <c r="V743" s="1348"/>
      <c r="W743" s="1348"/>
      <c r="X743" s="1348"/>
      <c r="Y743" s="1348"/>
      <c r="Z743" s="1348"/>
    </row>
    <row r="744" spans="1:26" x14ac:dyDescent="0.25">
      <c r="A744" s="876" t="s">
        <v>1489</v>
      </c>
      <c r="B744" s="852" t="str">
        <f t="shared" ca="1" si="107"/>
        <v>T137</v>
      </c>
      <c r="C744" s="852" t="str">
        <f t="shared" ca="1" si="108"/>
        <v>T138</v>
      </c>
      <c r="D744" s="852" t="s">
        <v>1350</v>
      </c>
      <c r="E744" s="852" t="s">
        <v>1517</v>
      </c>
      <c r="F744" s="867" t="s">
        <v>1489</v>
      </c>
      <c r="G744" s="1351" t="str">
        <f>IF(T744&lt;&gt;"","AW","")</f>
        <v/>
      </c>
      <c r="H744" s="1351" t="s">
        <v>1991</v>
      </c>
      <c r="I744" s="1307" t="str">
        <f t="shared" si="101"/>
        <v/>
      </c>
      <c r="J744" s="1351" t="str">
        <f t="shared" si="106"/>
        <v/>
      </c>
      <c r="K744" s="1351" t="str">
        <f t="shared" si="102"/>
        <v/>
      </c>
      <c r="L744" s="852" t="s">
        <v>1489</v>
      </c>
      <c r="M744" s="1366">
        <v>727</v>
      </c>
      <c r="N744" s="1351"/>
      <c r="O744" s="1348"/>
      <c r="P744" s="1348"/>
      <c r="Q744" s="1348"/>
      <c r="R744" s="1351" t="s">
        <v>1526</v>
      </c>
      <c r="S744" s="1348"/>
      <c r="T744" s="1351" t="str">
        <f t="shared" si="105"/>
        <v/>
      </c>
      <c r="U744" s="1348"/>
      <c r="V744" s="1348"/>
      <c r="W744" s="1348"/>
      <c r="X744" s="1348"/>
      <c r="Y744" s="1348"/>
      <c r="Z744" s="134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51" t="s">
        <v>1385</v>
      </c>
      <c r="G745" s="1351" t="str">
        <f>IF(T745&lt;&gt;"","C","")</f>
        <v/>
      </c>
      <c r="H745" s="1351" t="s">
        <v>1991</v>
      </c>
      <c r="I745" s="1307" t="str">
        <f t="shared" si="101"/>
        <v/>
      </c>
      <c r="J745" s="1351"/>
      <c r="K745" s="1351" t="str">
        <f t="shared" si="102"/>
        <v/>
      </c>
      <c r="L745" s="852" t="s">
        <v>1385</v>
      </c>
      <c r="M745" s="1366">
        <v>728</v>
      </c>
      <c r="N745" s="1351"/>
      <c r="O745" s="1348"/>
      <c r="P745" s="1348"/>
      <c r="Q745" s="1348"/>
      <c r="R745" s="1351" t="s">
        <v>1526</v>
      </c>
      <c r="S745" s="1348"/>
      <c r="T745" s="1351" t="str">
        <f t="shared" si="105"/>
        <v/>
      </c>
      <c r="U745" s="1348"/>
      <c r="V745" s="1348"/>
      <c r="W745" s="1348"/>
      <c r="X745" s="1348"/>
      <c r="Y745" s="1348"/>
      <c r="Z745" s="134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51" t="s">
        <v>1386</v>
      </c>
      <c r="G746" s="1351" t="str">
        <f>IF(T746&lt;&gt;"","D","")</f>
        <v/>
      </c>
      <c r="H746" s="1351" t="s">
        <v>1991</v>
      </c>
      <c r="I746" s="1307" t="str">
        <f t="shared" si="101"/>
        <v/>
      </c>
      <c r="J746" s="1351"/>
      <c r="K746" s="1351" t="str">
        <f t="shared" si="102"/>
        <v/>
      </c>
      <c r="L746" s="852" t="s">
        <v>1386</v>
      </c>
      <c r="M746" s="1366">
        <v>729</v>
      </c>
      <c r="N746" s="1351"/>
      <c r="O746" s="1348"/>
      <c r="P746" s="1348"/>
      <c r="Q746" s="1348"/>
      <c r="R746" s="1351" t="s">
        <v>1526</v>
      </c>
      <c r="S746" s="1348"/>
      <c r="T746" s="1351" t="str">
        <f t="shared" si="105"/>
        <v/>
      </c>
      <c r="U746" s="1348"/>
      <c r="V746" s="1348"/>
      <c r="W746" s="1348"/>
      <c r="X746" s="1348"/>
      <c r="Y746" s="1348"/>
      <c r="Z746" s="134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51" t="s">
        <v>1496</v>
      </c>
      <c r="G747" s="1351" t="str">
        <f>IF(T747&lt;&gt;"","AN","")</f>
        <v/>
      </c>
      <c r="H747" s="1351" t="s">
        <v>1991</v>
      </c>
      <c r="I747" s="1307" t="str">
        <f t="shared" si="101"/>
        <v/>
      </c>
      <c r="J747" s="1351" t="str">
        <f t="shared" si="106"/>
        <v/>
      </c>
      <c r="K747" s="1351" t="str">
        <f t="shared" si="102"/>
        <v/>
      </c>
      <c r="L747" s="852" t="s">
        <v>1496</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1526</v>
      </c>
      <c r="S747" s="1348"/>
      <c r="T747" s="1351" t="str">
        <f t="shared" si="105"/>
        <v/>
      </c>
      <c r="U747" s="1348"/>
      <c r="V747" s="1348"/>
      <c r="W747" s="1348"/>
      <c r="X747" s="1348"/>
      <c r="Y747" s="1348"/>
      <c r="Z747" s="134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51" t="s">
        <v>1493</v>
      </c>
      <c r="G748" s="1351" t="str">
        <f>IF(T748&lt;&gt;"","AL","")</f>
        <v/>
      </c>
      <c r="H748" s="1351" t="s">
        <v>1991</v>
      </c>
      <c r="I748" s="1307" t="str">
        <f t="shared" si="101"/>
        <v/>
      </c>
      <c r="J748" s="1351" t="str">
        <f t="shared" si="106"/>
        <v/>
      </c>
      <c r="K748" s="1351" t="str">
        <f t="shared" si="102"/>
        <v/>
      </c>
      <c r="L748" s="852" t="s">
        <v>1493</v>
      </c>
      <c r="M748" s="1366">
        <v>731</v>
      </c>
      <c r="N748" s="1351"/>
      <c r="O748" s="1348"/>
      <c r="P748" s="1348"/>
      <c r="Q748" s="1348"/>
      <c r="R748" s="1351" t="s">
        <v>1526</v>
      </c>
      <c r="S748" s="1348"/>
      <c r="T748" s="1351" t="str">
        <f t="shared" si="105"/>
        <v/>
      </c>
      <c r="U748" s="1348"/>
      <c r="V748" s="1348"/>
      <c r="W748" s="1348"/>
      <c r="X748" s="1348"/>
      <c r="Y748" s="1348"/>
      <c r="Z748" s="134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51" t="s">
        <v>1997</v>
      </c>
      <c r="G749" s="1351" t="str">
        <f>IF(T749&lt;&gt;"","L","")</f>
        <v/>
      </c>
      <c r="H749" s="1351" t="s">
        <v>1991</v>
      </c>
      <c r="I749" s="1307" t="str">
        <f t="shared" si="101"/>
        <v/>
      </c>
      <c r="J749" s="1351" t="str">
        <f t="shared" si="106"/>
        <v/>
      </c>
      <c r="K749" s="1351" t="str">
        <f t="shared" si="102"/>
        <v/>
      </c>
      <c r="L749" s="852" t="s">
        <v>1507</v>
      </c>
      <c r="M749" s="1366">
        <v>732</v>
      </c>
      <c r="N749" s="1351"/>
      <c r="O749" s="1348"/>
      <c r="P749" s="1348"/>
      <c r="Q749" s="1348"/>
      <c r="R749" s="1351" t="s">
        <v>1526</v>
      </c>
      <c r="S749" s="1348"/>
      <c r="T749" s="1351" t="str">
        <f t="shared" si="105"/>
        <v/>
      </c>
      <c r="U749" s="1348"/>
      <c r="V749" s="1348"/>
      <c r="W749" s="1348"/>
      <c r="X749" s="1348"/>
      <c r="Y749" s="1348"/>
      <c r="Z749" s="134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51"/>
      <c r="H750" s="1351"/>
      <c r="I750" s="1307" t="str">
        <f t="shared" si="101"/>
        <v/>
      </c>
      <c r="J750" s="1351" t="str">
        <f t="shared" si="106"/>
        <v/>
      </c>
      <c r="K750" s="1351" t="str">
        <f t="shared" si="102"/>
        <v/>
      </c>
      <c r="L750" s="852" t="s">
        <v>1387</v>
      </c>
      <c r="M750" s="1366">
        <v>733</v>
      </c>
      <c r="N750" s="1351"/>
      <c r="O750" s="1348"/>
      <c r="P750" s="1348"/>
      <c r="Q750" s="1348"/>
      <c r="R750" s="1351" t="s">
        <v>1526</v>
      </c>
      <c r="S750" s="1348"/>
      <c r="T750" s="1351" t="str">
        <f t="shared" si="105"/>
        <v/>
      </c>
      <c r="U750" s="1348"/>
      <c r="V750" s="1348"/>
      <c r="W750" s="1348"/>
      <c r="X750" s="1348"/>
      <c r="Y750" s="1348"/>
      <c r="Z750" s="134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51"/>
      <c r="H751" s="1351"/>
      <c r="I751" s="1307" t="str">
        <f t="shared" si="101"/>
        <v/>
      </c>
      <c r="J751" s="1351"/>
      <c r="K751" s="1351" t="str">
        <f t="shared" si="102"/>
        <v/>
      </c>
      <c r="L751" s="852" t="s">
        <v>1388</v>
      </c>
      <c r="M751" s="1366">
        <v>734</v>
      </c>
      <c r="N751" s="1351"/>
      <c r="O751" s="1348"/>
      <c r="P751" s="1348"/>
      <c r="Q751" s="1348"/>
      <c r="R751" s="1351" t="s">
        <v>1526</v>
      </c>
      <c r="S751" s="1348"/>
      <c r="T751" s="1351" t="str">
        <f t="shared" si="105"/>
        <v/>
      </c>
      <c r="U751" s="1348"/>
      <c r="V751" s="1348"/>
      <c r="W751" s="1348"/>
      <c r="X751" s="1348"/>
      <c r="Y751" s="1348"/>
      <c r="Z751" s="134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0"/>
      <c r="G752" s="1351"/>
      <c r="H752" s="1351"/>
      <c r="I752" s="1307" t="str">
        <f t="shared" si="101"/>
        <v/>
      </c>
      <c r="J752" s="1351"/>
      <c r="K752" s="1351" t="str">
        <f t="shared" si="102"/>
        <v/>
      </c>
      <c r="L752" s="852" t="s">
        <v>1389</v>
      </c>
      <c r="M752" s="1366">
        <v>735</v>
      </c>
      <c r="N752" s="1351"/>
      <c r="O752" s="1348"/>
      <c r="P752" s="1348"/>
      <c r="Q752" s="1348"/>
      <c r="R752" s="1351" t="s">
        <v>1526</v>
      </c>
      <c r="S752" s="1348"/>
      <c r="T752" s="1351" t="str">
        <f t="shared" si="105"/>
        <v/>
      </c>
      <c r="U752" s="1348"/>
      <c r="V752" s="1348"/>
      <c r="W752" s="1348"/>
      <c r="X752" s="1348"/>
      <c r="Y752" s="1348"/>
      <c r="Z752" s="134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51"/>
      <c r="G753" s="1351"/>
      <c r="H753" s="1351"/>
      <c r="I753" s="1307" t="str">
        <f t="shared" si="101"/>
        <v/>
      </c>
      <c r="J753" s="1351" t="str">
        <f t="shared" si="106"/>
        <v/>
      </c>
      <c r="K753" s="1351" t="str">
        <f t="shared" si="102"/>
        <v/>
      </c>
      <c r="L753" s="852" t="s">
        <v>1387</v>
      </c>
      <c r="M753" s="1366">
        <v>736</v>
      </c>
      <c r="N753" s="1351"/>
      <c r="O753" s="1348"/>
      <c r="P753" s="1348"/>
      <c r="Q753" s="1348"/>
      <c r="R753" s="1351" t="s">
        <v>1526</v>
      </c>
      <c r="S753" s="1348"/>
      <c r="T753" s="1351" t="str">
        <f t="shared" si="105"/>
        <v/>
      </c>
      <c r="U753" s="1348"/>
      <c r="V753" s="1348"/>
      <c r="W753" s="1348"/>
      <c r="X753" s="1348"/>
      <c r="Y753" s="1348"/>
      <c r="Z753" s="134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51"/>
      <c r="G754" s="1351"/>
      <c r="H754" s="1351"/>
      <c r="I754" s="1307" t="str">
        <f t="shared" si="101"/>
        <v/>
      </c>
      <c r="J754" s="1351"/>
      <c r="K754" s="1351" t="str">
        <f t="shared" si="102"/>
        <v/>
      </c>
      <c r="L754" s="852" t="s">
        <v>1388</v>
      </c>
      <c r="M754" s="1366">
        <v>737</v>
      </c>
      <c r="N754" s="1351"/>
      <c r="O754" s="1348"/>
      <c r="P754" s="1348"/>
      <c r="Q754" s="1348"/>
      <c r="R754" s="1351" t="s">
        <v>1526</v>
      </c>
      <c r="S754" s="1348"/>
      <c r="T754" s="1351" t="str">
        <f t="shared" si="105"/>
        <v/>
      </c>
      <c r="U754" s="1348"/>
      <c r="V754" s="1348"/>
      <c r="W754" s="1348"/>
      <c r="X754" s="1348"/>
      <c r="Y754" s="1348"/>
      <c r="Z754" s="134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51"/>
      <c r="G755" s="1351"/>
      <c r="H755" s="1351"/>
      <c r="I755" s="1307" t="str">
        <f t="shared" si="101"/>
        <v/>
      </c>
      <c r="J755" s="1351"/>
      <c r="K755" s="1351" t="str">
        <f t="shared" si="102"/>
        <v/>
      </c>
      <c r="L755" s="852" t="s">
        <v>1389</v>
      </c>
      <c r="M755" s="1366">
        <v>738</v>
      </c>
      <c r="N755" s="1351"/>
      <c r="O755" s="1348"/>
      <c r="P755" s="1348"/>
      <c r="Q755" s="1348"/>
      <c r="R755" s="1351" t="s">
        <v>1526</v>
      </c>
      <c r="S755" s="1348"/>
      <c r="T755" s="1351" t="str">
        <f t="shared" si="105"/>
        <v/>
      </c>
      <c r="U755" s="1348"/>
      <c r="V755" s="1348"/>
      <c r="W755" s="1348"/>
      <c r="X755" s="1348"/>
      <c r="Y755" s="1348"/>
      <c r="Z755" s="134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51"/>
      <c r="G756" s="1351"/>
      <c r="H756" s="1351"/>
      <c r="I756" s="1307" t="str">
        <f t="shared" si="101"/>
        <v/>
      </c>
      <c r="J756" s="1351" t="str">
        <f t="shared" si="106"/>
        <v/>
      </c>
      <c r="K756" s="1351" t="str">
        <f t="shared" si="102"/>
        <v/>
      </c>
      <c r="L756" s="852" t="s">
        <v>1387</v>
      </c>
      <c r="M756" s="1366">
        <v>739</v>
      </c>
      <c r="N756" s="1351"/>
      <c r="O756" s="1348"/>
      <c r="P756" s="1348"/>
      <c r="Q756" s="1348"/>
      <c r="R756" s="1351" t="s">
        <v>1526</v>
      </c>
      <c r="S756" s="1348"/>
      <c r="T756" s="1351" t="str">
        <f t="shared" si="105"/>
        <v/>
      </c>
      <c r="U756" s="1348"/>
      <c r="V756" s="1348"/>
      <c r="W756" s="1348"/>
      <c r="X756" s="1348"/>
      <c r="Y756" s="1348"/>
      <c r="Z756" s="134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51"/>
      <c r="G757" s="1351"/>
      <c r="H757" s="1351"/>
      <c r="I757" s="1307" t="str">
        <f t="shared" si="101"/>
        <v/>
      </c>
      <c r="J757" s="1351"/>
      <c r="K757" s="1351" t="str">
        <f t="shared" si="102"/>
        <v/>
      </c>
      <c r="L757" s="852" t="s">
        <v>1388</v>
      </c>
      <c r="M757" s="1366">
        <v>740</v>
      </c>
      <c r="N757" s="1351"/>
      <c r="O757" s="1348"/>
      <c r="P757" s="1348"/>
      <c r="Q757" s="1348"/>
      <c r="R757" s="1351" t="s">
        <v>1526</v>
      </c>
      <c r="S757" s="1348"/>
      <c r="T757" s="1351" t="str">
        <f t="shared" si="105"/>
        <v/>
      </c>
      <c r="U757" s="1348"/>
      <c r="V757" s="1348"/>
      <c r="W757" s="1348"/>
      <c r="X757" s="1348"/>
      <c r="Y757" s="1348"/>
      <c r="Z757" s="134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51"/>
      <c r="G758" s="1351"/>
      <c r="H758" s="1351"/>
      <c r="I758" s="1307" t="str">
        <f t="shared" si="101"/>
        <v/>
      </c>
      <c r="J758" s="1351"/>
      <c r="K758" s="1351" t="str">
        <f t="shared" si="102"/>
        <v/>
      </c>
      <c r="L758" s="852" t="s">
        <v>1389</v>
      </c>
      <c r="M758" s="1366">
        <v>741</v>
      </c>
      <c r="N758" s="1351"/>
      <c r="O758" s="1348"/>
      <c r="P758" s="1348"/>
      <c r="Q758" s="1348"/>
      <c r="R758" s="1351" t="s">
        <v>1526</v>
      </c>
      <c r="S758" s="1348"/>
      <c r="T758" s="1351" t="str">
        <f t="shared" si="105"/>
        <v/>
      </c>
      <c r="U758" s="1348"/>
      <c r="V758" s="1348"/>
      <c r="W758" s="1348"/>
      <c r="X758" s="1348"/>
      <c r="Y758" s="1348"/>
      <c r="Z758" s="134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51"/>
      <c r="G759" s="1351"/>
      <c r="H759" s="1351"/>
      <c r="I759" s="1307" t="str">
        <f t="shared" si="101"/>
        <v/>
      </c>
      <c r="J759" s="1351" t="str">
        <f t="shared" si="106"/>
        <v/>
      </c>
      <c r="K759" s="1351" t="str">
        <f t="shared" si="102"/>
        <v/>
      </c>
      <c r="L759" s="852" t="s">
        <v>1387</v>
      </c>
      <c r="M759" s="1366">
        <v>742</v>
      </c>
      <c r="N759" s="1351"/>
      <c r="O759" s="1348"/>
      <c r="P759" s="1348"/>
      <c r="Q759" s="1348"/>
      <c r="R759" s="1351" t="s">
        <v>1526</v>
      </c>
      <c r="S759" s="1348"/>
      <c r="T759" s="1351" t="str">
        <f t="shared" si="105"/>
        <v/>
      </c>
      <c r="U759" s="1348"/>
      <c r="V759" s="1348"/>
      <c r="W759" s="1348"/>
      <c r="X759" s="1348"/>
      <c r="Y759" s="1348"/>
      <c r="Z759" s="134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51"/>
      <c r="G760" s="1351"/>
      <c r="H760" s="1351"/>
      <c r="I760" s="1307" t="str">
        <f t="shared" si="101"/>
        <v/>
      </c>
      <c r="J760" s="1351"/>
      <c r="K760" s="1351" t="str">
        <f t="shared" si="102"/>
        <v/>
      </c>
      <c r="L760" s="852" t="s">
        <v>1388</v>
      </c>
      <c r="M760" s="1366">
        <v>743</v>
      </c>
      <c r="N760" s="1351"/>
      <c r="O760" s="1348"/>
      <c r="P760" s="1348"/>
      <c r="Q760" s="1348"/>
      <c r="R760" s="1351" t="s">
        <v>1526</v>
      </c>
      <c r="S760" s="1348"/>
      <c r="T760" s="1351" t="str">
        <f t="shared" si="105"/>
        <v/>
      </c>
      <c r="U760" s="1348"/>
      <c r="V760" s="1348"/>
      <c r="W760" s="1348"/>
      <c r="X760" s="1348"/>
      <c r="Y760" s="1348"/>
      <c r="Z760" s="134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51"/>
      <c r="G761" s="1351"/>
      <c r="H761" s="1351"/>
      <c r="I761" s="1307" t="str">
        <f t="shared" si="101"/>
        <v/>
      </c>
      <c r="J761" s="1351"/>
      <c r="K761" s="1351" t="str">
        <f t="shared" si="102"/>
        <v/>
      </c>
      <c r="L761" s="852" t="s">
        <v>1389</v>
      </c>
      <c r="M761" s="1366">
        <v>744</v>
      </c>
      <c r="N761" s="1351"/>
      <c r="O761" s="1348"/>
      <c r="P761" s="1348"/>
      <c r="Q761" s="1348"/>
      <c r="R761" s="1351" t="s">
        <v>1526</v>
      </c>
      <c r="S761" s="1348"/>
      <c r="T761" s="1351" t="str">
        <f t="shared" si="105"/>
        <v/>
      </c>
      <c r="U761" s="1348"/>
      <c r="V761" s="1348"/>
      <c r="W761" s="1348"/>
      <c r="X761" s="1348"/>
      <c r="Y761" s="1348"/>
      <c r="Z761" s="134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51"/>
      <c r="G762" s="1351"/>
      <c r="H762" s="1351"/>
      <c r="I762" s="1307" t="str">
        <f t="shared" si="101"/>
        <v/>
      </c>
      <c r="J762" s="1351" t="str">
        <f t="shared" si="106"/>
        <v/>
      </c>
      <c r="K762" s="1351" t="str">
        <f t="shared" si="102"/>
        <v/>
      </c>
      <c r="L762" s="852" t="s">
        <v>1387</v>
      </c>
      <c r="M762" s="1366">
        <v>745</v>
      </c>
      <c r="N762" s="1351"/>
      <c r="O762" s="1348"/>
      <c r="P762" s="1348"/>
      <c r="Q762" s="1348"/>
      <c r="R762" s="1351" t="s">
        <v>1526</v>
      </c>
      <c r="S762" s="1348"/>
      <c r="T762" s="1351" t="str">
        <f t="shared" si="105"/>
        <v/>
      </c>
      <c r="U762" s="1348"/>
      <c r="V762" s="1348"/>
      <c r="W762" s="1348"/>
      <c r="X762" s="1348"/>
      <c r="Y762" s="1348"/>
      <c r="Z762" s="134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51"/>
      <c r="G763" s="1351"/>
      <c r="H763" s="1351"/>
      <c r="I763" s="1307" t="str">
        <f t="shared" si="101"/>
        <v/>
      </c>
      <c r="J763" s="1351"/>
      <c r="K763" s="1351" t="str">
        <f t="shared" si="102"/>
        <v/>
      </c>
      <c r="L763" s="852" t="s">
        <v>1388</v>
      </c>
      <c r="M763" s="1366">
        <v>746</v>
      </c>
      <c r="N763" s="1351"/>
      <c r="O763" s="1348"/>
      <c r="P763" s="1348"/>
      <c r="Q763" s="1348"/>
      <c r="R763" s="1351" t="s">
        <v>1526</v>
      </c>
      <c r="S763" s="1348"/>
      <c r="T763" s="1351" t="str">
        <f t="shared" si="105"/>
        <v/>
      </c>
      <c r="U763" s="1348"/>
      <c r="V763" s="1348"/>
      <c r="W763" s="1348"/>
      <c r="X763" s="1348"/>
      <c r="Y763" s="1348"/>
      <c r="Z763" s="134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51"/>
      <c r="G764" s="1351"/>
      <c r="H764" s="1351"/>
      <c r="I764" s="1307" t="str">
        <f t="shared" si="101"/>
        <v/>
      </c>
      <c r="J764" s="1351"/>
      <c r="K764" s="1351" t="str">
        <f t="shared" si="102"/>
        <v/>
      </c>
      <c r="L764" s="852" t="s">
        <v>1389</v>
      </c>
      <c r="M764" s="1366">
        <v>747</v>
      </c>
      <c r="N764" s="1351"/>
      <c r="O764" s="1348"/>
      <c r="P764" s="1348"/>
      <c r="Q764" s="1348"/>
      <c r="R764" s="1351" t="s">
        <v>1526</v>
      </c>
      <c r="S764" s="1348"/>
      <c r="T764" s="1351" t="str">
        <f t="shared" si="105"/>
        <v/>
      </c>
      <c r="U764" s="1348"/>
      <c r="V764" s="1348"/>
      <c r="W764" s="1348"/>
      <c r="X764" s="1348"/>
      <c r="Y764" s="1348"/>
      <c r="Z764" s="134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51" t="s">
        <v>1492</v>
      </c>
      <c r="G765" s="1351" t="str">
        <f>IF(T765&lt;&gt;"","A","")</f>
        <v/>
      </c>
      <c r="H765" s="1351" t="s">
        <v>1991</v>
      </c>
      <c r="I765" s="1307" t="str">
        <f t="shared" si="101"/>
        <v/>
      </c>
      <c r="J765" s="1351"/>
      <c r="K765" s="1351" t="str">
        <f t="shared" si="102"/>
        <v/>
      </c>
      <c r="L765" s="852" t="s">
        <v>1492</v>
      </c>
      <c r="M765" s="1366">
        <v>748</v>
      </c>
      <c r="N765" s="1351"/>
      <c r="O765" s="1348" t="s">
        <v>725</v>
      </c>
      <c r="P765" s="1348"/>
      <c r="Q765" s="1348"/>
      <c r="R765" s="1351" t="s">
        <v>1532</v>
      </c>
      <c r="S765" s="1348"/>
      <c r="T765" s="1351" t="str">
        <f t="shared" ref="T765:T778" si="110">IF(Q$766="Yes",11,"")</f>
        <v/>
      </c>
      <c r="U765" s="1348"/>
      <c r="V765" s="1348"/>
      <c r="W765" s="1348"/>
      <c r="X765" s="1348"/>
      <c r="Y765" s="1348"/>
      <c r="Z765" s="134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51"/>
      <c r="G766" s="1351"/>
      <c r="H766" s="1351"/>
      <c r="I766" s="1307" t="str">
        <f t="shared" si="101"/>
        <v/>
      </c>
      <c r="J766" s="1351" t="str">
        <f t="shared" ref="J766:J778" si="111">IF(M766&lt;&gt;"",IF($Q$766="Yes",Q$1&amp;M766,""))</f>
        <v/>
      </c>
      <c r="K766" s="1351" t="str">
        <f t="shared" si="102"/>
        <v/>
      </c>
      <c r="L766" s="852" t="s">
        <v>1706</v>
      </c>
      <c r="M766" s="1366">
        <v>749</v>
      </c>
      <c r="N766" s="1351"/>
      <c r="O766" s="1348">
        <f>'Configurable Tab'!H13</f>
        <v>151</v>
      </c>
      <c r="P766" s="1447" t="str">
        <f>'Configurable Tab'!J13</f>
        <v>Yes</v>
      </c>
      <c r="Q766" s="1388" t="s">
        <v>648</v>
      </c>
      <c r="R766" s="1351" t="s">
        <v>1532</v>
      </c>
      <c r="S766" s="1348"/>
      <c r="T766" s="1351" t="str">
        <f t="shared" si="110"/>
        <v/>
      </c>
      <c r="U766" s="1348"/>
      <c r="V766" s="1348"/>
      <c r="W766" s="1348"/>
      <c r="X766" s="1348"/>
      <c r="Y766" s="1348"/>
      <c r="Z766" s="134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51" t="s">
        <v>1383</v>
      </c>
      <c r="G767" s="1351" t="str">
        <f>IF(T767&lt;&gt;"","B","")</f>
        <v/>
      </c>
      <c r="H767" s="1351" t="s">
        <v>1991</v>
      </c>
      <c r="I767" s="1307" t="str">
        <f t="shared" si="101"/>
        <v/>
      </c>
      <c r="J767" s="1351"/>
      <c r="K767" s="1351" t="str">
        <f t="shared" si="102"/>
        <v/>
      </c>
      <c r="L767" s="852" t="s">
        <v>1383</v>
      </c>
      <c r="M767" s="1366">
        <v>750</v>
      </c>
      <c r="N767" s="1351"/>
      <c r="O767" s="1348" t="s">
        <v>726</v>
      </c>
      <c r="P767" s="1348"/>
      <c r="Q767" s="1348"/>
      <c r="R767" s="1351" t="s">
        <v>1532</v>
      </c>
      <c r="S767" s="1348"/>
      <c r="T767" s="1351" t="str">
        <f t="shared" si="110"/>
        <v/>
      </c>
      <c r="U767" s="1348"/>
      <c r="V767" s="1348"/>
      <c r="W767" s="1348"/>
      <c r="X767" s="1348"/>
      <c r="Y767" s="1348"/>
      <c r="Z767" s="134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51" t="s">
        <v>1992</v>
      </c>
      <c r="G768" s="1351" t="str">
        <f>IF(T768&lt;&gt;"","E","")</f>
        <v/>
      </c>
      <c r="H768" s="1351" t="s">
        <v>1991</v>
      </c>
      <c r="I768" s="1307" t="str">
        <f t="shared" si="101"/>
        <v/>
      </c>
      <c r="J768" s="1351" t="str">
        <f t="shared" si="111"/>
        <v/>
      </c>
      <c r="K768" s="1351" t="str">
        <f t="shared" si="102"/>
        <v/>
      </c>
      <c r="L768" s="852" t="s">
        <v>1380</v>
      </c>
      <c r="M768" s="1366">
        <v>751</v>
      </c>
      <c r="N768" s="1351"/>
      <c r="O768" s="1348">
        <f>'Configurable Tab'!I13</f>
        <v>164</v>
      </c>
      <c r="P768" s="1348"/>
      <c r="Q768" s="1348"/>
      <c r="R768" s="1351" t="s">
        <v>1532</v>
      </c>
      <c r="S768" s="1348"/>
      <c r="T768" s="1351" t="str">
        <f t="shared" si="110"/>
        <v/>
      </c>
      <c r="U768" s="1348"/>
      <c r="V768" s="1348"/>
      <c r="W768" s="1348"/>
      <c r="X768" s="1348"/>
      <c r="Y768" s="1348"/>
      <c r="Z768" s="1348"/>
    </row>
    <row r="769" spans="1:26" x14ac:dyDescent="0.25">
      <c r="A769" s="873" t="s">
        <v>1381</v>
      </c>
      <c r="B769" s="852" t="str">
        <f t="shared" ca="1" si="112"/>
        <v>J153</v>
      </c>
      <c r="C769" s="852" t="str">
        <f t="shared" ca="1" si="113"/>
        <v>J154</v>
      </c>
      <c r="D769" s="852" t="s">
        <v>1350</v>
      </c>
      <c r="E769" s="852" t="s">
        <v>1517</v>
      </c>
      <c r="F769" s="1351" t="s">
        <v>1993</v>
      </c>
      <c r="G769" s="1351" t="str">
        <f>IF(T769&lt;&gt;"","I","")</f>
        <v/>
      </c>
      <c r="H769" s="1351" t="s">
        <v>1991</v>
      </c>
      <c r="I769" s="1307" t="str">
        <f t="shared" si="101"/>
        <v/>
      </c>
      <c r="J769" s="1351" t="str">
        <f t="shared" si="111"/>
        <v/>
      </c>
      <c r="K769" s="1351" t="str">
        <f t="shared" si="102"/>
        <v/>
      </c>
      <c r="L769" s="852" t="s">
        <v>1381</v>
      </c>
      <c r="M769" s="1366">
        <v>752</v>
      </c>
      <c r="N769" s="1351"/>
      <c r="O769" s="1348" t="s">
        <v>1643</v>
      </c>
      <c r="P769" s="1348"/>
      <c r="Q769" s="1348"/>
      <c r="R769" s="1351" t="s">
        <v>1532</v>
      </c>
      <c r="S769" s="1348"/>
      <c r="T769" s="1351" t="str">
        <f t="shared" si="110"/>
        <v/>
      </c>
      <c r="U769" s="1348"/>
      <c r="V769" s="1348"/>
      <c r="W769" s="1348"/>
      <c r="X769" s="1348"/>
      <c r="Y769" s="1348"/>
      <c r="Z769" s="1348"/>
    </row>
    <row r="770" spans="1:26" x14ac:dyDescent="0.25">
      <c r="A770" s="873" t="s">
        <v>1397</v>
      </c>
      <c r="B770" s="852" t="str">
        <f t="shared" ca="1" si="112"/>
        <v>L153</v>
      </c>
      <c r="C770" s="852" t="str">
        <f t="shared" ca="1" si="113"/>
        <v>L154</v>
      </c>
      <c r="D770" s="852" t="s">
        <v>1350</v>
      </c>
      <c r="E770" s="852" t="s">
        <v>1517</v>
      </c>
      <c r="F770" s="1351" t="s">
        <v>1994</v>
      </c>
      <c r="G770" s="1351" t="str">
        <f>IF(T770&lt;&gt;"","H","")</f>
        <v/>
      </c>
      <c r="H770" s="1351" t="s">
        <v>1991</v>
      </c>
      <c r="I770" s="1307" t="str">
        <f t="shared" si="101"/>
        <v/>
      </c>
      <c r="J770" s="1351" t="str">
        <f t="shared" si="111"/>
        <v/>
      </c>
      <c r="K770" s="1351" t="str">
        <f t="shared" si="102"/>
        <v/>
      </c>
      <c r="L770" s="852" t="s">
        <v>1397</v>
      </c>
      <c r="M770" s="1366">
        <v>753</v>
      </c>
      <c r="N770" s="1351"/>
      <c r="O770" s="1348"/>
      <c r="P770" s="1348"/>
      <c r="Q770" s="1348"/>
      <c r="R770" s="1351" t="s">
        <v>1532</v>
      </c>
      <c r="S770" s="1348"/>
      <c r="T770" s="1351" t="str">
        <f t="shared" si="110"/>
        <v/>
      </c>
      <c r="U770" s="1348"/>
      <c r="V770" s="1348"/>
      <c r="W770" s="1348"/>
      <c r="X770" s="1348"/>
      <c r="Y770" s="1348"/>
      <c r="Z770" s="1348"/>
    </row>
    <row r="771" spans="1:26" x14ac:dyDescent="0.25">
      <c r="A771" s="873" t="s">
        <v>1382</v>
      </c>
      <c r="B771" s="852" t="str">
        <f t="shared" ca="1" si="112"/>
        <v>N153</v>
      </c>
      <c r="C771" s="852" t="str">
        <f t="shared" ca="1" si="113"/>
        <v>N154</v>
      </c>
      <c r="D771" s="852" t="s">
        <v>1350</v>
      </c>
      <c r="E771" s="852" t="s">
        <v>1517</v>
      </c>
      <c r="F771" s="1351" t="s">
        <v>1382</v>
      </c>
      <c r="G771" s="1351" t="str">
        <f>IF(T771&lt;&gt;"",IF(Q769="Credit Memo","J",IF(Q769="Check","K","")),"")</f>
        <v/>
      </c>
      <c r="H771" s="1351" t="s">
        <v>1991</v>
      </c>
      <c r="I771" s="1307" t="str">
        <f t="shared" si="101"/>
        <v/>
      </c>
      <c r="J771" s="1351" t="str">
        <f t="shared" si="111"/>
        <v/>
      </c>
      <c r="K771" s="1351" t="str">
        <f t="shared" si="102"/>
        <v/>
      </c>
      <c r="L771" s="852" t="s">
        <v>1382</v>
      </c>
      <c r="M771" s="1366">
        <v>754</v>
      </c>
      <c r="N771" s="1351"/>
      <c r="O771" s="1348"/>
      <c r="P771" s="1348"/>
      <c r="Q771" s="1348"/>
      <c r="R771" s="1351" t="s">
        <v>1532</v>
      </c>
      <c r="S771" s="1348"/>
      <c r="T771" s="1351" t="str">
        <f t="shared" si="110"/>
        <v/>
      </c>
      <c r="U771" s="1348"/>
      <c r="V771" s="1348"/>
      <c r="W771" s="1348"/>
      <c r="X771" s="1348"/>
      <c r="Y771" s="1348"/>
      <c r="Z771" s="1348"/>
    </row>
    <row r="772" spans="1:26" x14ac:dyDescent="0.25">
      <c r="A772" s="873" t="s">
        <v>1487</v>
      </c>
      <c r="B772" s="852" t="str">
        <f t="shared" ca="1" si="112"/>
        <v>P153</v>
      </c>
      <c r="C772" s="852" t="str">
        <f t="shared" ca="1" si="113"/>
        <v>P154</v>
      </c>
      <c r="D772" s="852" t="s">
        <v>1350</v>
      </c>
      <c r="E772" s="852" t="s">
        <v>1517</v>
      </c>
      <c r="F772" s="1351" t="s">
        <v>1995</v>
      </c>
      <c r="G772" s="1351" t="str">
        <f>IF(T772&lt;&gt;"","F","")</f>
        <v/>
      </c>
      <c r="H772" s="1351" t="s">
        <v>1991</v>
      </c>
      <c r="I772" s="1307" t="str">
        <f t="shared" ref="I772:I835" si="114">IF(J772&lt;&gt;"",A772,"")</f>
        <v/>
      </c>
      <c r="J772" s="1351" t="str">
        <f t="shared" si="111"/>
        <v/>
      </c>
      <c r="K772" s="1351" t="str">
        <f t="shared" ref="K772:K835" si="115">IF(J772&lt;&gt;"",E772,"")</f>
        <v/>
      </c>
      <c r="L772" s="852" t="s">
        <v>1487</v>
      </c>
      <c r="M772" s="1366">
        <v>755</v>
      </c>
      <c r="N772" s="1351"/>
      <c r="O772" s="1348"/>
      <c r="P772" s="1348"/>
      <c r="Q772" s="1348"/>
      <c r="R772" s="1351" t="s">
        <v>1532</v>
      </c>
      <c r="S772" s="1348"/>
      <c r="T772" s="1351" t="str">
        <f t="shared" si="110"/>
        <v/>
      </c>
      <c r="U772" s="1348"/>
      <c r="V772" s="1348"/>
      <c r="W772" s="1348"/>
      <c r="X772" s="1348"/>
      <c r="Y772" s="1348"/>
      <c r="Z772" s="1348"/>
    </row>
    <row r="773" spans="1:26" x14ac:dyDescent="0.25">
      <c r="A773" s="873" t="s">
        <v>1488</v>
      </c>
      <c r="B773" s="852" t="str">
        <f t="shared" ca="1" si="112"/>
        <v>R153</v>
      </c>
      <c r="C773" s="852" t="str">
        <f t="shared" ca="1" si="113"/>
        <v>R154</v>
      </c>
      <c r="D773" s="852" t="s">
        <v>1350</v>
      </c>
      <c r="E773" s="852" t="s">
        <v>1517</v>
      </c>
      <c r="F773" s="1351" t="s">
        <v>1996</v>
      </c>
      <c r="G773" s="1351" t="str">
        <f>IF(T773&lt;&gt;"","G","")</f>
        <v/>
      </c>
      <c r="H773" s="1351" t="s">
        <v>1991</v>
      </c>
      <c r="I773" s="1307" t="str">
        <f t="shared" si="114"/>
        <v/>
      </c>
      <c r="J773" s="1351" t="str">
        <f t="shared" si="111"/>
        <v/>
      </c>
      <c r="K773" s="1351" t="str">
        <f t="shared" si="115"/>
        <v/>
      </c>
      <c r="L773" s="852" t="s">
        <v>1488</v>
      </c>
      <c r="M773" s="1366">
        <v>756</v>
      </c>
      <c r="N773" s="1351"/>
      <c r="O773" s="1348"/>
      <c r="P773" s="1348"/>
      <c r="Q773" s="1348"/>
      <c r="R773" s="1351" t="s">
        <v>1532</v>
      </c>
      <c r="S773" s="1348"/>
      <c r="T773" s="1351" t="str">
        <f t="shared" si="110"/>
        <v/>
      </c>
      <c r="U773" s="1348"/>
      <c r="V773" s="1348"/>
      <c r="W773" s="1348"/>
      <c r="X773" s="1348"/>
      <c r="Y773" s="1348"/>
      <c r="Z773" s="1348"/>
    </row>
    <row r="774" spans="1:26" x14ac:dyDescent="0.25">
      <c r="A774" s="873" t="s">
        <v>1489</v>
      </c>
      <c r="B774" s="852" t="str">
        <f t="shared" ca="1" si="112"/>
        <v>T153</v>
      </c>
      <c r="C774" s="852" t="str">
        <f t="shared" ca="1" si="113"/>
        <v>T154</v>
      </c>
      <c r="D774" s="852" t="s">
        <v>1350</v>
      </c>
      <c r="E774" s="852" t="s">
        <v>1517</v>
      </c>
      <c r="F774" s="867" t="s">
        <v>1489</v>
      </c>
      <c r="G774" s="1351" t="str">
        <f>IF(T774&lt;&gt;"","AW","")</f>
        <v/>
      </c>
      <c r="H774" s="1351" t="s">
        <v>1991</v>
      </c>
      <c r="I774" s="1307" t="str">
        <f t="shared" si="114"/>
        <v/>
      </c>
      <c r="J774" s="1351" t="str">
        <f t="shared" si="111"/>
        <v/>
      </c>
      <c r="K774" s="1351" t="str">
        <f t="shared" si="115"/>
        <v/>
      </c>
      <c r="L774" s="852" t="s">
        <v>1489</v>
      </c>
      <c r="M774" s="1366">
        <v>757</v>
      </c>
      <c r="N774" s="1351"/>
      <c r="O774" s="1348"/>
      <c r="P774" s="1348"/>
      <c r="Q774" s="1348"/>
      <c r="R774" s="1351" t="s">
        <v>1532</v>
      </c>
      <c r="S774" s="1348"/>
      <c r="T774" s="1351" t="str">
        <f t="shared" si="110"/>
        <v/>
      </c>
      <c r="U774" s="1348"/>
      <c r="V774" s="1348"/>
      <c r="W774" s="1348"/>
      <c r="X774" s="1348"/>
      <c r="Y774" s="1348"/>
      <c r="Z774" s="134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51" t="s">
        <v>1385</v>
      </c>
      <c r="G775" s="1351" t="str">
        <f>IF(T775&lt;&gt;"","C","")</f>
        <v/>
      </c>
      <c r="H775" s="1351" t="s">
        <v>1991</v>
      </c>
      <c r="I775" s="1307" t="str">
        <f t="shared" si="114"/>
        <v/>
      </c>
      <c r="J775" s="1351"/>
      <c r="K775" s="1351" t="str">
        <f t="shared" si="115"/>
        <v/>
      </c>
      <c r="L775" s="852" t="s">
        <v>1385</v>
      </c>
      <c r="M775" s="1366">
        <v>758</v>
      </c>
      <c r="N775" s="1351"/>
      <c r="O775" s="1348"/>
      <c r="P775" s="1348"/>
      <c r="Q775" s="1348"/>
      <c r="R775" s="1351" t="s">
        <v>1532</v>
      </c>
      <c r="S775" s="1348"/>
      <c r="T775" s="1351" t="str">
        <f t="shared" si="110"/>
        <v/>
      </c>
      <c r="U775" s="1348"/>
      <c r="V775" s="1348"/>
      <c r="W775" s="1348"/>
      <c r="X775" s="1348"/>
      <c r="Y775" s="1348"/>
      <c r="Z775" s="134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51" t="s">
        <v>1386</v>
      </c>
      <c r="G776" s="1351" t="str">
        <f>IF(T776&lt;&gt;"","D","")</f>
        <v/>
      </c>
      <c r="H776" s="1351" t="s">
        <v>1991</v>
      </c>
      <c r="I776" s="1307" t="str">
        <f t="shared" si="114"/>
        <v/>
      </c>
      <c r="J776" s="1351"/>
      <c r="K776" s="1351" t="str">
        <f t="shared" si="115"/>
        <v/>
      </c>
      <c r="L776" s="852" t="s">
        <v>1386</v>
      </c>
      <c r="M776" s="1366">
        <v>759</v>
      </c>
      <c r="N776" s="1351"/>
      <c r="O776" s="1348"/>
      <c r="P776" s="1348"/>
      <c r="Q776" s="1348"/>
      <c r="R776" s="1351" t="s">
        <v>1532</v>
      </c>
      <c r="S776" s="1348"/>
      <c r="T776" s="1351" t="str">
        <f t="shared" si="110"/>
        <v/>
      </c>
      <c r="U776" s="1348"/>
      <c r="V776" s="1348"/>
      <c r="W776" s="1348"/>
      <c r="X776" s="1348"/>
      <c r="Y776" s="1348"/>
      <c r="Z776" s="134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51" t="s">
        <v>1496</v>
      </c>
      <c r="G777" s="1351" t="str">
        <f>IF(T777&lt;&gt;"","AN","")</f>
        <v/>
      </c>
      <c r="H777" s="1351" t="s">
        <v>1991</v>
      </c>
      <c r="I777" s="1307" t="str">
        <f t="shared" si="114"/>
        <v/>
      </c>
      <c r="J777" s="1351" t="str">
        <f t="shared" si="111"/>
        <v/>
      </c>
      <c r="K777" s="1351" t="str">
        <f t="shared" si="115"/>
        <v/>
      </c>
      <c r="L777" s="852" t="s">
        <v>1496</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1532</v>
      </c>
      <c r="S777" s="1348"/>
      <c r="T777" s="1351" t="str">
        <f t="shared" si="110"/>
        <v/>
      </c>
      <c r="U777" s="1348"/>
      <c r="V777" s="1348"/>
      <c r="W777" s="1348"/>
      <c r="X777" s="1348"/>
      <c r="Y777" s="1348"/>
      <c r="Z777" s="134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51" t="s">
        <v>1493</v>
      </c>
      <c r="G778" s="1351" t="str">
        <f>IF(T778&lt;&gt;"","AL","")</f>
        <v/>
      </c>
      <c r="H778" s="1351" t="s">
        <v>1991</v>
      </c>
      <c r="I778" s="1307" t="str">
        <f t="shared" si="114"/>
        <v/>
      </c>
      <c r="J778" s="1351" t="str">
        <f t="shared" si="111"/>
        <v/>
      </c>
      <c r="K778" s="1351" t="str">
        <f t="shared" si="115"/>
        <v/>
      </c>
      <c r="L778" s="852" t="s">
        <v>1493</v>
      </c>
      <c r="M778" s="1366">
        <v>761</v>
      </c>
      <c r="N778" s="1351"/>
      <c r="O778" s="1348"/>
      <c r="P778" s="1348"/>
      <c r="Q778" s="1348"/>
      <c r="R778" s="1351" t="s">
        <v>1532</v>
      </c>
      <c r="S778" s="1348"/>
      <c r="T778" s="1351" t="str">
        <f t="shared" si="110"/>
        <v/>
      </c>
      <c r="U778" s="1348"/>
      <c r="V778" s="1348"/>
      <c r="W778" s="1348"/>
      <c r="X778" s="1348"/>
      <c r="Y778" s="1348"/>
      <c r="Z778" s="134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51" t="s">
        <v>1913</v>
      </c>
      <c r="G779" s="1351" t="str">
        <f>IF(T779&lt;&gt;"","O","")</f>
        <v/>
      </c>
      <c r="H779" s="1351" t="s">
        <v>1991</v>
      </c>
      <c r="I779" s="1307" t="str">
        <f t="shared" si="114"/>
        <v/>
      </c>
      <c r="J779" s="1351"/>
      <c r="K779" s="1351" t="str">
        <f t="shared" si="115"/>
        <v/>
      </c>
      <c r="L779" s="852" t="s">
        <v>1389</v>
      </c>
      <c r="M779" s="1366">
        <v>762</v>
      </c>
      <c r="N779" s="1351"/>
      <c r="O779" s="1348"/>
      <c r="P779" s="1348"/>
      <c r="Q779" s="1348"/>
      <c r="R779" s="1351" t="s">
        <v>1532</v>
      </c>
      <c r="S779" s="1348"/>
      <c r="T779" s="1351" t="str">
        <f>IF(Q$766="Yes",11,"")</f>
        <v/>
      </c>
      <c r="U779" s="1348"/>
      <c r="V779" s="1348"/>
      <c r="W779" s="1348"/>
      <c r="X779" s="1348"/>
      <c r="Y779" s="1348"/>
      <c r="Z779" s="134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51" t="s">
        <v>1492</v>
      </c>
      <c r="G780" s="1351" t="str">
        <f>IF(T780&lt;&gt;"","A","")</f>
        <v/>
      </c>
      <c r="H780" s="1351" t="s">
        <v>1991</v>
      </c>
      <c r="I780" s="1307" t="str">
        <f t="shared" si="114"/>
        <v/>
      </c>
      <c r="J780" s="1351"/>
      <c r="K780" s="1351" t="str">
        <f t="shared" si="115"/>
        <v/>
      </c>
      <c r="L780" s="852" t="s">
        <v>1492</v>
      </c>
      <c r="M780" s="1366">
        <v>763</v>
      </c>
      <c r="N780" s="1351"/>
      <c r="O780" s="1348" t="s">
        <v>725</v>
      </c>
      <c r="P780" s="1348"/>
      <c r="Q780" s="1348"/>
      <c r="R780" s="1351" t="s">
        <v>1532</v>
      </c>
      <c r="S780" s="1348"/>
      <c r="T780" s="1351" t="str">
        <f t="shared" ref="T780:T793" si="116">IF(Q$781="Yes",12,"")</f>
        <v/>
      </c>
      <c r="U780" s="1348"/>
      <c r="V780" s="1348"/>
      <c r="W780" s="1348"/>
      <c r="X780" s="1348"/>
      <c r="Y780" s="1348"/>
      <c r="Z780" s="134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51"/>
      <c r="G781" s="1351"/>
      <c r="H781" s="1351"/>
      <c r="I781" s="1307" t="str">
        <f t="shared" si="114"/>
        <v/>
      </c>
      <c r="J781" s="1351" t="str">
        <f t="shared" ref="J781:J793" si="117">IF(M781&lt;&gt;"",IF($Q$781="Yes",Q$1&amp;M781,""))</f>
        <v/>
      </c>
      <c r="K781" s="1351" t="str">
        <f t="shared" si="115"/>
        <v/>
      </c>
      <c r="L781" s="852" t="s">
        <v>1706</v>
      </c>
      <c r="M781" s="1366">
        <v>764</v>
      </c>
      <c r="N781" s="1351"/>
      <c r="O781" s="1348">
        <f>'Configurable Tab'!H14</f>
        <v>165</v>
      </c>
      <c r="P781" s="1447" t="str">
        <f>'Configurable Tab'!J14</f>
        <v>Yes</v>
      </c>
      <c r="Q781" s="1388" t="s">
        <v>648</v>
      </c>
      <c r="R781" s="1351" t="s">
        <v>1532</v>
      </c>
      <c r="S781" s="1348"/>
      <c r="T781" s="1351" t="str">
        <f t="shared" si="116"/>
        <v/>
      </c>
      <c r="U781" s="1348"/>
      <c r="V781" s="1348"/>
      <c r="W781" s="1348"/>
      <c r="X781" s="1348"/>
      <c r="Y781" s="1348"/>
      <c r="Z781" s="134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51" t="s">
        <v>1383</v>
      </c>
      <c r="G782" s="1351" t="str">
        <f>IF(T782&lt;&gt;"","B","")</f>
        <v/>
      </c>
      <c r="H782" s="1351" t="s">
        <v>1991</v>
      </c>
      <c r="I782" s="1307" t="str">
        <f t="shared" si="114"/>
        <v/>
      </c>
      <c r="J782" s="1351"/>
      <c r="K782" s="1351" t="str">
        <f t="shared" si="115"/>
        <v/>
      </c>
      <c r="L782" s="852" t="s">
        <v>1383</v>
      </c>
      <c r="M782" s="1366">
        <v>765</v>
      </c>
      <c r="N782" s="1351"/>
      <c r="O782" s="1348" t="s">
        <v>726</v>
      </c>
      <c r="P782" s="1348"/>
      <c r="Q782" s="1348"/>
      <c r="R782" s="1351" t="s">
        <v>1532</v>
      </c>
      <c r="S782" s="1348"/>
      <c r="T782" s="1351" t="str">
        <f t="shared" si="116"/>
        <v/>
      </c>
      <c r="U782" s="1348"/>
      <c r="V782" s="1348"/>
      <c r="W782" s="1348"/>
      <c r="X782" s="1348"/>
      <c r="Y782" s="1348"/>
      <c r="Z782" s="134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51" t="s">
        <v>1992</v>
      </c>
      <c r="G783" s="1351" t="str">
        <f>IF(T783&lt;&gt;"","E","")</f>
        <v/>
      </c>
      <c r="H783" s="1351" t="s">
        <v>1991</v>
      </c>
      <c r="I783" s="1307" t="str">
        <f t="shared" si="114"/>
        <v/>
      </c>
      <c r="J783" s="1351" t="str">
        <f t="shared" si="117"/>
        <v/>
      </c>
      <c r="K783" s="1351" t="str">
        <f t="shared" si="115"/>
        <v/>
      </c>
      <c r="L783" s="852" t="s">
        <v>1380</v>
      </c>
      <c r="M783" s="1366">
        <v>766</v>
      </c>
      <c r="N783" s="1351"/>
      <c r="O783" s="1348">
        <f>'Configurable Tab'!I14</f>
        <v>178</v>
      </c>
      <c r="P783" s="1348"/>
      <c r="Q783" s="1348"/>
      <c r="R783" s="1351" t="s">
        <v>1532</v>
      </c>
      <c r="S783" s="1348"/>
      <c r="T783" s="1351" t="str">
        <f t="shared" si="116"/>
        <v/>
      </c>
      <c r="U783" s="1348"/>
      <c r="V783" s="1348"/>
      <c r="W783" s="1348"/>
      <c r="X783" s="1348"/>
      <c r="Y783" s="1348"/>
      <c r="Z783" s="1348"/>
    </row>
    <row r="784" spans="1:26" x14ac:dyDescent="0.25">
      <c r="A784" s="876" t="s">
        <v>1381</v>
      </c>
      <c r="B784" s="852" t="str">
        <f t="shared" ca="1" si="118"/>
        <v>J167</v>
      </c>
      <c r="C784" s="852" t="str">
        <f t="shared" ca="1" si="119"/>
        <v>J168</v>
      </c>
      <c r="D784" s="852" t="s">
        <v>1350</v>
      </c>
      <c r="E784" s="852" t="s">
        <v>1517</v>
      </c>
      <c r="F784" s="1351" t="s">
        <v>1993</v>
      </c>
      <c r="G784" s="1351" t="str">
        <f>IF(T784&lt;&gt;"","I","")</f>
        <v/>
      </c>
      <c r="H784" s="1351" t="s">
        <v>1991</v>
      </c>
      <c r="I784" s="1307" t="str">
        <f t="shared" si="114"/>
        <v/>
      </c>
      <c r="J784" s="1351" t="str">
        <f t="shared" si="117"/>
        <v/>
      </c>
      <c r="K784" s="1351" t="str">
        <f t="shared" si="115"/>
        <v/>
      </c>
      <c r="L784" s="852" t="s">
        <v>1381</v>
      </c>
      <c r="M784" s="1366">
        <v>767</v>
      </c>
      <c r="N784" s="1351"/>
      <c r="O784" s="1348" t="s">
        <v>1644</v>
      </c>
      <c r="P784" s="1348"/>
      <c r="Q784" s="1348"/>
      <c r="R784" s="1351" t="s">
        <v>1532</v>
      </c>
      <c r="S784" s="1348"/>
      <c r="T784" s="1351" t="str">
        <f t="shared" si="116"/>
        <v/>
      </c>
      <c r="U784" s="1348"/>
      <c r="V784" s="1348"/>
      <c r="W784" s="1348"/>
      <c r="X784" s="1348"/>
      <c r="Y784" s="1348"/>
      <c r="Z784" s="1348"/>
    </row>
    <row r="785" spans="1:26" x14ac:dyDescent="0.25">
      <c r="A785" s="876" t="s">
        <v>1397</v>
      </c>
      <c r="B785" s="852" t="str">
        <f t="shared" ca="1" si="118"/>
        <v>L167</v>
      </c>
      <c r="C785" s="852" t="str">
        <f t="shared" ca="1" si="119"/>
        <v>L168</v>
      </c>
      <c r="D785" s="852" t="s">
        <v>1350</v>
      </c>
      <c r="E785" s="852" t="s">
        <v>1517</v>
      </c>
      <c r="F785" s="1351" t="s">
        <v>1994</v>
      </c>
      <c r="G785" s="1351" t="str">
        <f>IF(T785&lt;&gt;"","H","")</f>
        <v/>
      </c>
      <c r="H785" s="1351" t="s">
        <v>1991</v>
      </c>
      <c r="I785" s="1307" t="str">
        <f t="shared" si="114"/>
        <v/>
      </c>
      <c r="J785" s="1351" t="str">
        <f t="shared" si="117"/>
        <v/>
      </c>
      <c r="K785" s="1351" t="str">
        <f t="shared" si="115"/>
        <v/>
      </c>
      <c r="L785" s="852" t="s">
        <v>1397</v>
      </c>
      <c r="M785" s="1366">
        <v>768</v>
      </c>
      <c r="N785" s="1351"/>
      <c r="O785" s="1348"/>
      <c r="P785" s="1348"/>
      <c r="Q785" s="1348"/>
      <c r="R785" s="1351" t="s">
        <v>1532</v>
      </c>
      <c r="S785" s="1348"/>
      <c r="T785" s="1351" t="str">
        <f t="shared" si="116"/>
        <v/>
      </c>
      <c r="U785" s="1348"/>
      <c r="V785" s="1348"/>
      <c r="W785" s="1348"/>
      <c r="X785" s="1348"/>
      <c r="Y785" s="1348"/>
      <c r="Z785" s="1348"/>
    </row>
    <row r="786" spans="1:26" x14ac:dyDescent="0.25">
      <c r="A786" s="876" t="s">
        <v>1382</v>
      </c>
      <c r="B786" s="852" t="str">
        <f t="shared" ca="1" si="118"/>
        <v>N167</v>
      </c>
      <c r="C786" s="852" t="str">
        <f t="shared" ca="1" si="119"/>
        <v>N168</v>
      </c>
      <c r="D786" s="852" t="s">
        <v>1350</v>
      </c>
      <c r="E786" s="852" t="s">
        <v>1517</v>
      </c>
      <c r="F786" s="1351" t="s">
        <v>1382</v>
      </c>
      <c r="G786" s="1351" t="str">
        <f>IF(T786&lt;&gt;"",IF(Q784="Credit Memo","J",IF(Q784="Check","K","")),"")</f>
        <v/>
      </c>
      <c r="H786" s="1351" t="s">
        <v>1991</v>
      </c>
      <c r="I786" s="1307" t="str">
        <f t="shared" si="114"/>
        <v/>
      </c>
      <c r="J786" s="1351" t="str">
        <f t="shared" si="117"/>
        <v/>
      </c>
      <c r="K786" s="1351" t="str">
        <f t="shared" si="115"/>
        <v/>
      </c>
      <c r="L786" s="852" t="s">
        <v>1382</v>
      </c>
      <c r="M786" s="1366">
        <v>769</v>
      </c>
      <c r="N786" s="1351"/>
      <c r="O786" s="1348"/>
      <c r="P786" s="1348"/>
      <c r="Q786" s="1348"/>
      <c r="R786" s="1351" t="s">
        <v>1532</v>
      </c>
      <c r="S786" s="1348"/>
      <c r="T786" s="1351" t="str">
        <f t="shared" si="116"/>
        <v/>
      </c>
      <c r="U786" s="1348"/>
      <c r="V786" s="1348"/>
      <c r="W786" s="1348"/>
      <c r="X786" s="1348"/>
      <c r="Y786" s="1348"/>
      <c r="Z786" s="1348"/>
    </row>
    <row r="787" spans="1:26" x14ac:dyDescent="0.25">
      <c r="A787" s="876" t="s">
        <v>1487</v>
      </c>
      <c r="B787" s="852" t="str">
        <f t="shared" ca="1" si="118"/>
        <v>P167</v>
      </c>
      <c r="C787" s="852" t="str">
        <f t="shared" ca="1" si="119"/>
        <v>P168</v>
      </c>
      <c r="D787" s="852" t="s">
        <v>1350</v>
      </c>
      <c r="E787" s="852" t="s">
        <v>1517</v>
      </c>
      <c r="F787" s="1351" t="s">
        <v>1995</v>
      </c>
      <c r="G787" s="1351" t="str">
        <f>IF(T787&lt;&gt;"","F","")</f>
        <v/>
      </c>
      <c r="H787" s="1351" t="s">
        <v>1991</v>
      </c>
      <c r="I787" s="1307" t="str">
        <f t="shared" si="114"/>
        <v/>
      </c>
      <c r="J787" s="1351" t="str">
        <f t="shared" si="117"/>
        <v/>
      </c>
      <c r="K787" s="1351" t="str">
        <f t="shared" si="115"/>
        <v/>
      </c>
      <c r="L787" s="852" t="s">
        <v>1487</v>
      </c>
      <c r="M787" s="1366">
        <v>770</v>
      </c>
      <c r="N787" s="1351"/>
      <c r="O787" s="1348"/>
      <c r="P787" s="1348"/>
      <c r="Q787" s="1348"/>
      <c r="R787" s="1351" t="s">
        <v>1532</v>
      </c>
      <c r="S787" s="1348"/>
      <c r="T787" s="1351" t="str">
        <f t="shared" si="116"/>
        <v/>
      </c>
      <c r="U787" s="1348"/>
      <c r="V787" s="1348"/>
      <c r="W787" s="1348"/>
      <c r="X787" s="1348"/>
      <c r="Y787" s="1348"/>
      <c r="Z787" s="1348"/>
    </row>
    <row r="788" spans="1:26" x14ac:dyDescent="0.25">
      <c r="A788" s="876" t="s">
        <v>1488</v>
      </c>
      <c r="B788" s="852" t="str">
        <f t="shared" ca="1" si="118"/>
        <v>R167</v>
      </c>
      <c r="C788" s="852" t="str">
        <f t="shared" ca="1" si="119"/>
        <v>R168</v>
      </c>
      <c r="D788" s="852" t="s">
        <v>1350</v>
      </c>
      <c r="E788" s="852" t="s">
        <v>1517</v>
      </c>
      <c r="F788" s="1351" t="s">
        <v>1996</v>
      </c>
      <c r="G788" s="1351" t="str">
        <f>IF(T788&lt;&gt;"","G","")</f>
        <v/>
      </c>
      <c r="H788" s="1351" t="s">
        <v>1991</v>
      </c>
      <c r="I788" s="1307" t="str">
        <f t="shared" si="114"/>
        <v/>
      </c>
      <c r="J788" s="1351" t="str">
        <f t="shared" si="117"/>
        <v/>
      </c>
      <c r="K788" s="1351" t="str">
        <f t="shared" si="115"/>
        <v/>
      </c>
      <c r="L788" s="852" t="s">
        <v>1488</v>
      </c>
      <c r="M788" s="1366">
        <v>771</v>
      </c>
      <c r="N788" s="1351"/>
      <c r="O788" s="1348"/>
      <c r="P788" s="1348"/>
      <c r="Q788" s="1348"/>
      <c r="R788" s="1351" t="s">
        <v>1532</v>
      </c>
      <c r="S788" s="1348"/>
      <c r="T788" s="1351" t="str">
        <f t="shared" si="116"/>
        <v/>
      </c>
      <c r="U788" s="1348"/>
      <c r="V788" s="1348"/>
      <c r="W788" s="1348"/>
      <c r="X788" s="1348"/>
      <c r="Y788" s="1348"/>
      <c r="Z788" s="1348"/>
    </row>
    <row r="789" spans="1:26" x14ac:dyDescent="0.25">
      <c r="A789" s="876" t="s">
        <v>1489</v>
      </c>
      <c r="B789" s="852" t="str">
        <f t="shared" ca="1" si="118"/>
        <v>T167</v>
      </c>
      <c r="C789" s="852" t="str">
        <f t="shared" ca="1" si="119"/>
        <v>T168</v>
      </c>
      <c r="D789" s="852" t="s">
        <v>1350</v>
      </c>
      <c r="E789" s="852" t="s">
        <v>1517</v>
      </c>
      <c r="F789" s="867" t="s">
        <v>1489</v>
      </c>
      <c r="G789" s="1351" t="str">
        <f>IF(T789&lt;&gt;"","AW","")</f>
        <v/>
      </c>
      <c r="H789" s="1351" t="s">
        <v>1991</v>
      </c>
      <c r="I789" s="1307" t="str">
        <f t="shared" si="114"/>
        <v/>
      </c>
      <c r="J789" s="1351" t="str">
        <f t="shared" si="117"/>
        <v/>
      </c>
      <c r="K789" s="1351" t="str">
        <f t="shared" si="115"/>
        <v/>
      </c>
      <c r="L789" s="852" t="s">
        <v>1489</v>
      </c>
      <c r="M789" s="1366">
        <v>772</v>
      </c>
      <c r="N789" s="1351"/>
      <c r="O789" s="1348"/>
      <c r="P789" s="1348"/>
      <c r="Q789" s="1348"/>
      <c r="R789" s="1351" t="s">
        <v>1532</v>
      </c>
      <c r="S789" s="1348"/>
      <c r="T789" s="1351" t="str">
        <f t="shared" si="116"/>
        <v/>
      </c>
      <c r="U789" s="1348"/>
      <c r="V789" s="1348"/>
      <c r="W789" s="1348"/>
      <c r="X789" s="1348"/>
      <c r="Y789" s="1348"/>
      <c r="Z789" s="134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51" t="s">
        <v>1385</v>
      </c>
      <c r="G790" s="1351" t="str">
        <f>IF(T790&lt;&gt;"","C","")</f>
        <v/>
      </c>
      <c r="H790" s="1351" t="s">
        <v>1991</v>
      </c>
      <c r="I790" s="1307" t="str">
        <f t="shared" si="114"/>
        <v/>
      </c>
      <c r="J790" s="1351"/>
      <c r="K790" s="1351" t="str">
        <f t="shared" si="115"/>
        <v/>
      </c>
      <c r="L790" s="852" t="s">
        <v>1385</v>
      </c>
      <c r="M790" s="1366">
        <v>773</v>
      </c>
      <c r="N790" s="1351"/>
      <c r="O790" s="1348"/>
      <c r="P790" s="1348"/>
      <c r="Q790" s="1348"/>
      <c r="R790" s="1351" t="s">
        <v>1532</v>
      </c>
      <c r="S790" s="1348"/>
      <c r="T790" s="1351" t="str">
        <f t="shared" si="116"/>
        <v/>
      </c>
      <c r="U790" s="1348"/>
      <c r="V790" s="1348"/>
      <c r="W790" s="1348"/>
      <c r="X790" s="1348"/>
      <c r="Y790" s="1348"/>
      <c r="Z790" s="134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51" t="s">
        <v>1386</v>
      </c>
      <c r="G791" s="1351" t="str">
        <f>IF(T791&lt;&gt;"","D","")</f>
        <v/>
      </c>
      <c r="H791" s="1351" t="s">
        <v>1991</v>
      </c>
      <c r="I791" s="1307" t="str">
        <f t="shared" si="114"/>
        <v/>
      </c>
      <c r="J791" s="1351"/>
      <c r="K791" s="1351" t="str">
        <f t="shared" si="115"/>
        <v/>
      </c>
      <c r="L791" s="852" t="s">
        <v>1386</v>
      </c>
      <c r="M791" s="1366">
        <v>774</v>
      </c>
      <c r="N791" s="1351"/>
      <c r="O791" s="1348"/>
      <c r="P791" s="1348"/>
      <c r="Q791" s="1348"/>
      <c r="R791" s="1351" t="s">
        <v>1532</v>
      </c>
      <c r="S791" s="1348"/>
      <c r="T791" s="1351" t="str">
        <f t="shared" si="116"/>
        <v/>
      </c>
      <c r="U791" s="1348"/>
      <c r="V791" s="1348"/>
      <c r="W791" s="1348"/>
      <c r="X791" s="1348"/>
      <c r="Y791" s="1348"/>
      <c r="Z791" s="134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51" t="s">
        <v>1496</v>
      </c>
      <c r="G792" s="1351" t="str">
        <f>IF(T792&lt;&gt;"","AN","")</f>
        <v/>
      </c>
      <c r="H792" s="1351" t="s">
        <v>1991</v>
      </c>
      <c r="I792" s="1307" t="str">
        <f t="shared" si="114"/>
        <v/>
      </c>
      <c r="J792" s="1351" t="str">
        <f t="shared" si="117"/>
        <v/>
      </c>
      <c r="K792" s="1351" t="str">
        <f t="shared" si="115"/>
        <v/>
      </c>
      <c r="L792" s="852" t="s">
        <v>1496</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1532</v>
      </c>
      <c r="S792" s="1348"/>
      <c r="T792" s="1351" t="str">
        <f t="shared" si="116"/>
        <v/>
      </c>
      <c r="U792" s="1348"/>
      <c r="V792" s="1348"/>
      <c r="W792" s="1348"/>
      <c r="X792" s="1348"/>
      <c r="Y792" s="1348"/>
      <c r="Z792" s="134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51" t="s">
        <v>1493</v>
      </c>
      <c r="G793" s="1351" t="str">
        <f>IF(T793&lt;&gt;"","AL","")</f>
        <v/>
      </c>
      <c r="H793" s="1351" t="s">
        <v>1991</v>
      </c>
      <c r="I793" s="1307" t="str">
        <f t="shared" si="114"/>
        <v/>
      </c>
      <c r="J793" s="1351" t="str">
        <f t="shared" si="117"/>
        <v/>
      </c>
      <c r="K793" s="1351" t="str">
        <f t="shared" si="115"/>
        <v/>
      </c>
      <c r="L793" s="852" t="s">
        <v>1493</v>
      </c>
      <c r="M793" s="1366">
        <v>776</v>
      </c>
      <c r="N793" s="1351"/>
      <c r="O793" s="1348"/>
      <c r="P793" s="1348"/>
      <c r="Q793" s="1348"/>
      <c r="R793" s="1351" t="s">
        <v>1532</v>
      </c>
      <c r="S793" s="1348"/>
      <c r="T793" s="1351" t="str">
        <f t="shared" si="116"/>
        <v/>
      </c>
      <c r="U793" s="1348"/>
      <c r="V793" s="1348"/>
      <c r="W793" s="1348"/>
      <c r="X793" s="1348"/>
      <c r="Y793" s="1348"/>
      <c r="Z793" s="134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51" t="s">
        <v>1913</v>
      </c>
      <c r="G794" s="1351" t="str">
        <f>IF(T794&lt;&gt;"","O","")</f>
        <v/>
      </c>
      <c r="H794" s="1351" t="s">
        <v>1991</v>
      </c>
      <c r="I794" s="1307" t="str">
        <f t="shared" si="114"/>
        <v/>
      </c>
      <c r="J794" s="1351"/>
      <c r="K794" s="1351" t="str">
        <f t="shared" si="115"/>
        <v/>
      </c>
      <c r="L794" s="852" t="s">
        <v>1389</v>
      </c>
      <c r="M794" s="1366">
        <v>777</v>
      </c>
      <c r="N794" s="1351"/>
      <c r="O794" s="1348"/>
      <c r="P794" s="1348"/>
      <c r="Q794" s="1348"/>
      <c r="R794" s="1351" t="s">
        <v>1532</v>
      </c>
      <c r="S794" s="1348"/>
      <c r="T794" s="1351" t="str">
        <f>IF(Q$781="Yes",12,"")</f>
        <v/>
      </c>
      <c r="U794" s="1348"/>
      <c r="V794" s="1348"/>
      <c r="W794" s="1348"/>
      <c r="X794" s="1348"/>
      <c r="Y794" s="1348"/>
      <c r="Z794" s="134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51" t="s">
        <v>1492</v>
      </c>
      <c r="G795" s="1351" t="str">
        <f>IF(T795&lt;&gt;"","A","")</f>
        <v/>
      </c>
      <c r="H795" s="1351" t="s">
        <v>1991</v>
      </c>
      <c r="I795" s="1307" t="str">
        <f t="shared" si="114"/>
        <v/>
      </c>
      <c r="J795" s="1351"/>
      <c r="K795" s="1351" t="str">
        <f t="shared" si="115"/>
        <v/>
      </c>
      <c r="L795" s="852" t="s">
        <v>1492</v>
      </c>
      <c r="M795" s="1366">
        <v>778</v>
      </c>
      <c r="N795" s="1351"/>
      <c r="O795" s="1348" t="s">
        <v>725</v>
      </c>
      <c r="P795" s="1348"/>
      <c r="Q795" s="1348"/>
      <c r="R795" s="1351" t="s">
        <v>1532</v>
      </c>
      <c r="S795" s="1348"/>
      <c r="T795" s="1351" t="str">
        <f t="shared" ref="T795:T812" si="120">IF(Q$796="Yes",13,"")</f>
        <v/>
      </c>
      <c r="U795" s="1348"/>
      <c r="V795" s="1348"/>
      <c r="W795" s="1348"/>
      <c r="X795" s="1348"/>
      <c r="Y795" s="1348"/>
      <c r="Z795" s="134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51"/>
      <c r="G796" s="1351"/>
      <c r="H796" s="1351"/>
      <c r="I796" s="1307" t="str">
        <f t="shared" si="114"/>
        <v/>
      </c>
      <c r="J796" s="1351" t="str">
        <f t="shared" ref="J796:J810" si="121">IF(M796&lt;&gt;"",IF($Q$796="Yes",Q$1&amp;M796,""))</f>
        <v/>
      </c>
      <c r="K796" s="1351" t="str">
        <f t="shared" si="115"/>
        <v/>
      </c>
      <c r="L796" s="852" t="s">
        <v>1706</v>
      </c>
      <c r="M796" s="1366">
        <v>779</v>
      </c>
      <c r="N796" s="1351"/>
      <c r="O796" s="1348">
        <f>'Configurable Tab'!H15</f>
        <v>179</v>
      </c>
      <c r="P796" s="1447" t="str">
        <f>'Configurable Tab'!J15</f>
        <v>Yes</v>
      </c>
      <c r="Q796" s="1388" t="s">
        <v>648</v>
      </c>
      <c r="R796" s="1351" t="s">
        <v>1532</v>
      </c>
      <c r="S796" s="1348"/>
      <c r="T796" s="1351" t="str">
        <f t="shared" si="120"/>
        <v/>
      </c>
      <c r="U796" s="1348"/>
      <c r="V796" s="1348"/>
      <c r="W796" s="1348"/>
      <c r="X796" s="1348"/>
      <c r="Y796" s="1348"/>
      <c r="Z796" s="134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51" t="s">
        <v>1383</v>
      </c>
      <c r="G797" s="1351" t="str">
        <f>IF(T797&lt;&gt;"","B","")</f>
        <v/>
      </c>
      <c r="H797" s="1351" t="s">
        <v>1991</v>
      </c>
      <c r="I797" s="1307" t="str">
        <f t="shared" si="114"/>
        <v/>
      </c>
      <c r="J797" s="1351"/>
      <c r="K797" s="1351" t="str">
        <f t="shared" si="115"/>
        <v/>
      </c>
      <c r="L797" s="852" t="s">
        <v>1383</v>
      </c>
      <c r="M797" s="1366">
        <v>780</v>
      </c>
      <c r="N797" s="1351"/>
      <c r="O797" s="1348" t="s">
        <v>726</v>
      </c>
      <c r="P797" s="1348"/>
      <c r="Q797" s="1348"/>
      <c r="R797" s="1351" t="s">
        <v>1532</v>
      </c>
      <c r="S797" s="1348"/>
      <c r="T797" s="1351" t="str">
        <f t="shared" si="120"/>
        <v/>
      </c>
      <c r="U797" s="1348"/>
      <c r="V797" s="1348"/>
      <c r="W797" s="1348"/>
      <c r="X797" s="1348"/>
      <c r="Y797" s="1348"/>
      <c r="Z797" s="134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51" t="s">
        <v>1992</v>
      </c>
      <c r="G798" s="1351" t="str">
        <f>IF(T798&lt;&gt;"","E","")</f>
        <v/>
      </c>
      <c r="H798" s="1351" t="s">
        <v>1991</v>
      </c>
      <c r="I798" s="1307" t="str">
        <f t="shared" si="114"/>
        <v/>
      </c>
      <c r="J798" s="1351" t="str">
        <f t="shared" si="121"/>
        <v/>
      </c>
      <c r="K798" s="1351" t="str">
        <f t="shared" si="115"/>
        <v/>
      </c>
      <c r="L798" s="852" t="s">
        <v>1380</v>
      </c>
      <c r="M798" s="1366">
        <v>781</v>
      </c>
      <c r="N798" s="1351"/>
      <c r="O798" s="1348">
        <f>'Configurable Tab'!I15</f>
        <v>192</v>
      </c>
      <c r="P798" s="1348"/>
      <c r="Q798" s="1348"/>
      <c r="R798" s="1351" t="s">
        <v>1532</v>
      </c>
      <c r="S798" s="1348"/>
      <c r="T798" s="1351" t="str">
        <f t="shared" si="120"/>
        <v/>
      </c>
      <c r="U798" s="1348"/>
      <c r="V798" s="1348"/>
      <c r="W798" s="1348"/>
      <c r="X798" s="1348"/>
      <c r="Y798" s="1348"/>
      <c r="Z798" s="1348"/>
    </row>
    <row r="799" spans="1:26" x14ac:dyDescent="0.25">
      <c r="A799" s="873" t="s">
        <v>1381</v>
      </c>
      <c r="B799" s="852" t="str">
        <f t="shared" ca="1" si="122"/>
        <v>J181</v>
      </c>
      <c r="C799" s="852" t="str">
        <f t="shared" ca="1" si="123"/>
        <v>J182</v>
      </c>
      <c r="D799" s="852" t="s">
        <v>1350</v>
      </c>
      <c r="E799" s="852" t="s">
        <v>1517</v>
      </c>
      <c r="F799" s="1351" t="s">
        <v>1993</v>
      </c>
      <c r="G799" s="1351" t="str">
        <f>IF(T799&lt;&gt;"","I","")</f>
        <v/>
      </c>
      <c r="H799" s="1351" t="s">
        <v>1991</v>
      </c>
      <c r="I799" s="1307" t="str">
        <f t="shared" si="114"/>
        <v/>
      </c>
      <c r="J799" s="1351" t="str">
        <f t="shared" si="121"/>
        <v/>
      </c>
      <c r="K799" s="1351" t="str">
        <f t="shared" si="115"/>
        <v/>
      </c>
      <c r="L799" s="852" t="s">
        <v>1381</v>
      </c>
      <c r="M799" s="1366">
        <v>782</v>
      </c>
      <c r="N799" s="1351"/>
      <c r="O799" s="1348" t="s">
        <v>1645</v>
      </c>
      <c r="P799" s="1348"/>
      <c r="Q799" s="1348" t="s">
        <v>482</v>
      </c>
      <c r="R799" s="1351" t="s">
        <v>1532</v>
      </c>
      <c r="S799" s="1348"/>
      <c r="T799" s="1351" t="str">
        <f t="shared" si="120"/>
        <v/>
      </c>
      <c r="U799" s="1348"/>
      <c r="V799" s="1348"/>
      <c r="W799" s="1348"/>
      <c r="X799" s="1348"/>
      <c r="Y799" s="1348"/>
      <c r="Z799" s="1348"/>
    </row>
    <row r="800" spans="1:26" x14ac:dyDescent="0.25">
      <c r="A800" s="873" t="s">
        <v>1397</v>
      </c>
      <c r="B800" s="852" t="str">
        <f t="shared" ca="1" si="122"/>
        <v>L181</v>
      </c>
      <c r="C800" s="852" t="str">
        <f t="shared" ca="1" si="123"/>
        <v>L182</v>
      </c>
      <c r="D800" s="852" t="s">
        <v>1350</v>
      </c>
      <c r="E800" s="852" t="s">
        <v>1517</v>
      </c>
      <c r="F800" s="1351" t="s">
        <v>1994</v>
      </c>
      <c r="G800" s="1351" t="str">
        <f>IF(T800&lt;&gt;"","H","")</f>
        <v/>
      </c>
      <c r="H800" s="1351" t="s">
        <v>1991</v>
      </c>
      <c r="I800" s="1307" t="str">
        <f t="shared" si="114"/>
        <v/>
      </c>
      <c r="J800" s="1351" t="str">
        <f t="shared" si="121"/>
        <v/>
      </c>
      <c r="K800" s="1351" t="str">
        <f t="shared" si="115"/>
        <v/>
      </c>
      <c r="L800" s="852" t="s">
        <v>1397</v>
      </c>
      <c r="M800" s="1366">
        <v>783</v>
      </c>
      <c r="N800" s="1351"/>
      <c r="O800" s="1348"/>
      <c r="P800" s="1348"/>
      <c r="Q800" s="1348"/>
      <c r="R800" s="1351" t="s">
        <v>1532</v>
      </c>
      <c r="S800" s="1348"/>
      <c r="T800" s="1351" t="str">
        <f t="shared" si="120"/>
        <v/>
      </c>
      <c r="U800" s="1348"/>
      <c r="V800" s="1348"/>
      <c r="W800" s="1348"/>
      <c r="X800" s="1348"/>
      <c r="Y800" s="1348"/>
      <c r="Z800" s="1348"/>
    </row>
    <row r="801" spans="1:26" x14ac:dyDescent="0.25">
      <c r="A801" s="873" t="s">
        <v>1382</v>
      </c>
      <c r="B801" s="852" t="str">
        <f t="shared" ca="1" si="122"/>
        <v>N181</v>
      </c>
      <c r="C801" s="852" t="str">
        <f t="shared" ca="1" si="123"/>
        <v>N182</v>
      </c>
      <c r="D801" s="852" t="s">
        <v>1350</v>
      </c>
      <c r="E801" s="852" t="s">
        <v>1517</v>
      </c>
      <c r="F801" s="1351" t="s">
        <v>1382</v>
      </c>
      <c r="G801" s="1351" t="str">
        <f>IF(T801&lt;&gt;"",IF(Q799="Credit Memo","J",IF(Q799="Check","K","")),"")</f>
        <v/>
      </c>
      <c r="H801" s="1351" t="s">
        <v>1991</v>
      </c>
      <c r="I801" s="1307" t="str">
        <f t="shared" si="114"/>
        <v/>
      </c>
      <c r="J801" s="1351" t="str">
        <f t="shared" si="121"/>
        <v/>
      </c>
      <c r="K801" s="1351" t="str">
        <f t="shared" si="115"/>
        <v/>
      </c>
      <c r="L801" s="852" t="s">
        <v>1382</v>
      </c>
      <c r="M801" s="1366">
        <v>784</v>
      </c>
      <c r="N801" s="1351"/>
      <c r="O801" s="1348"/>
      <c r="P801" s="1348"/>
      <c r="Q801" s="1348"/>
      <c r="R801" s="1351" t="s">
        <v>1532</v>
      </c>
      <c r="S801" s="1348"/>
      <c r="T801" s="1351" t="str">
        <f t="shared" si="120"/>
        <v/>
      </c>
      <c r="U801" s="1348"/>
      <c r="V801" s="1348"/>
      <c r="W801" s="1348"/>
      <c r="X801" s="1348"/>
      <c r="Y801" s="1348"/>
      <c r="Z801" s="1348"/>
    </row>
    <row r="802" spans="1:26" x14ac:dyDescent="0.25">
      <c r="A802" s="873" t="s">
        <v>1487</v>
      </c>
      <c r="B802" s="852" t="str">
        <f t="shared" ca="1" si="122"/>
        <v>P181</v>
      </c>
      <c r="C802" s="852" t="str">
        <f t="shared" ca="1" si="123"/>
        <v>P182</v>
      </c>
      <c r="D802" s="852" t="s">
        <v>1350</v>
      </c>
      <c r="E802" s="852" t="s">
        <v>1517</v>
      </c>
      <c r="F802" s="1351" t="s">
        <v>1995</v>
      </c>
      <c r="G802" s="1351" t="str">
        <f>IF(T802&lt;&gt;"","F","")</f>
        <v/>
      </c>
      <c r="H802" s="1351" t="s">
        <v>1991</v>
      </c>
      <c r="I802" s="1307" t="str">
        <f t="shared" si="114"/>
        <v/>
      </c>
      <c r="J802" s="1351" t="str">
        <f t="shared" si="121"/>
        <v/>
      </c>
      <c r="K802" s="1351" t="str">
        <f t="shared" si="115"/>
        <v/>
      </c>
      <c r="L802" s="852" t="s">
        <v>1487</v>
      </c>
      <c r="M802" s="1366">
        <v>785</v>
      </c>
      <c r="N802" s="1351"/>
      <c r="O802" s="1348"/>
      <c r="P802" s="1348"/>
      <c r="Q802" s="1348"/>
      <c r="R802" s="1351" t="s">
        <v>1532</v>
      </c>
      <c r="S802" s="1348"/>
      <c r="T802" s="1351" t="str">
        <f t="shared" si="120"/>
        <v/>
      </c>
      <c r="U802" s="1348"/>
      <c r="V802" s="1348"/>
      <c r="W802" s="1348"/>
      <c r="X802" s="1348"/>
      <c r="Y802" s="1348"/>
      <c r="Z802" s="1348"/>
    </row>
    <row r="803" spans="1:26" x14ac:dyDescent="0.25">
      <c r="A803" s="873" t="s">
        <v>1488</v>
      </c>
      <c r="B803" s="852" t="str">
        <f t="shared" ca="1" si="122"/>
        <v>R181</v>
      </c>
      <c r="C803" s="852" t="str">
        <f t="shared" ca="1" si="123"/>
        <v>R182</v>
      </c>
      <c r="D803" s="852" t="s">
        <v>1350</v>
      </c>
      <c r="E803" s="852" t="s">
        <v>1517</v>
      </c>
      <c r="F803" s="1351" t="s">
        <v>1996</v>
      </c>
      <c r="G803" s="1351" t="str">
        <f>IF(T803&lt;&gt;"","G","")</f>
        <v/>
      </c>
      <c r="H803" s="1351" t="s">
        <v>1991</v>
      </c>
      <c r="I803" s="1307" t="str">
        <f t="shared" si="114"/>
        <v/>
      </c>
      <c r="J803" s="1351" t="str">
        <f t="shared" si="121"/>
        <v/>
      </c>
      <c r="K803" s="1351" t="str">
        <f t="shared" si="115"/>
        <v/>
      </c>
      <c r="L803" s="852" t="s">
        <v>1488</v>
      </c>
      <c r="M803" s="1366">
        <v>786</v>
      </c>
      <c r="N803" s="1351"/>
      <c r="O803" s="1348"/>
      <c r="P803" s="1348"/>
      <c r="Q803" s="1348"/>
      <c r="R803" s="1351" t="s">
        <v>1532</v>
      </c>
      <c r="S803" s="1348"/>
      <c r="T803" s="1351" t="str">
        <f t="shared" si="120"/>
        <v/>
      </c>
      <c r="U803" s="1348"/>
      <c r="V803" s="1348"/>
      <c r="W803" s="1348"/>
      <c r="X803" s="1348"/>
      <c r="Y803" s="1348"/>
      <c r="Z803" s="1348"/>
    </row>
    <row r="804" spans="1:26" x14ac:dyDescent="0.25">
      <c r="A804" s="873" t="s">
        <v>1489</v>
      </c>
      <c r="B804" s="852" t="str">
        <f t="shared" ca="1" si="122"/>
        <v>T181</v>
      </c>
      <c r="C804" s="852" t="str">
        <f t="shared" ca="1" si="123"/>
        <v>T182</v>
      </c>
      <c r="D804" s="852" t="s">
        <v>1350</v>
      </c>
      <c r="E804" s="852" t="s">
        <v>1517</v>
      </c>
      <c r="F804" s="867" t="s">
        <v>1489</v>
      </c>
      <c r="G804" s="1351" t="str">
        <f>IF(T804&lt;&gt;"","AW","")</f>
        <v/>
      </c>
      <c r="H804" s="1351" t="s">
        <v>1991</v>
      </c>
      <c r="I804" s="1307" t="str">
        <f t="shared" si="114"/>
        <v/>
      </c>
      <c r="J804" s="1351" t="str">
        <f t="shared" si="121"/>
        <v/>
      </c>
      <c r="K804" s="1351" t="str">
        <f t="shared" si="115"/>
        <v/>
      </c>
      <c r="L804" s="852" t="s">
        <v>1489</v>
      </c>
      <c r="M804" s="1366">
        <v>787</v>
      </c>
      <c r="N804" s="1351"/>
      <c r="O804" s="1348"/>
      <c r="P804" s="1348"/>
      <c r="Q804" s="1348"/>
      <c r="R804" s="1351" t="s">
        <v>1532</v>
      </c>
      <c r="S804" s="1348"/>
      <c r="T804" s="1351" t="str">
        <f t="shared" si="120"/>
        <v/>
      </c>
      <c r="U804" s="1348"/>
      <c r="V804" s="1348"/>
      <c r="W804" s="1348"/>
      <c r="X804" s="1348"/>
      <c r="Y804" s="1348"/>
      <c r="Z804" s="134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51" t="s">
        <v>1385</v>
      </c>
      <c r="G805" s="1351" t="str">
        <f>IF(T805&lt;&gt;"","C","")</f>
        <v/>
      </c>
      <c r="H805" s="1351" t="s">
        <v>1991</v>
      </c>
      <c r="I805" s="1307" t="str">
        <f t="shared" si="114"/>
        <v/>
      </c>
      <c r="J805" s="1351"/>
      <c r="K805" s="1351" t="str">
        <f t="shared" si="115"/>
        <v/>
      </c>
      <c r="L805" s="852" t="s">
        <v>1385</v>
      </c>
      <c r="M805" s="1366">
        <v>788</v>
      </c>
      <c r="N805" s="1351"/>
      <c r="O805" s="1348"/>
      <c r="P805" s="1348"/>
      <c r="Q805" s="1348"/>
      <c r="R805" s="1351" t="s">
        <v>1532</v>
      </c>
      <c r="S805" s="1348"/>
      <c r="T805" s="1351" t="str">
        <f t="shared" si="120"/>
        <v/>
      </c>
      <c r="U805" s="1348"/>
      <c r="V805" s="1348"/>
      <c r="W805" s="1348"/>
      <c r="X805" s="1348"/>
      <c r="Y805" s="1348"/>
      <c r="Z805" s="134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51" t="s">
        <v>1386</v>
      </c>
      <c r="G806" s="1351" t="str">
        <f>IF(T806&lt;&gt;"","D","")</f>
        <v/>
      </c>
      <c r="H806" s="1351" t="s">
        <v>1991</v>
      </c>
      <c r="I806" s="1307" t="str">
        <f t="shared" si="114"/>
        <v/>
      </c>
      <c r="J806" s="1351"/>
      <c r="K806" s="1351" t="str">
        <f t="shared" si="115"/>
        <v/>
      </c>
      <c r="L806" s="852" t="s">
        <v>1386</v>
      </c>
      <c r="M806" s="1366">
        <v>789</v>
      </c>
      <c r="N806" s="1351"/>
      <c r="O806" s="1348"/>
      <c r="P806" s="1348"/>
      <c r="Q806" s="1348"/>
      <c r="R806" s="1351" t="s">
        <v>1532</v>
      </c>
      <c r="S806" s="1348"/>
      <c r="T806" s="1351" t="str">
        <f t="shared" si="120"/>
        <v/>
      </c>
      <c r="U806" s="1348"/>
      <c r="V806" s="1348"/>
      <c r="W806" s="1348"/>
      <c r="X806" s="1348"/>
      <c r="Y806" s="1348"/>
      <c r="Z806" s="134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51" t="s">
        <v>1496</v>
      </c>
      <c r="G807" s="1351" t="str">
        <f>IF(T807&lt;&gt;"","AN","")</f>
        <v/>
      </c>
      <c r="H807" s="1351" t="s">
        <v>1991</v>
      </c>
      <c r="I807" s="1307" t="str">
        <f t="shared" si="114"/>
        <v/>
      </c>
      <c r="J807" s="1351" t="str">
        <f t="shared" si="121"/>
        <v/>
      </c>
      <c r="K807" s="1351" t="str">
        <f t="shared" si="115"/>
        <v/>
      </c>
      <c r="L807" s="852" t="s">
        <v>1496</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1532</v>
      </c>
      <c r="S807" s="1348"/>
      <c r="T807" s="1351" t="str">
        <f t="shared" si="120"/>
        <v/>
      </c>
      <c r="U807" s="1348"/>
      <c r="V807" s="1348"/>
      <c r="W807" s="1348"/>
      <c r="X807" s="1348"/>
      <c r="Y807" s="1348"/>
      <c r="Z807" s="134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51" t="s">
        <v>1493</v>
      </c>
      <c r="G808" s="1351" t="str">
        <f>IF(T808&lt;&gt;"","AL","")</f>
        <v/>
      </c>
      <c r="H808" s="1351" t="s">
        <v>1991</v>
      </c>
      <c r="I808" s="1307" t="str">
        <f t="shared" si="114"/>
        <v/>
      </c>
      <c r="J808" s="1351" t="str">
        <f t="shared" si="121"/>
        <v/>
      </c>
      <c r="K808" s="1351" t="str">
        <f t="shared" si="115"/>
        <v/>
      </c>
      <c r="L808" s="852" t="s">
        <v>1493</v>
      </c>
      <c r="M808" s="1366">
        <v>791</v>
      </c>
      <c r="N808" s="1351"/>
      <c r="O808" s="1348"/>
      <c r="P808" s="1348"/>
      <c r="Q808" s="1348"/>
      <c r="R808" s="1351" t="s">
        <v>1532</v>
      </c>
      <c r="S808" s="1348"/>
      <c r="T808" s="1351" t="str">
        <f t="shared" si="120"/>
        <v/>
      </c>
      <c r="U808" s="1348"/>
      <c r="V808" s="1348"/>
      <c r="W808" s="1348"/>
      <c r="X808" s="1348"/>
      <c r="Y808" s="1348"/>
      <c r="Z808" s="134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51" t="s">
        <v>1997</v>
      </c>
      <c r="G809" s="1351" t="str">
        <f>IF(T809&lt;&gt;"","L","")</f>
        <v/>
      </c>
      <c r="H809" s="1351" t="s">
        <v>1991</v>
      </c>
      <c r="I809" s="1307" t="str">
        <f t="shared" si="114"/>
        <v/>
      </c>
      <c r="J809" s="1351" t="str">
        <f t="shared" si="121"/>
        <v/>
      </c>
      <c r="K809" s="1351" t="str">
        <f t="shared" si="115"/>
        <v/>
      </c>
      <c r="L809" s="852" t="s">
        <v>1507</v>
      </c>
      <c r="M809" s="1366">
        <v>792</v>
      </c>
      <c r="N809" s="1351"/>
      <c r="O809" s="1348"/>
      <c r="P809" s="1348"/>
      <c r="Q809" s="1348"/>
      <c r="R809" s="1351" t="s">
        <v>1532</v>
      </c>
      <c r="S809" s="1348"/>
      <c r="T809" s="1351" t="str">
        <f t="shared" si="120"/>
        <v/>
      </c>
      <c r="U809" s="1348"/>
      <c r="V809" s="1348"/>
      <c r="W809" s="1348"/>
      <c r="X809" s="1348"/>
      <c r="Y809" s="1348"/>
      <c r="Z809" s="134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51" t="str">
        <f>IF(T810&lt;&gt;"","AH","")</f>
        <v/>
      </c>
      <c r="H810" s="1351" t="s">
        <v>1991</v>
      </c>
      <c r="I810" s="1307" t="str">
        <f t="shared" si="114"/>
        <v/>
      </c>
      <c r="J810" s="1351" t="str">
        <f t="shared" si="121"/>
        <v/>
      </c>
      <c r="K810" s="1351" t="str">
        <f t="shared" si="115"/>
        <v/>
      </c>
      <c r="L810" s="852" t="s">
        <v>1387</v>
      </c>
      <c r="M810" s="1366">
        <v>793</v>
      </c>
      <c r="N810" s="1351"/>
      <c r="O810" s="1348"/>
      <c r="P810" s="1348"/>
      <c r="Q810" s="1348"/>
      <c r="R810" s="1351" t="s">
        <v>1532</v>
      </c>
      <c r="S810" s="1348"/>
      <c r="T810" s="1351" t="str">
        <f t="shared" si="120"/>
        <v/>
      </c>
      <c r="U810" s="1348"/>
      <c r="V810" s="1348"/>
      <c r="W810" s="1348"/>
      <c r="X810" s="1348"/>
      <c r="Y810" s="1348"/>
      <c r="Z810" s="134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51"/>
      <c r="H811" s="1351"/>
      <c r="I811" s="1307" t="str">
        <f t="shared" si="114"/>
        <v/>
      </c>
      <c r="J811" s="1351"/>
      <c r="K811" s="1351" t="str">
        <f t="shared" si="115"/>
        <v/>
      </c>
      <c r="L811" s="852" t="s">
        <v>1388</v>
      </c>
      <c r="M811" s="1366">
        <v>794</v>
      </c>
      <c r="N811" s="1351"/>
      <c r="O811" s="1348"/>
      <c r="P811" s="1348"/>
      <c r="Q811" s="1348"/>
      <c r="R811" s="1351" t="s">
        <v>1532</v>
      </c>
      <c r="S811" s="1348"/>
      <c r="T811" s="1351" t="str">
        <f t="shared" si="120"/>
        <v/>
      </c>
      <c r="U811" s="1348"/>
      <c r="V811" s="1348"/>
      <c r="W811" s="1348"/>
      <c r="X811" s="1348"/>
      <c r="Y811" s="1348"/>
      <c r="Z811" s="134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51" t="s">
        <v>1913</v>
      </c>
      <c r="G812" s="1351" t="str">
        <f>IF(T812&lt;&gt;"","AI","")</f>
        <v/>
      </c>
      <c r="H812" s="1351" t="s">
        <v>1991</v>
      </c>
      <c r="I812" s="1307" t="str">
        <f t="shared" si="114"/>
        <v/>
      </c>
      <c r="J812" s="1351"/>
      <c r="K812" s="1351" t="str">
        <f t="shared" si="115"/>
        <v/>
      </c>
      <c r="L812" s="852" t="s">
        <v>1389</v>
      </c>
      <c r="M812" s="1366">
        <v>795</v>
      </c>
      <c r="N812" s="1351"/>
      <c r="O812" s="1348"/>
      <c r="P812" s="1348"/>
      <c r="Q812" s="1348"/>
      <c r="R812" s="1351" t="s">
        <v>1532</v>
      </c>
      <c r="S812" s="1348"/>
      <c r="T812" s="1351" t="str">
        <f t="shared" si="120"/>
        <v/>
      </c>
      <c r="U812" s="1348"/>
      <c r="V812" s="1348"/>
      <c r="W812" s="1348"/>
      <c r="X812" s="1348"/>
      <c r="Y812" s="1348"/>
      <c r="Z812" s="134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51" t="s">
        <v>1492</v>
      </c>
      <c r="G813" s="1351" t="str">
        <f>IF(T813&lt;&gt;"","A","")</f>
        <v/>
      </c>
      <c r="H813" s="1351" t="s">
        <v>1991</v>
      </c>
      <c r="I813" s="1307" t="str">
        <f t="shared" si="114"/>
        <v/>
      </c>
      <c r="J813" s="1351"/>
      <c r="K813" s="1351" t="str">
        <f t="shared" si="115"/>
        <v/>
      </c>
      <c r="L813" s="852" t="s">
        <v>1492</v>
      </c>
      <c r="M813" s="1366">
        <v>796</v>
      </c>
      <c r="N813" s="1351"/>
      <c r="O813" s="1348" t="s">
        <v>725</v>
      </c>
      <c r="P813" s="1447"/>
      <c r="Q813" s="1348"/>
      <c r="R813" s="1351" t="s">
        <v>1532</v>
      </c>
      <c r="S813" s="1348"/>
      <c r="T813" s="1351" t="str">
        <f t="shared" ref="T813:T830" si="124">IF(Q$814="Yes",14,"")</f>
        <v/>
      </c>
      <c r="U813" s="1348"/>
      <c r="V813" s="1348"/>
      <c r="W813" s="1348"/>
      <c r="X813" s="1348"/>
      <c r="Y813" s="1348"/>
      <c r="Z813" s="134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51"/>
      <c r="G814" s="1351"/>
      <c r="H814" s="1351"/>
      <c r="I814" s="1307" t="str">
        <f t="shared" si="114"/>
        <v/>
      </c>
      <c r="J814" s="1351" t="str">
        <f t="shared" ref="J814:J828" si="125">IF(M814&lt;&gt;"",IF($Q$814="Yes",Q$1&amp;M814,""))</f>
        <v/>
      </c>
      <c r="K814" s="1351" t="str">
        <f t="shared" si="115"/>
        <v/>
      </c>
      <c r="L814" s="852" t="s">
        <v>1706</v>
      </c>
      <c r="M814" s="1366">
        <v>797</v>
      </c>
      <c r="N814" s="1351"/>
      <c r="O814" s="1348">
        <f>'Configurable Tab'!H16</f>
        <v>193</v>
      </c>
      <c r="P814" s="1447" t="str">
        <f>'Configurable Tab'!J16</f>
        <v>Yes</v>
      </c>
      <c r="Q814" s="1388" t="s">
        <v>648</v>
      </c>
      <c r="R814" s="1351" t="s">
        <v>1532</v>
      </c>
      <c r="S814" s="1348"/>
      <c r="T814" s="1351" t="str">
        <f t="shared" si="124"/>
        <v/>
      </c>
      <c r="U814" s="1348"/>
      <c r="V814" s="1348"/>
      <c r="W814" s="1348"/>
      <c r="X814" s="1348"/>
      <c r="Y814" s="1348"/>
      <c r="Z814" s="134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51" t="s">
        <v>1383</v>
      </c>
      <c r="G815" s="1351" t="str">
        <f>IF(T815&lt;&gt;"","B","")</f>
        <v/>
      </c>
      <c r="H815" s="1351" t="s">
        <v>1991</v>
      </c>
      <c r="I815" s="1307" t="str">
        <f t="shared" si="114"/>
        <v/>
      </c>
      <c r="J815" s="1351"/>
      <c r="K815" s="1351" t="str">
        <f t="shared" si="115"/>
        <v/>
      </c>
      <c r="L815" s="852" t="s">
        <v>1383</v>
      </c>
      <c r="M815" s="1366">
        <v>798</v>
      </c>
      <c r="N815" s="1351"/>
      <c r="O815" s="1348" t="s">
        <v>726</v>
      </c>
      <c r="P815" s="1348"/>
      <c r="Q815" s="1348"/>
      <c r="R815" s="1351" t="s">
        <v>1532</v>
      </c>
      <c r="S815" s="1348"/>
      <c r="T815" s="1351" t="str">
        <f t="shared" si="124"/>
        <v/>
      </c>
      <c r="U815" s="1348"/>
      <c r="V815" s="1348"/>
      <c r="W815" s="1348"/>
      <c r="X815" s="1348"/>
      <c r="Y815" s="1348"/>
      <c r="Z815" s="134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51" t="s">
        <v>1992</v>
      </c>
      <c r="G816" s="1351" t="str">
        <f>IF(T816&lt;&gt;"","E","")</f>
        <v/>
      </c>
      <c r="H816" s="1351" t="s">
        <v>1991</v>
      </c>
      <c r="I816" s="1307" t="str">
        <f t="shared" si="114"/>
        <v/>
      </c>
      <c r="J816" s="1351" t="str">
        <f t="shared" si="125"/>
        <v/>
      </c>
      <c r="K816" s="1351" t="str">
        <f t="shared" si="115"/>
        <v/>
      </c>
      <c r="L816" s="852" t="s">
        <v>1380</v>
      </c>
      <c r="M816" s="1366">
        <v>799</v>
      </c>
      <c r="N816" s="1351"/>
      <c r="O816" s="1348">
        <f>'Configurable Tab'!I16</f>
        <v>206</v>
      </c>
      <c r="P816" s="1348"/>
      <c r="Q816" s="1348"/>
      <c r="R816" s="1351" t="s">
        <v>1532</v>
      </c>
      <c r="S816" s="1348"/>
      <c r="T816" s="1351" t="str">
        <f t="shared" si="124"/>
        <v/>
      </c>
      <c r="U816" s="1348"/>
      <c r="V816" s="1348"/>
      <c r="W816" s="1348"/>
      <c r="X816" s="1348"/>
      <c r="Y816" s="1348"/>
      <c r="Z816" s="1348"/>
    </row>
    <row r="817" spans="1:26" x14ac:dyDescent="0.25">
      <c r="A817" s="876" t="s">
        <v>1381</v>
      </c>
      <c r="B817" s="852" t="str">
        <f t="shared" ca="1" si="126"/>
        <v>J195</v>
      </c>
      <c r="C817" s="852" t="str">
        <f t="shared" ca="1" si="127"/>
        <v>J196</v>
      </c>
      <c r="D817" s="852" t="s">
        <v>1350</v>
      </c>
      <c r="E817" s="852" t="s">
        <v>1517</v>
      </c>
      <c r="F817" s="1351" t="s">
        <v>1993</v>
      </c>
      <c r="G817" s="1351" t="str">
        <f>IF(T817&lt;&gt;"","I","")</f>
        <v/>
      </c>
      <c r="H817" s="1351" t="s">
        <v>1991</v>
      </c>
      <c r="I817" s="1307" t="str">
        <f t="shared" si="114"/>
        <v/>
      </c>
      <c r="J817" s="1351" t="str">
        <f t="shared" si="125"/>
        <v/>
      </c>
      <c r="K817" s="1351" t="str">
        <f t="shared" si="115"/>
        <v/>
      </c>
      <c r="L817" s="852" t="s">
        <v>1381</v>
      </c>
      <c r="M817" s="1366">
        <v>800</v>
      </c>
      <c r="N817" s="1351"/>
      <c r="O817" s="1348" t="s">
        <v>1646</v>
      </c>
      <c r="P817" s="1348"/>
      <c r="Q817" s="1348"/>
      <c r="R817" s="1351" t="s">
        <v>1532</v>
      </c>
      <c r="S817" s="1348"/>
      <c r="T817" s="1351" t="str">
        <f t="shared" si="124"/>
        <v/>
      </c>
      <c r="U817" s="1348"/>
      <c r="V817" s="1348"/>
      <c r="W817" s="1348"/>
      <c r="X817" s="1348"/>
      <c r="Y817" s="1348"/>
      <c r="Z817" s="1348"/>
    </row>
    <row r="818" spans="1:26" x14ac:dyDescent="0.25">
      <c r="A818" s="876" t="s">
        <v>1397</v>
      </c>
      <c r="B818" s="852" t="str">
        <f t="shared" ca="1" si="126"/>
        <v>L195</v>
      </c>
      <c r="C818" s="852" t="str">
        <f t="shared" ca="1" si="127"/>
        <v>L196</v>
      </c>
      <c r="D818" s="852" t="s">
        <v>1350</v>
      </c>
      <c r="E818" s="852" t="s">
        <v>1517</v>
      </c>
      <c r="F818" s="1351" t="s">
        <v>1994</v>
      </c>
      <c r="G818" s="1351" t="str">
        <f>IF(T818&lt;&gt;"","H","")</f>
        <v/>
      </c>
      <c r="H818" s="1351" t="s">
        <v>1991</v>
      </c>
      <c r="I818" s="1307" t="str">
        <f t="shared" si="114"/>
        <v/>
      </c>
      <c r="J818" s="1351" t="str">
        <f t="shared" si="125"/>
        <v/>
      </c>
      <c r="K818" s="1351" t="str">
        <f t="shared" si="115"/>
        <v/>
      </c>
      <c r="L818" s="852" t="s">
        <v>1397</v>
      </c>
      <c r="M818" s="1366">
        <v>801</v>
      </c>
      <c r="N818" s="1351"/>
      <c r="O818" s="1348"/>
      <c r="P818" s="1348"/>
      <c r="Q818" s="1348"/>
      <c r="R818" s="1351" t="s">
        <v>1532</v>
      </c>
      <c r="S818" s="1348"/>
      <c r="T818" s="1351" t="str">
        <f t="shared" si="124"/>
        <v/>
      </c>
      <c r="U818" s="1348"/>
      <c r="V818" s="1348"/>
      <c r="W818" s="1348"/>
      <c r="X818" s="1348"/>
      <c r="Y818" s="1348"/>
      <c r="Z818" s="1348"/>
    </row>
    <row r="819" spans="1:26" x14ac:dyDescent="0.25">
      <c r="A819" s="876" t="s">
        <v>1382</v>
      </c>
      <c r="B819" s="852" t="str">
        <f t="shared" ca="1" si="126"/>
        <v>N195</v>
      </c>
      <c r="C819" s="852" t="str">
        <f t="shared" ca="1" si="127"/>
        <v>N196</v>
      </c>
      <c r="D819" s="852" t="s">
        <v>1350</v>
      </c>
      <c r="E819" s="852" t="s">
        <v>1517</v>
      </c>
      <c r="F819" s="1351" t="s">
        <v>1382</v>
      </c>
      <c r="G819" s="1351" t="str">
        <f>IF(T819&lt;&gt;"",IF(Q817="Credit Memo","J",IF(Q817="Check","K","")),"")</f>
        <v/>
      </c>
      <c r="H819" s="1351" t="s">
        <v>1991</v>
      </c>
      <c r="I819" s="1307" t="str">
        <f t="shared" si="114"/>
        <v/>
      </c>
      <c r="J819" s="1351" t="str">
        <f t="shared" si="125"/>
        <v/>
      </c>
      <c r="K819" s="1351" t="str">
        <f t="shared" si="115"/>
        <v/>
      </c>
      <c r="L819" s="852" t="s">
        <v>1382</v>
      </c>
      <c r="M819" s="1366">
        <v>802</v>
      </c>
      <c r="N819" s="1351"/>
      <c r="O819" s="1348"/>
      <c r="P819" s="1348"/>
      <c r="Q819" s="1348"/>
      <c r="R819" s="1351" t="s">
        <v>1532</v>
      </c>
      <c r="S819" s="1348"/>
      <c r="T819" s="1351" t="str">
        <f t="shared" si="124"/>
        <v/>
      </c>
      <c r="U819" s="1348"/>
      <c r="V819" s="1348"/>
      <c r="W819" s="1348"/>
      <c r="X819" s="1348"/>
      <c r="Y819" s="1348"/>
      <c r="Z819" s="1348"/>
    </row>
    <row r="820" spans="1:26" x14ac:dyDescent="0.25">
      <c r="A820" s="876" t="s">
        <v>1487</v>
      </c>
      <c r="B820" s="852" t="str">
        <f t="shared" ca="1" si="126"/>
        <v>P195</v>
      </c>
      <c r="C820" s="852" t="str">
        <f t="shared" ca="1" si="127"/>
        <v>P196</v>
      </c>
      <c r="D820" s="852" t="s">
        <v>1350</v>
      </c>
      <c r="E820" s="852" t="s">
        <v>1517</v>
      </c>
      <c r="F820" s="1351" t="s">
        <v>1995</v>
      </c>
      <c r="G820" s="1351" t="str">
        <f>IF(T820&lt;&gt;"","F","")</f>
        <v/>
      </c>
      <c r="H820" s="1351" t="s">
        <v>1991</v>
      </c>
      <c r="I820" s="1307" t="str">
        <f t="shared" si="114"/>
        <v/>
      </c>
      <c r="J820" s="1351" t="str">
        <f t="shared" si="125"/>
        <v/>
      </c>
      <c r="K820" s="1351" t="str">
        <f t="shared" si="115"/>
        <v/>
      </c>
      <c r="L820" s="852" t="s">
        <v>1487</v>
      </c>
      <c r="M820" s="1366">
        <v>803</v>
      </c>
      <c r="N820" s="1351"/>
      <c r="O820" s="1348"/>
      <c r="P820" s="1348"/>
      <c r="Q820" s="1348"/>
      <c r="R820" s="1351" t="s">
        <v>1532</v>
      </c>
      <c r="S820" s="1348"/>
      <c r="T820" s="1351" t="str">
        <f t="shared" si="124"/>
        <v/>
      </c>
      <c r="U820" s="1348"/>
      <c r="V820" s="1348"/>
      <c r="W820" s="1348"/>
      <c r="X820" s="1348"/>
      <c r="Y820" s="1348"/>
      <c r="Z820" s="1348"/>
    </row>
    <row r="821" spans="1:26" x14ac:dyDescent="0.25">
      <c r="A821" s="876" t="s">
        <v>1488</v>
      </c>
      <c r="B821" s="852" t="str">
        <f t="shared" ca="1" si="126"/>
        <v>R195</v>
      </c>
      <c r="C821" s="852" t="str">
        <f t="shared" ca="1" si="127"/>
        <v>R196</v>
      </c>
      <c r="D821" s="852" t="s">
        <v>1350</v>
      </c>
      <c r="E821" s="852" t="s">
        <v>1517</v>
      </c>
      <c r="F821" s="1351" t="s">
        <v>1996</v>
      </c>
      <c r="G821" s="1351" t="str">
        <f>IF(T821&lt;&gt;"","G","")</f>
        <v/>
      </c>
      <c r="H821" s="1351" t="s">
        <v>1991</v>
      </c>
      <c r="I821" s="1307" t="str">
        <f t="shared" si="114"/>
        <v/>
      </c>
      <c r="J821" s="1351" t="str">
        <f t="shared" si="125"/>
        <v/>
      </c>
      <c r="K821" s="1351" t="str">
        <f t="shared" si="115"/>
        <v/>
      </c>
      <c r="L821" s="852" t="s">
        <v>1488</v>
      </c>
      <c r="M821" s="1366">
        <v>804</v>
      </c>
      <c r="N821" s="1351"/>
      <c r="O821" s="1348"/>
      <c r="P821" s="1348"/>
      <c r="Q821" s="1348"/>
      <c r="R821" s="1351" t="s">
        <v>1532</v>
      </c>
      <c r="S821" s="1348"/>
      <c r="T821" s="1351" t="str">
        <f t="shared" si="124"/>
        <v/>
      </c>
      <c r="U821" s="1348"/>
      <c r="V821" s="1348"/>
      <c r="W821" s="1348"/>
      <c r="X821" s="1348"/>
      <c r="Y821" s="1348"/>
      <c r="Z821" s="1348"/>
    </row>
    <row r="822" spans="1:26" x14ac:dyDescent="0.25">
      <c r="A822" s="876" t="s">
        <v>1489</v>
      </c>
      <c r="B822" s="852" t="str">
        <f t="shared" ca="1" si="126"/>
        <v>T195</v>
      </c>
      <c r="C822" s="852" t="str">
        <f t="shared" ca="1" si="127"/>
        <v>T196</v>
      </c>
      <c r="D822" s="852" t="s">
        <v>1350</v>
      </c>
      <c r="E822" s="852" t="s">
        <v>1517</v>
      </c>
      <c r="F822" s="867" t="s">
        <v>1489</v>
      </c>
      <c r="G822" s="1351" t="str">
        <f>IF(T822&lt;&gt;"","AW","")</f>
        <v/>
      </c>
      <c r="H822" s="1351" t="s">
        <v>1991</v>
      </c>
      <c r="I822" s="1307" t="str">
        <f t="shared" si="114"/>
        <v/>
      </c>
      <c r="J822" s="1351" t="str">
        <f t="shared" si="125"/>
        <v/>
      </c>
      <c r="K822" s="1351" t="str">
        <f t="shared" si="115"/>
        <v/>
      </c>
      <c r="L822" s="852" t="s">
        <v>1489</v>
      </c>
      <c r="M822" s="1366">
        <v>805</v>
      </c>
      <c r="N822" s="1351"/>
      <c r="O822" s="1348"/>
      <c r="P822" s="1348"/>
      <c r="Q822" s="1348"/>
      <c r="R822" s="1351" t="s">
        <v>1532</v>
      </c>
      <c r="S822" s="1348"/>
      <c r="T822" s="1351" t="str">
        <f t="shared" si="124"/>
        <v/>
      </c>
      <c r="U822" s="1348"/>
      <c r="V822" s="1348"/>
      <c r="W822" s="1348"/>
      <c r="X822" s="1348"/>
      <c r="Y822" s="1348"/>
      <c r="Z822" s="134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51" t="s">
        <v>1385</v>
      </c>
      <c r="G823" s="1351" t="str">
        <f>IF(T823&lt;&gt;"","C","")</f>
        <v/>
      </c>
      <c r="H823" s="1351" t="s">
        <v>1991</v>
      </c>
      <c r="I823" s="1307" t="str">
        <f t="shared" si="114"/>
        <v/>
      </c>
      <c r="J823" s="1351"/>
      <c r="K823" s="1351" t="str">
        <f t="shared" si="115"/>
        <v/>
      </c>
      <c r="L823" s="852" t="s">
        <v>1385</v>
      </c>
      <c r="M823" s="1366">
        <v>806</v>
      </c>
      <c r="N823" s="1351"/>
      <c r="O823" s="1348"/>
      <c r="P823" s="1348"/>
      <c r="Q823" s="1348"/>
      <c r="R823" s="1351" t="s">
        <v>1532</v>
      </c>
      <c r="S823" s="1348"/>
      <c r="T823" s="1351" t="str">
        <f t="shared" si="124"/>
        <v/>
      </c>
      <c r="U823" s="1348"/>
      <c r="V823" s="1348"/>
      <c r="W823" s="1348"/>
      <c r="X823" s="1348"/>
      <c r="Y823" s="1348"/>
      <c r="Z823" s="134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51" t="s">
        <v>1386</v>
      </c>
      <c r="G824" s="1351" t="str">
        <f>IF(T824&lt;&gt;"","D","")</f>
        <v/>
      </c>
      <c r="H824" s="1351" t="s">
        <v>1991</v>
      </c>
      <c r="I824" s="1307" t="str">
        <f t="shared" si="114"/>
        <v/>
      </c>
      <c r="J824" s="1351"/>
      <c r="K824" s="1351" t="str">
        <f t="shared" si="115"/>
        <v/>
      </c>
      <c r="L824" s="852" t="s">
        <v>1386</v>
      </c>
      <c r="M824" s="1366">
        <v>807</v>
      </c>
      <c r="N824" s="1351"/>
      <c r="O824" s="1348"/>
      <c r="P824" s="1348"/>
      <c r="Q824" s="1348"/>
      <c r="R824" s="1351" t="s">
        <v>1532</v>
      </c>
      <c r="S824" s="1348"/>
      <c r="T824" s="1351" t="str">
        <f t="shared" si="124"/>
        <v/>
      </c>
      <c r="U824" s="1348"/>
      <c r="V824" s="1348"/>
      <c r="W824" s="1348"/>
      <c r="X824" s="1348"/>
      <c r="Y824" s="1348"/>
      <c r="Z824" s="134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51" t="s">
        <v>1496</v>
      </c>
      <c r="G825" s="1351" t="str">
        <f>IF(T825&lt;&gt;"","AN","")</f>
        <v/>
      </c>
      <c r="H825" s="1351" t="s">
        <v>1991</v>
      </c>
      <c r="I825" s="1307" t="str">
        <f t="shared" si="114"/>
        <v/>
      </c>
      <c r="J825" s="1351" t="str">
        <f t="shared" si="125"/>
        <v/>
      </c>
      <c r="K825" s="1351" t="str">
        <f t="shared" si="115"/>
        <v/>
      </c>
      <c r="L825" s="852" t="s">
        <v>1496</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1532</v>
      </c>
      <c r="S825" s="1348"/>
      <c r="T825" s="1351" t="str">
        <f t="shared" si="124"/>
        <v/>
      </c>
      <c r="U825" s="1348"/>
      <c r="V825" s="1348"/>
      <c r="W825" s="1348"/>
      <c r="X825" s="1348"/>
      <c r="Y825" s="1348"/>
      <c r="Z825" s="134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51" t="s">
        <v>1493</v>
      </c>
      <c r="G826" s="1351" t="str">
        <f>IF(T826&lt;&gt;"","AL","")</f>
        <v/>
      </c>
      <c r="H826" s="1351" t="s">
        <v>1991</v>
      </c>
      <c r="I826" s="1307" t="str">
        <f t="shared" si="114"/>
        <v/>
      </c>
      <c r="J826" s="1351" t="str">
        <f t="shared" si="125"/>
        <v/>
      </c>
      <c r="K826" s="1351" t="str">
        <f t="shared" si="115"/>
        <v/>
      </c>
      <c r="L826" s="852" t="s">
        <v>1493</v>
      </c>
      <c r="M826" s="1366">
        <v>809</v>
      </c>
      <c r="N826" s="1351"/>
      <c r="O826" s="1348"/>
      <c r="P826" s="1348"/>
      <c r="Q826" s="1348"/>
      <c r="R826" s="1351" t="s">
        <v>1532</v>
      </c>
      <c r="S826" s="1348"/>
      <c r="T826" s="1351" t="str">
        <f t="shared" si="124"/>
        <v/>
      </c>
      <c r="U826" s="1348"/>
      <c r="V826" s="1348"/>
      <c r="W826" s="1348"/>
      <c r="X826" s="1348"/>
      <c r="Y826" s="1348"/>
      <c r="Z826" s="134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51" t="s">
        <v>1997</v>
      </c>
      <c r="G827" s="1351" t="str">
        <f>IF(T827&lt;&gt;"","L","")</f>
        <v/>
      </c>
      <c r="H827" s="1351" t="s">
        <v>1991</v>
      </c>
      <c r="I827" s="1307" t="str">
        <f t="shared" si="114"/>
        <v/>
      </c>
      <c r="J827" s="1351" t="str">
        <f t="shared" si="125"/>
        <v/>
      </c>
      <c r="K827" s="1351" t="str">
        <f t="shared" si="115"/>
        <v/>
      </c>
      <c r="L827" s="852" t="s">
        <v>1507</v>
      </c>
      <c r="M827" s="1366">
        <v>810</v>
      </c>
      <c r="N827" s="1351"/>
      <c r="O827" s="1348"/>
      <c r="P827" s="1348"/>
      <c r="Q827" s="1348"/>
      <c r="R827" s="1351" t="s">
        <v>1532</v>
      </c>
      <c r="S827" s="1348"/>
      <c r="T827" s="1351" t="str">
        <f t="shared" si="124"/>
        <v/>
      </c>
      <c r="U827" s="1348"/>
      <c r="V827" s="1348"/>
      <c r="W827" s="1348"/>
      <c r="X827" s="1348"/>
      <c r="Y827" s="1348"/>
      <c r="Z827" s="134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51" t="str">
        <f>IF(T828&lt;&gt;"","AH","")</f>
        <v/>
      </c>
      <c r="H828" s="1351" t="s">
        <v>1991</v>
      </c>
      <c r="I828" s="1307" t="str">
        <f t="shared" si="114"/>
        <v/>
      </c>
      <c r="J828" s="1351" t="str">
        <f t="shared" si="125"/>
        <v/>
      </c>
      <c r="K828" s="1351" t="str">
        <f t="shared" si="115"/>
        <v/>
      </c>
      <c r="L828" s="852" t="s">
        <v>1387</v>
      </c>
      <c r="M828" s="1366">
        <v>811</v>
      </c>
      <c r="N828" s="1351"/>
      <c r="O828" s="1348"/>
      <c r="P828" s="1348"/>
      <c r="Q828" s="1348"/>
      <c r="R828" s="1351" t="s">
        <v>1532</v>
      </c>
      <c r="S828" s="1348"/>
      <c r="T828" s="1351" t="str">
        <f t="shared" si="124"/>
        <v/>
      </c>
      <c r="U828" s="1348"/>
      <c r="V828" s="1348"/>
      <c r="W828" s="1348"/>
      <c r="X828" s="1348"/>
      <c r="Y828" s="1348"/>
      <c r="Z828" s="134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51"/>
      <c r="H829" s="1351"/>
      <c r="I829" s="1307" t="str">
        <f t="shared" si="114"/>
        <v/>
      </c>
      <c r="J829" s="1351"/>
      <c r="K829" s="1351" t="str">
        <f t="shared" si="115"/>
        <v/>
      </c>
      <c r="L829" s="852" t="s">
        <v>1388</v>
      </c>
      <c r="M829" s="1366">
        <v>812</v>
      </c>
      <c r="N829" s="1351"/>
      <c r="O829" s="1348"/>
      <c r="P829" s="1348"/>
      <c r="Q829" s="1348"/>
      <c r="R829" s="1351" t="s">
        <v>1532</v>
      </c>
      <c r="S829" s="1348"/>
      <c r="T829" s="1351" t="str">
        <f t="shared" si="124"/>
        <v/>
      </c>
      <c r="U829" s="1348"/>
      <c r="V829" s="1348"/>
      <c r="W829" s="1348"/>
      <c r="X829" s="1348"/>
      <c r="Y829" s="1348"/>
      <c r="Z829" s="134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51" t="s">
        <v>1913</v>
      </c>
      <c r="G830" s="1351" t="str">
        <f>IF(T830&lt;&gt;"","AI","")</f>
        <v/>
      </c>
      <c r="H830" s="1351" t="s">
        <v>1991</v>
      </c>
      <c r="I830" s="1307" t="str">
        <f t="shared" si="114"/>
        <v/>
      </c>
      <c r="J830" s="1351"/>
      <c r="K830" s="1351" t="str">
        <f t="shared" si="115"/>
        <v/>
      </c>
      <c r="L830" s="852" t="s">
        <v>1389</v>
      </c>
      <c r="M830" s="1366">
        <v>813</v>
      </c>
      <c r="N830" s="1351"/>
      <c r="O830" s="1348"/>
      <c r="P830" s="1348"/>
      <c r="Q830" s="1348"/>
      <c r="R830" s="1351" t="s">
        <v>1532</v>
      </c>
      <c r="S830" s="1348"/>
      <c r="T830" s="1351" t="str">
        <f t="shared" si="124"/>
        <v/>
      </c>
      <c r="U830" s="1348"/>
      <c r="V830" s="1348"/>
      <c r="W830" s="1348"/>
      <c r="X830" s="1348"/>
      <c r="Y830" s="1348"/>
      <c r="Z830" s="134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51" t="s">
        <v>1492</v>
      </c>
      <c r="G831" s="1351" t="str">
        <f>IF(T831&lt;&gt;"","A","")</f>
        <v/>
      </c>
      <c r="H831" s="1351" t="s">
        <v>1991</v>
      </c>
      <c r="I831" s="1307" t="str">
        <f t="shared" si="114"/>
        <v/>
      </c>
      <c r="J831" s="1351"/>
      <c r="K831" s="1351" t="str">
        <f t="shared" si="115"/>
        <v/>
      </c>
      <c r="L831" s="852" t="s">
        <v>1492</v>
      </c>
      <c r="M831" s="1366">
        <v>814</v>
      </c>
      <c r="N831" s="1351"/>
      <c r="O831" s="1348" t="s">
        <v>725</v>
      </c>
      <c r="P831" s="1447"/>
      <c r="Q831" s="1348"/>
      <c r="R831" s="1351" t="s">
        <v>1532</v>
      </c>
      <c r="S831" s="1348"/>
      <c r="T831" s="1351" t="str">
        <f t="shared" ref="T831:T844" si="128">IF(Q$832="Yes",15,"")</f>
        <v/>
      </c>
      <c r="U831" s="1348"/>
      <c r="V831" s="1348"/>
      <c r="W831" s="1348"/>
      <c r="X831" s="1348"/>
      <c r="Y831" s="1348"/>
      <c r="Z831" s="134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51"/>
      <c r="G832" s="1351"/>
      <c r="H832" s="1351"/>
      <c r="I832" s="1307" t="str">
        <f t="shared" si="114"/>
        <v/>
      </c>
      <c r="J832" s="1351" t="str">
        <f>IF(M832&lt;&gt;"",IF($Q$832="Yes",Q$1&amp;M832,""))</f>
        <v/>
      </c>
      <c r="K832" s="1351" t="str">
        <f t="shared" si="115"/>
        <v/>
      </c>
      <c r="L832" s="852" t="s">
        <v>1706</v>
      </c>
      <c r="M832" s="1366">
        <v>815</v>
      </c>
      <c r="N832" s="1351"/>
      <c r="O832" s="1348">
        <f>'Configurable Tab'!H17</f>
        <v>207</v>
      </c>
      <c r="P832" s="1447" t="str">
        <f>'Configurable Tab'!J17</f>
        <v>Yes</v>
      </c>
      <c r="Q832" s="1388" t="s">
        <v>648</v>
      </c>
      <c r="R832" s="1351" t="s">
        <v>1532</v>
      </c>
      <c r="S832" s="1322"/>
      <c r="T832" s="1351" t="str">
        <f t="shared" si="128"/>
        <v/>
      </c>
      <c r="U832" s="1348"/>
      <c r="V832" s="1348"/>
      <c r="W832" s="1348"/>
      <c r="X832" s="1348"/>
      <c r="Y832" s="1348"/>
      <c r="Z832" s="134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51" t="s">
        <v>1383</v>
      </c>
      <c r="G833" s="1351" t="str">
        <f>IF(T833&lt;&gt;"","B","")</f>
        <v/>
      </c>
      <c r="H833" s="1351" t="s">
        <v>1991</v>
      </c>
      <c r="I833" s="1307" t="str">
        <f t="shared" si="114"/>
        <v/>
      </c>
      <c r="J833" s="1351"/>
      <c r="K833" s="1351" t="str">
        <f t="shared" si="115"/>
        <v/>
      </c>
      <c r="L833" s="852" t="s">
        <v>1383</v>
      </c>
      <c r="M833" s="1366">
        <v>816</v>
      </c>
      <c r="N833" s="1351"/>
      <c r="O833" s="1348" t="s">
        <v>726</v>
      </c>
      <c r="P833" s="1348"/>
      <c r="Q833" s="1348"/>
      <c r="R833" s="1351" t="s">
        <v>1532</v>
      </c>
      <c r="S833" s="1348"/>
      <c r="T833" s="1351" t="str">
        <f t="shared" si="128"/>
        <v/>
      </c>
      <c r="U833" s="1348"/>
      <c r="V833" s="1348"/>
      <c r="W833" s="1348"/>
      <c r="X833" s="1348"/>
      <c r="Y833" s="1348"/>
      <c r="Z833" s="134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51" t="s">
        <v>1992</v>
      </c>
      <c r="G834" s="1351" t="str">
        <f>IF(T834&lt;&gt;"","E","")</f>
        <v/>
      </c>
      <c r="H834" s="1351" t="s">
        <v>1991</v>
      </c>
      <c r="I834" s="1307" t="str">
        <f t="shared" si="114"/>
        <v/>
      </c>
      <c r="J834" s="1351" t="str">
        <f t="shared" ref="J834:J840" si="131">IF(M834&lt;&gt;"",IF($Q$832="Yes",Q$1&amp;M834,""))</f>
        <v/>
      </c>
      <c r="K834" s="1351" t="str">
        <f t="shared" si="115"/>
        <v/>
      </c>
      <c r="L834" s="852" t="s">
        <v>1380</v>
      </c>
      <c r="M834" s="1366">
        <v>817</v>
      </c>
      <c r="N834" s="1351"/>
      <c r="O834" s="1348">
        <f>'Configurable Tab'!I17</f>
        <v>222</v>
      </c>
      <c r="P834" s="1348"/>
      <c r="Q834" s="1348"/>
      <c r="R834" s="1351" t="s">
        <v>1532</v>
      </c>
      <c r="S834" s="1348"/>
      <c r="T834" s="1351" t="str">
        <f t="shared" si="128"/>
        <v/>
      </c>
      <c r="U834" s="1348"/>
      <c r="V834" s="1348"/>
      <c r="W834" s="1348"/>
      <c r="X834" s="1348"/>
      <c r="Y834" s="1348"/>
      <c r="Z834" s="1348"/>
    </row>
    <row r="835" spans="1:26" x14ac:dyDescent="0.25">
      <c r="A835" s="873" t="s">
        <v>1381</v>
      </c>
      <c r="B835" s="852" t="str">
        <f t="shared" ca="1" si="129"/>
        <v>J209</v>
      </c>
      <c r="C835" s="852" t="str">
        <f t="shared" ca="1" si="130"/>
        <v>J210</v>
      </c>
      <c r="D835" s="852" t="s">
        <v>1350</v>
      </c>
      <c r="E835" s="852" t="s">
        <v>1517</v>
      </c>
      <c r="F835" s="1351" t="s">
        <v>1993</v>
      </c>
      <c r="G835" s="1351" t="str">
        <f>IF(T835&lt;&gt;"","I","")</f>
        <v/>
      </c>
      <c r="H835" s="1351" t="s">
        <v>1991</v>
      </c>
      <c r="I835" s="1307" t="str">
        <f t="shared" si="114"/>
        <v/>
      </c>
      <c r="J835" s="1351" t="str">
        <f t="shared" si="131"/>
        <v/>
      </c>
      <c r="K835" s="1351" t="str">
        <f t="shared" si="115"/>
        <v/>
      </c>
      <c r="L835" s="852" t="s">
        <v>1381</v>
      </c>
      <c r="M835" s="1366">
        <v>818</v>
      </c>
      <c r="N835" s="1351"/>
      <c r="O835" s="1348" t="s">
        <v>1647</v>
      </c>
      <c r="P835" s="1348"/>
      <c r="Q835" s="1348"/>
      <c r="R835" s="1351" t="s">
        <v>1532</v>
      </c>
      <c r="S835" s="1348"/>
      <c r="T835" s="1351" t="str">
        <f t="shared" si="128"/>
        <v/>
      </c>
      <c r="U835" s="1348"/>
      <c r="V835" s="1348"/>
      <c r="W835" s="1348"/>
      <c r="X835" s="1348"/>
      <c r="Y835" s="1348"/>
      <c r="Z835" s="1348"/>
    </row>
    <row r="836" spans="1:26" x14ac:dyDescent="0.25">
      <c r="A836" s="873" t="s">
        <v>1397</v>
      </c>
      <c r="B836" s="852" t="str">
        <f t="shared" ca="1" si="129"/>
        <v>L209</v>
      </c>
      <c r="C836" s="852" t="str">
        <f t="shared" ca="1" si="130"/>
        <v>L210</v>
      </c>
      <c r="D836" s="852" t="s">
        <v>1350</v>
      </c>
      <c r="E836" s="852" t="s">
        <v>1517</v>
      </c>
      <c r="F836" s="1351" t="s">
        <v>1994</v>
      </c>
      <c r="G836" s="1351" t="str">
        <f>IF(T836&lt;&gt;"","H","")</f>
        <v/>
      </c>
      <c r="H836" s="1351" t="s">
        <v>1991</v>
      </c>
      <c r="I836" s="1307" t="str">
        <f t="shared" ref="I836:I899" si="132">IF(J836&lt;&gt;"",A836,"")</f>
        <v/>
      </c>
      <c r="J836" s="1351" t="str">
        <f t="shared" si="131"/>
        <v/>
      </c>
      <c r="K836" s="1351" t="str">
        <f t="shared" ref="K836:K899" si="133">IF(J836&lt;&gt;"",E836,"")</f>
        <v/>
      </c>
      <c r="L836" s="852" t="s">
        <v>1397</v>
      </c>
      <c r="M836" s="1366">
        <v>819</v>
      </c>
      <c r="N836" s="1351"/>
      <c r="O836" s="1348"/>
      <c r="P836" s="1348"/>
      <c r="Q836" s="1348"/>
      <c r="R836" s="1351" t="s">
        <v>1532</v>
      </c>
      <c r="S836" s="1348"/>
      <c r="T836" s="1351" t="str">
        <f t="shared" si="128"/>
        <v/>
      </c>
      <c r="U836" s="1348"/>
      <c r="V836" s="1348"/>
      <c r="W836" s="1348"/>
      <c r="X836" s="1348"/>
      <c r="Y836" s="1348"/>
      <c r="Z836" s="1348"/>
    </row>
    <row r="837" spans="1:26" x14ac:dyDescent="0.25">
      <c r="A837" s="873" t="s">
        <v>1382</v>
      </c>
      <c r="B837" s="852" t="str">
        <f t="shared" ca="1" si="129"/>
        <v>N209</v>
      </c>
      <c r="C837" s="852" t="str">
        <f t="shared" ca="1" si="130"/>
        <v>N210</v>
      </c>
      <c r="D837" s="852" t="s">
        <v>1350</v>
      </c>
      <c r="E837" s="852" t="s">
        <v>1517</v>
      </c>
      <c r="F837" s="1351" t="s">
        <v>1382</v>
      </c>
      <c r="G837" s="1351" t="str">
        <f>IF(T837&lt;&gt;"",IF(Q835="Credit Memo","J",IF(Q835="Check","K","")),"")</f>
        <v/>
      </c>
      <c r="H837" s="1351" t="s">
        <v>1991</v>
      </c>
      <c r="I837" s="1307" t="str">
        <f t="shared" si="132"/>
        <v/>
      </c>
      <c r="J837" s="1351" t="str">
        <f t="shared" si="131"/>
        <v/>
      </c>
      <c r="K837" s="1351" t="str">
        <f t="shared" si="133"/>
        <v/>
      </c>
      <c r="L837" s="852" t="s">
        <v>1382</v>
      </c>
      <c r="M837" s="1366">
        <v>820</v>
      </c>
      <c r="N837" s="1351"/>
      <c r="O837" s="1348"/>
      <c r="P837" s="1348"/>
      <c r="Q837" s="1348"/>
      <c r="R837" s="1351" t="s">
        <v>1532</v>
      </c>
      <c r="S837" s="1348"/>
      <c r="T837" s="1351" t="str">
        <f t="shared" si="128"/>
        <v/>
      </c>
      <c r="U837" s="1348"/>
      <c r="V837" s="1348"/>
      <c r="W837" s="1348"/>
      <c r="X837" s="1348"/>
      <c r="Y837" s="1348"/>
      <c r="Z837" s="1348"/>
    </row>
    <row r="838" spans="1:26" x14ac:dyDescent="0.25">
      <c r="A838" s="873" t="s">
        <v>1487</v>
      </c>
      <c r="B838" s="852" t="str">
        <f t="shared" ca="1" si="129"/>
        <v>P209</v>
      </c>
      <c r="C838" s="852" t="str">
        <f t="shared" ca="1" si="130"/>
        <v>P210</v>
      </c>
      <c r="D838" s="852" t="s">
        <v>1350</v>
      </c>
      <c r="E838" s="852" t="s">
        <v>1517</v>
      </c>
      <c r="F838" s="1351" t="s">
        <v>1995</v>
      </c>
      <c r="G838" s="1351" t="str">
        <f>IF(T838&lt;&gt;"","F","")</f>
        <v/>
      </c>
      <c r="H838" s="1351" t="s">
        <v>1991</v>
      </c>
      <c r="I838" s="1307" t="str">
        <f t="shared" si="132"/>
        <v/>
      </c>
      <c r="J838" s="1351" t="str">
        <f t="shared" si="131"/>
        <v/>
      </c>
      <c r="K838" s="1351" t="str">
        <f t="shared" si="133"/>
        <v/>
      </c>
      <c r="L838" s="852" t="s">
        <v>1487</v>
      </c>
      <c r="M838" s="1366">
        <v>821</v>
      </c>
      <c r="N838" s="1351"/>
      <c r="O838" s="1348"/>
      <c r="P838" s="1348"/>
      <c r="Q838" s="1348"/>
      <c r="R838" s="1351" t="s">
        <v>1532</v>
      </c>
      <c r="S838" s="1348"/>
      <c r="T838" s="1351" t="str">
        <f t="shared" si="128"/>
        <v/>
      </c>
      <c r="U838" s="1348"/>
      <c r="V838" s="1348"/>
      <c r="W838" s="1348"/>
      <c r="X838" s="1348"/>
      <c r="Y838" s="1348"/>
      <c r="Z838" s="1348"/>
    </row>
    <row r="839" spans="1:26" x14ac:dyDescent="0.25">
      <c r="A839" s="873" t="s">
        <v>1488</v>
      </c>
      <c r="B839" s="852" t="str">
        <f t="shared" ca="1" si="129"/>
        <v>R209</v>
      </c>
      <c r="C839" s="852" t="str">
        <f t="shared" ca="1" si="130"/>
        <v>R210</v>
      </c>
      <c r="D839" s="852" t="s">
        <v>1350</v>
      </c>
      <c r="E839" s="852" t="s">
        <v>1517</v>
      </c>
      <c r="F839" s="1351" t="s">
        <v>1996</v>
      </c>
      <c r="G839" s="1351" t="str">
        <f>IF(T839&lt;&gt;"","G","")</f>
        <v/>
      </c>
      <c r="H839" s="1351" t="s">
        <v>1991</v>
      </c>
      <c r="I839" s="1307" t="str">
        <f t="shared" si="132"/>
        <v/>
      </c>
      <c r="J839" s="1351" t="str">
        <f t="shared" si="131"/>
        <v/>
      </c>
      <c r="K839" s="1351" t="str">
        <f t="shared" si="133"/>
        <v/>
      </c>
      <c r="L839" s="852" t="s">
        <v>1488</v>
      </c>
      <c r="M839" s="1366">
        <v>822</v>
      </c>
      <c r="N839" s="1351"/>
      <c r="O839" s="1348"/>
      <c r="P839" s="1348"/>
      <c r="Q839" s="1348"/>
      <c r="R839" s="1351" t="s">
        <v>1532</v>
      </c>
      <c r="S839" s="1348"/>
      <c r="T839" s="1351" t="str">
        <f t="shared" si="128"/>
        <v/>
      </c>
      <c r="U839" s="1348"/>
      <c r="V839" s="1348"/>
      <c r="W839" s="1348"/>
      <c r="X839" s="1348"/>
      <c r="Y839" s="1348"/>
      <c r="Z839" s="1348"/>
    </row>
    <row r="840" spans="1:26" x14ac:dyDescent="0.25">
      <c r="A840" s="873" t="s">
        <v>1489</v>
      </c>
      <c r="B840" s="852" t="str">
        <f t="shared" ca="1" si="129"/>
        <v>T209</v>
      </c>
      <c r="C840" s="852" t="str">
        <f t="shared" ca="1" si="130"/>
        <v>T210</v>
      </c>
      <c r="D840" s="852" t="s">
        <v>1350</v>
      </c>
      <c r="E840" s="852" t="s">
        <v>1517</v>
      </c>
      <c r="F840" s="867" t="s">
        <v>1489</v>
      </c>
      <c r="G840" s="1351" t="str">
        <f>IF(T840&lt;&gt;"","AW","")</f>
        <v/>
      </c>
      <c r="H840" s="1351" t="s">
        <v>1991</v>
      </c>
      <c r="I840" s="1307" t="str">
        <f t="shared" si="132"/>
        <v/>
      </c>
      <c r="J840" s="1351" t="str">
        <f t="shared" si="131"/>
        <v/>
      </c>
      <c r="K840" s="1351" t="str">
        <f t="shared" si="133"/>
        <v/>
      </c>
      <c r="L840" s="852" t="s">
        <v>1489</v>
      </c>
      <c r="M840" s="1366">
        <v>823</v>
      </c>
      <c r="N840" s="1351"/>
      <c r="O840" s="1348"/>
      <c r="P840" s="1348"/>
      <c r="Q840" s="1348"/>
      <c r="R840" s="1351" t="s">
        <v>1532</v>
      </c>
      <c r="S840" s="1348"/>
      <c r="T840" s="1351" t="str">
        <f t="shared" si="128"/>
        <v/>
      </c>
      <c r="U840" s="1348"/>
      <c r="V840" s="1348"/>
      <c r="W840" s="1348"/>
      <c r="X840" s="1348"/>
      <c r="Y840" s="1348"/>
      <c r="Z840" s="134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51" t="s">
        <v>1385</v>
      </c>
      <c r="G841" s="1351" t="str">
        <f>IF(T841&lt;&gt;"","C","")</f>
        <v/>
      </c>
      <c r="H841" s="1351" t="s">
        <v>1991</v>
      </c>
      <c r="I841" s="1307" t="str">
        <f t="shared" si="132"/>
        <v/>
      </c>
      <c r="J841" s="1351"/>
      <c r="K841" s="1351" t="str">
        <f t="shared" si="133"/>
        <v/>
      </c>
      <c r="L841" s="852" t="s">
        <v>1385</v>
      </c>
      <c r="M841" s="1366">
        <v>824</v>
      </c>
      <c r="N841" s="1351"/>
      <c r="O841" s="1348"/>
      <c r="P841" s="1348"/>
      <c r="Q841" s="1348"/>
      <c r="R841" s="1351" t="s">
        <v>1532</v>
      </c>
      <c r="S841" s="1348"/>
      <c r="T841" s="1351" t="str">
        <f t="shared" si="128"/>
        <v/>
      </c>
      <c r="U841" s="1348"/>
      <c r="V841" s="1348"/>
      <c r="W841" s="1348"/>
      <c r="X841" s="1348"/>
      <c r="Y841" s="1348"/>
      <c r="Z841" s="134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51" t="s">
        <v>1386</v>
      </c>
      <c r="G842" s="1351" t="str">
        <f>IF(T842&lt;&gt;"","D","")</f>
        <v/>
      </c>
      <c r="H842" s="1351" t="s">
        <v>1991</v>
      </c>
      <c r="I842" s="1307" t="str">
        <f t="shared" si="132"/>
        <v/>
      </c>
      <c r="J842" s="1351"/>
      <c r="K842" s="1351" t="str">
        <f t="shared" si="133"/>
        <v/>
      </c>
      <c r="L842" s="852" t="s">
        <v>1386</v>
      </c>
      <c r="M842" s="1366">
        <v>825</v>
      </c>
      <c r="N842" s="1351"/>
      <c r="O842" s="1348"/>
      <c r="P842" s="1348"/>
      <c r="Q842" s="1348"/>
      <c r="R842" s="1351" t="s">
        <v>1532</v>
      </c>
      <c r="S842" s="1348"/>
      <c r="T842" s="1351" t="str">
        <f t="shared" si="128"/>
        <v/>
      </c>
      <c r="U842" s="1348"/>
      <c r="V842" s="1348"/>
      <c r="W842" s="1348"/>
      <c r="X842" s="1348"/>
      <c r="Y842" s="1348"/>
      <c r="Z842" s="134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51" t="s">
        <v>1496</v>
      </c>
      <c r="G843" s="1351" t="str">
        <f>IF(T843&lt;&gt;"","AN","")</f>
        <v/>
      </c>
      <c r="H843" s="1351" t="s">
        <v>1991</v>
      </c>
      <c r="I843" s="1307" t="str">
        <f t="shared" si="132"/>
        <v/>
      </c>
      <c r="J843" s="1351" t="str">
        <f>IF(M843&lt;&gt;"",IF($Q$832="Yes",Q$1&amp;M843,""))</f>
        <v/>
      </c>
      <c r="K843" s="1351" t="str">
        <f t="shared" si="133"/>
        <v/>
      </c>
      <c r="L843" s="852" t="s">
        <v>1496</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1532</v>
      </c>
      <c r="S843" s="1348"/>
      <c r="T843" s="1351" t="str">
        <f t="shared" si="128"/>
        <v/>
      </c>
      <c r="U843" s="1348"/>
      <c r="V843" s="1348"/>
      <c r="W843" s="1348"/>
      <c r="X843" s="1348"/>
      <c r="Y843" s="1348"/>
      <c r="Z843" s="134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51" t="s">
        <v>1493</v>
      </c>
      <c r="G844" s="1351" t="str">
        <f>IF(T844&lt;&gt;"","AL","")</f>
        <v/>
      </c>
      <c r="H844" s="1351" t="s">
        <v>1991</v>
      </c>
      <c r="I844" s="1307" t="str">
        <f t="shared" si="132"/>
        <v/>
      </c>
      <c r="J844" s="1351" t="str">
        <f>IF(M844&lt;&gt;"",IF($Q$832="Yes",Q$1&amp;M844,""))</f>
        <v/>
      </c>
      <c r="K844" s="1351" t="str">
        <f t="shared" si="133"/>
        <v/>
      </c>
      <c r="L844" s="852" t="s">
        <v>1493</v>
      </c>
      <c r="M844" s="1366">
        <v>827</v>
      </c>
      <c r="N844" s="1351"/>
      <c r="O844" s="1348"/>
      <c r="P844" s="1348"/>
      <c r="Q844" s="1348"/>
      <c r="R844" s="1351" t="s">
        <v>1532</v>
      </c>
      <c r="S844" s="1348"/>
      <c r="T844" s="1351" t="str">
        <f t="shared" si="128"/>
        <v/>
      </c>
      <c r="U844" s="1348"/>
      <c r="V844" s="1348"/>
      <c r="W844" s="1348"/>
      <c r="X844" s="1348"/>
      <c r="Y844" s="1348"/>
      <c r="Z844" s="134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51" t="s">
        <v>1997</v>
      </c>
      <c r="G845" s="1351" t="str">
        <f>IF(T845&lt;&gt;"","L","")</f>
        <v/>
      </c>
      <c r="H845" s="1351" t="s">
        <v>1991</v>
      </c>
      <c r="I845" s="1307" t="str">
        <f t="shared" si="132"/>
        <v/>
      </c>
      <c r="J845" s="1351" t="str">
        <f>IF(M845&lt;&gt;"",IF($Q$832="Yes",Q$1&amp;M845,""))</f>
        <v/>
      </c>
      <c r="K845" s="1351" t="str">
        <f t="shared" si="133"/>
        <v/>
      </c>
      <c r="L845" s="852" t="s">
        <v>1507</v>
      </c>
      <c r="M845" s="1366">
        <v>828</v>
      </c>
      <c r="N845" s="1351"/>
      <c r="O845" s="1348"/>
      <c r="P845" s="1348"/>
      <c r="Q845" s="1348"/>
      <c r="R845" s="1351" t="s">
        <v>1532</v>
      </c>
      <c r="S845" s="1348"/>
      <c r="T845" s="1351" t="str">
        <f>IF(Q$832="Yes",15,"")</f>
        <v/>
      </c>
      <c r="U845" s="1348"/>
      <c r="V845" s="1348"/>
      <c r="W845" s="1348"/>
      <c r="X845" s="1348"/>
      <c r="Y845" s="1348"/>
      <c r="Z845" s="134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51"/>
      <c r="H846" s="1351"/>
      <c r="I846" s="1307" t="str">
        <f t="shared" si="132"/>
        <v/>
      </c>
      <c r="J846" s="1351" t="str">
        <f>IF(M846&lt;&gt;"",IF($Q$832="Yes",Q$1&amp;M846,""))</f>
        <v/>
      </c>
      <c r="K846" s="1351" t="str">
        <f t="shared" si="133"/>
        <v/>
      </c>
      <c r="L846" s="852" t="s">
        <v>1387</v>
      </c>
      <c r="M846" s="1366">
        <v>829</v>
      </c>
      <c r="N846" s="1351"/>
      <c r="O846" s="1348"/>
      <c r="P846" s="1348"/>
      <c r="Q846" s="1348"/>
      <c r="R846" s="1351" t="s">
        <v>1532</v>
      </c>
      <c r="S846" s="1348"/>
      <c r="T846" s="1351" t="str">
        <f t="shared" ref="T846:T860" si="135">IF(Q$832="Yes",15,"")</f>
        <v/>
      </c>
      <c r="U846" s="1348"/>
      <c r="V846" s="1348"/>
      <c r="W846" s="1348"/>
      <c r="X846" s="1348"/>
      <c r="Y846" s="1348"/>
      <c r="Z846" s="134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51"/>
      <c r="H847" s="1351"/>
      <c r="I847" s="1307" t="str">
        <f t="shared" si="132"/>
        <v/>
      </c>
      <c r="J847" s="1351"/>
      <c r="K847" s="1351" t="str">
        <f t="shared" si="133"/>
        <v/>
      </c>
      <c r="L847" s="852" t="s">
        <v>1388</v>
      </c>
      <c r="M847" s="1366">
        <v>830</v>
      </c>
      <c r="N847" s="1351"/>
      <c r="O847" s="1348"/>
      <c r="P847" s="1348"/>
      <c r="Q847" s="1348"/>
      <c r="R847" s="1351" t="s">
        <v>1532</v>
      </c>
      <c r="S847" s="1348"/>
      <c r="T847" s="1351" t="str">
        <f t="shared" si="135"/>
        <v/>
      </c>
      <c r="U847" s="1348"/>
      <c r="V847" s="1348"/>
      <c r="W847" s="1348"/>
      <c r="X847" s="1348"/>
      <c r="Y847" s="1348"/>
      <c r="Z847" s="134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0"/>
      <c r="G848" s="1351"/>
      <c r="H848" s="1351"/>
      <c r="I848" s="1307" t="str">
        <f t="shared" si="132"/>
        <v/>
      </c>
      <c r="J848" s="1351"/>
      <c r="K848" s="1351" t="str">
        <f t="shared" si="133"/>
        <v/>
      </c>
      <c r="L848" s="852" t="s">
        <v>1389</v>
      </c>
      <c r="M848" s="1366">
        <v>831</v>
      </c>
      <c r="N848" s="1351"/>
      <c r="O848" s="1348"/>
      <c r="P848" s="1348"/>
      <c r="Q848" s="1348"/>
      <c r="R848" s="1351" t="s">
        <v>1532</v>
      </c>
      <c r="S848" s="1348"/>
      <c r="T848" s="1351" t="str">
        <f t="shared" si="135"/>
        <v/>
      </c>
      <c r="U848" s="1348"/>
      <c r="V848" s="1348"/>
      <c r="W848" s="1348"/>
      <c r="X848" s="1348"/>
      <c r="Y848" s="1348"/>
      <c r="Z848" s="134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51"/>
      <c r="G849" s="1351"/>
      <c r="H849" s="1351"/>
      <c r="I849" s="1307" t="str">
        <f t="shared" si="132"/>
        <v/>
      </c>
      <c r="J849" s="1351" t="str">
        <f>IF(M849&lt;&gt;"",IF($Q$832="Yes",Q$1&amp;M849,""))</f>
        <v/>
      </c>
      <c r="K849" s="1351" t="str">
        <f t="shared" si="133"/>
        <v/>
      </c>
      <c r="L849" s="852" t="s">
        <v>1387</v>
      </c>
      <c r="M849" s="1366">
        <v>832</v>
      </c>
      <c r="N849" s="1351"/>
      <c r="O849" s="1348"/>
      <c r="P849" s="1348"/>
      <c r="Q849" s="1348"/>
      <c r="R849" s="1351" t="s">
        <v>1532</v>
      </c>
      <c r="S849" s="1348"/>
      <c r="T849" s="1351" t="str">
        <f t="shared" si="135"/>
        <v/>
      </c>
      <c r="U849" s="1348"/>
      <c r="V849" s="1348"/>
      <c r="W849" s="1348"/>
      <c r="X849" s="1348"/>
      <c r="Y849" s="1348"/>
      <c r="Z849" s="134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51"/>
      <c r="G850" s="1351"/>
      <c r="H850" s="1351"/>
      <c r="I850" s="1307" t="str">
        <f t="shared" si="132"/>
        <v/>
      </c>
      <c r="J850" s="1351"/>
      <c r="K850" s="1351" t="str">
        <f t="shared" si="133"/>
        <v/>
      </c>
      <c r="L850" s="852" t="s">
        <v>1388</v>
      </c>
      <c r="M850" s="1366">
        <v>833</v>
      </c>
      <c r="N850" s="1351"/>
      <c r="O850" s="1348"/>
      <c r="P850" s="1348"/>
      <c r="Q850" s="1348"/>
      <c r="R850" s="1351" t="s">
        <v>1532</v>
      </c>
      <c r="S850" s="1348"/>
      <c r="T850" s="1351" t="str">
        <f t="shared" si="135"/>
        <v/>
      </c>
      <c r="U850" s="1348"/>
      <c r="V850" s="1348"/>
      <c r="W850" s="1348"/>
      <c r="X850" s="1348"/>
      <c r="Y850" s="1348"/>
      <c r="Z850" s="134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51"/>
      <c r="G851" s="1351"/>
      <c r="H851" s="1351"/>
      <c r="I851" s="1307" t="str">
        <f t="shared" si="132"/>
        <v/>
      </c>
      <c r="J851" s="1351"/>
      <c r="K851" s="1351" t="str">
        <f t="shared" si="133"/>
        <v/>
      </c>
      <c r="L851" s="852" t="s">
        <v>1389</v>
      </c>
      <c r="M851" s="1366">
        <v>834</v>
      </c>
      <c r="N851" s="1351"/>
      <c r="O851" s="1348"/>
      <c r="P851" s="1348"/>
      <c r="Q851" s="1348"/>
      <c r="R851" s="1351" t="s">
        <v>1532</v>
      </c>
      <c r="S851" s="1348"/>
      <c r="T851" s="1351" t="str">
        <f t="shared" si="135"/>
        <v/>
      </c>
      <c r="U851" s="1348"/>
      <c r="V851" s="1348"/>
      <c r="W851" s="1348"/>
      <c r="X851" s="1348"/>
      <c r="Y851" s="1348"/>
      <c r="Z851" s="134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51"/>
      <c r="G852" s="1351"/>
      <c r="H852" s="1351"/>
      <c r="I852" s="1307" t="str">
        <f t="shared" si="132"/>
        <v/>
      </c>
      <c r="J852" s="1351" t="str">
        <f>IF(M852&lt;&gt;"",IF($Q$832="Yes",Q$1&amp;M852,""))</f>
        <v/>
      </c>
      <c r="K852" s="1351" t="str">
        <f t="shared" si="133"/>
        <v/>
      </c>
      <c r="L852" s="852" t="s">
        <v>1387</v>
      </c>
      <c r="M852" s="1366">
        <v>835</v>
      </c>
      <c r="N852" s="1351"/>
      <c r="O852" s="1348"/>
      <c r="P852" s="1348"/>
      <c r="Q852" s="1348"/>
      <c r="R852" s="1351" t="s">
        <v>1532</v>
      </c>
      <c r="S852" s="1348"/>
      <c r="T852" s="1351" t="str">
        <f t="shared" si="135"/>
        <v/>
      </c>
      <c r="U852" s="1348"/>
      <c r="V852" s="1348"/>
      <c r="W852" s="1348"/>
      <c r="X852" s="1348"/>
      <c r="Y852" s="1348"/>
      <c r="Z852" s="134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51"/>
      <c r="G853" s="1351"/>
      <c r="H853" s="1351"/>
      <c r="I853" s="1307" t="str">
        <f t="shared" si="132"/>
        <v/>
      </c>
      <c r="J853" s="1351"/>
      <c r="K853" s="1351" t="str">
        <f t="shared" si="133"/>
        <v/>
      </c>
      <c r="L853" s="852" t="s">
        <v>1388</v>
      </c>
      <c r="M853" s="1366">
        <v>836</v>
      </c>
      <c r="N853" s="1351"/>
      <c r="O853" s="1348"/>
      <c r="P853" s="1348"/>
      <c r="Q853" s="1348"/>
      <c r="R853" s="1351" t="s">
        <v>1532</v>
      </c>
      <c r="S853" s="1348"/>
      <c r="T853" s="1351" t="str">
        <f t="shared" si="135"/>
        <v/>
      </c>
      <c r="U853" s="1348"/>
      <c r="V853" s="1348"/>
      <c r="W853" s="1348"/>
      <c r="X853" s="1348"/>
      <c r="Y853" s="1348"/>
      <c r="Z853" s="134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51"/>
      <c r="G854" s="1351"/>
      <c r="H854" s="1351"/>
      <c r="I854" s="1307" t="str">
        <f t="shared" si="132"/>
        <v/>
      </c>
      <c r="J854" s="1351"/>
      <c r="K854" s="1351" t="str">
        <f t="shared" si="133"/>
        <v/>
      </c>
      <c r="L854" s="852" t="s">
        <v>1389</v>
      </c>
      <c r="M854" s="1366">
        <v>837</v>
      </c>
      <c r="N854" s="1351"/>
      <c r="O854" s="1348"/>
      <c r="P854" s="1348"/>
      <c r="Q854" s="1348"/>
      <c r="R854" s="1351" t="s">
        <v>1532</v>
      </c>
      <c r="S854" s="1348"/>
      <c r="T854" s="1351" t="str">
        <f t="shared" si="135"/>
        <v/>
      </c>
      <c r="U854" s="1348"/>
      <c r="V854" s="1348"/>
      <c r="W854" s="1348"/>
      <c r="X854" s="1348"/>
      <c r="Y854" s="1348"/>
      <c r="Z854" s="134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51"/>
      <c r="G855" s="1351"/>
      <c r="H855" s="1351"/>
      <c r="I855" s="1307" t="str">
        <f t="shared" si="132"/>
        <v/>
      </c>
      <c r="J855" s="1351" t="str">
        <f>IF(M855&lt;&gt;"",IF($Q$832="Yes",Q$1&amp;M855,""))</f>
        <v/>
      </c>
      <c r="K855" s="1351" t="str">
        <f t="shared" si="133"/>
        <v/>
      </c>
      <c r="L855" s="852" t="s">
        <v>1387</v>
      </c>
      <c r="M855" s="1366">
        <v>838</v>
      </c>
      <c r="N855" s="1351"/>
      <c r="O855" s="1348"/>
      <c r="P855" s="1348"/>
      <c r="Q855" s="1348"/>
      <c r="R855" s="1351" t="s">
        <v>1532</v>
      </c>
      <c r="S855" s="1348"/>
      <c r="T855" s="1351" t="str">
        <f t="shared" si="135"/>
        <v/>
      </c>
      <c r="U855" s="1348"/>
      <c r="V855" s="1348"/>
      <c r="W855" s="1348"/>
      <c r="X855" s="1348"/>
      <c r="Y855" s="1348"/>
      <c r="Z855" s="134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51"/>
      <c r="G856" s="1351"/>
      <c r="H856" s="1351"/>
      <c r="I856" s="1307" t="str">
        <f t="shared" si="132"/>
        <v/>
      </c>
      <c r="J856" s="1351"/>
      <c r="K856" s="1351" t="str">
        <f t="shared" si="133"/>
        <v/>
      </c>
      <c r="L856" s="852" t="s">
        <v>1388</v>
      </c>
      <c r="M856" s="1366">
        <v>839</v>
      </c>
      <c r="N856" s="1351"/>
      <c r="O856" s="1348"/>
      <c r="P856" s="1348"/>
      <c r="Q856" s="1348"/>
      <c r="R856" s="1351" t="s">
        <v>1532</v>
      </c>
      <c r="S856" s="1348"/>
      <c r="T856" s="1351" t="str">
        <f t="shared" si="135"/>
        <v/>
      </c>
      <c r="U856" s="1348"/>
      <c r="V856" s="1348"/>
      <c r="W856" s="1348"/>
      <c r="X856" s="1348"/>
      <c r="Y856" s="1348"/>
      <c r="Z856" s="134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51"/>
      <c r="G857" s="1351"/>
      <c r="H857" s="1351"/>
      <c r="I857" s="1307" t="str">
        <f t="shared" si="132"/>
        <v/>
      </c>
      <c r="J857" s="1351"/>
      <c r="K857" s="1351" t="str">
        <f t="shared" si="133"/>
        <v/>
      </c>
      <c r="L857" s="852" t="s">
        <v>1389</v>
      </c>
      <c r="M857" s="1366">
        <v>840</v>
      </c>
      <c r="N857" s="1351"/>
      <c r="O857" s="1348"/>
      <c r="P857" s="1348"/>
      <c r="Q857" s="1348"/>
      <c r="R857" s="1351" t="s">
        <v>1532</v>
      </c>
      <c r="S857" s="1348"/>
      <c r="T857" s="1351" t="str">
        <f t="shared" si="135"/>
        <v/>
      </c>
      <c r="U857" s="1348"/>
      <c r="V857" s="1348"/>
      <c r="W857" s="1348"/>
      <c r="X857" s="1348"/>
      <c r="Y857" s="1348"/>
      <c r="Z857" s="134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51"/>
      <c r="G858" s="1351"/>
      <c r="H858" s="1351"/>
      <c r="I858" s="1307" t="str">
        <f t="shared" si="132"/>
        <v/>
      </c>
      <c r="J858" s="1351" t="str">
        <f>IF(M858&lt;&gt;"",IF($Q$832="Yes",Q$1&amp;M858,""))</f>
        <v/>
      </c>
      <c r="K858" s="1351" t="str">
        <f t="shared" si="133"/>
        <v/>
      </c>
      <c r="L858" s="852" t="s">
        <v>1387</v>
      </c>
      <c r="M858" s="1366">
        <v>841</v>
      </c>
      <c r="N858" s="1351"/>
      <c r="O858" s="1348"/>
      <c r="P858" s="1348"/>
      <c r="Q858" s="1348"/>
      <c r="R858" s="1351" t="s">
        <v>1532</v>
      </c>
      <c r="S858" s="1348"/>
      <c r="T858" s="1351" t="str">
        <f t="shared" si="135"/>
        <v/>
      </c>
      <c r="U858" s="1348"/>
      <c r="V858" s="1348"/>
      <c r="W858" s="1348"/>
      <c r="X858" s="1348"/>
      <c r="Y858" s="1348"/>
      <c r="Z858" s="134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51"/>
      <c r="G859" s="1351"/>
      <c r="H859" s="1351"/>
      <c r="I859" s="1307" t="str">
        <f t="shared" si="132"/>
        <v/>
      </c>
      <c r="J859" s="1351"/>
      <c r="K859" s="1351" t="str">
        <f t="shared" si="133"/>
        <v/>
      </c>
      <c r="L859" s="852" t="s">
        <v>1388</v>
      </c>
      <c r="M859" s="1366">
        <v>842</v>
      </c>
      <c r="N859" s="1351"/>
      <c r="O859" s="1348"/>
      <c r="P859" s="1348"/>
      <c r="Q859" s="1348"/>
      <c r="R859" s="1351" t="s">
        <v>1532</v>
      </c>
      <c r="S859" s="1348"/>
      <c r="T859" s="1351" t="str">
        <f t="shared" si="135"/>
        <v/>
      </c>
      <c r="U859" s="1348"/>
      <c r="V859" s="1348"/>
      <c r="W859" s="1348"/>
      <c r="X859" s="1348"/>
      <c r="Y859" s="1348"/>
      <c r="Z859" s="134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51"/>
      <c r="G860" s="1351"/>
      <c r="H860" s="1351"/>
      <c r="I860" s="1307" t="str">
        <f t="shared" si="132"/>
        <v/>
      </c>
      <c r="J860" s="1351"/>
      <c r="K860" s="1351" t="str">
        <f t="shared" si="133"/>
        <v/>
      </c>
      <c r="L860" s="852" t="s">
        <v>1389</v>
      </c>
      <c r="M860" s="1366">
        <v>843</v>
      </c>
      <c r="N860" s="1351"/>
      <c r="O860" s="1348"/>
      <c r="P860" s="1348"/>
      <c r="Q860" s="1348"/>
      <c r="R860" s="1351" t="s">
        <v>1532</v>
      </c>
      <c r="S860" s="1348"/>
      <c r="T860" s="1351" t="str">
        <f t="shared" si="135"/>
        <v/>
      </c>
      <c r="U860" s="1348"/>
      <c r="V860" s="1348"/>
      <c r="W860" s="1348"/>
      <c r="X860" s="1348"/>
      <c r="Y860" s="1348"/>
      <c r="Z860" s="134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51" t="s">
        <v>1492</v>
      </c>
      <c r="G861" s="1351" t="str">
        <f>IF(T861&lt;&gt;"","A","")</f>
        <v/>
      </c>
      <c r="H861" s="1351" t="s">
        <v>1991</v>
      </c>
      <c r="I861" s="1307" t="str">
        <f t="shared" si="132"/>
        <v/>
      </c>
      <c r="J861" s="1351"/>
      <c r="K861" s="1351" t="str">
        <f t="shared" si="133"/>
        <v/>
      </c>
      <c r="L861" s="852" t="s">
        <v>1492</v>
      </c>
      <c r="M861" s="1366">
        <v>844</v>
      </c>
      <c r="N861" s="1351"/>
      <c r="O861" s="1348" t="s">
        <v>725</v>
      </c>
      <c r="P861" s="1447"/>
      <c r="Q861" s="1348"/>
      <c r="R861" s="1351" t="s">
        <v>1532</v>
      </c>
      <c r="S861" s="1348"/>
      <c r="T861" s="1351" t="str">
        <f t="shared" ref="T861:T890" si="136">IF(Q$862="Yes",16,"")</f>
        <v/>
      </c>
      <c r="U861" s="1348"/>
      <c r="V861" s="1348"/>
      <c r="W861" s="1348"/>
      <c r="X861" s="1348"/>
      <c r="Y861" s="1348"/>
      <c r="Z861" s="134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51"/>
      <c r="G862" s="1351"/>
      <c r="H862" s="1351"/>
      <c r="I862" s="1307" t="str">
        <f t="shared" si="132"/>
        <v/>
      </c>
      <c r="J862" s="1351" t="str">
        <f t="shared" ref="J862:J888" si="137">IF(M862&lt;&gt;"",IF($Q$862="Yes",Q$1&amp;M862,""))</f>
        <v/>
      </c>
      <c r="K862" s="1351" t="str">
        <f t="shared" si="133"/>
        <v/>
      </c>
      <c r="L862" s="852" t="s">
        <v>1706</v>
      </c>
      <c r="M862" s="1366">
        <v>845</v>
      </c>
      <c r="N862" s="1351"/>
      <c r="O862" s="1348">
        <f>'Configurable Tab'!H18</f>
        <v>223</v>
      </c>
      <c r="P862" s="1447" t="str">
        <f>'Configurable Tab'!J18</f>
        <v>Yes</v>
      </c>
      <c r="Q862" s="1388" t="s">
        <v>648</v>
      </c>
      <c r="R862" s="1351" t="s">
        <v>1532</v>
      </c>
      <c r="S862" s="1348"/>
      <c r="T862" s="1351" t="str">
        <f t="shared" si="136"/>
        <v/>
      </c>
      <c r="U862" s="1348"/>
      <c r="V862" s="1348"/>
      <c r="W862" s="1348"/>
      <c r="X862" s="1348"/>
      <c r="Y862" s="1348"/>
      <c r="Z862" s="134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51" t="s">
        <v>1383</v>
      </c>
      <c r="G863" s="1351" t="str">
        <f>IF(T863&lt;&gt;"","B","")</f>
        <v/>
      </c>
      <c r="H863" s="1351" t="s">
        <v>1991</v>
      </c>
      <c r="I863" s="1307" t="str">
        <f t="shared" si="132"/>
        <v/>
      </c>
      <c r="J863" s="1351"/>
      <c r="K863" s="1351" t="str">
        <f t="shared" si="133"/>
        <v/>
      </c>
      <c r="L863" s="852" t="s">
        <v>1383</v>
      </c>
      <c r="M863" s="1366">
        <v>846</v>
      </c>
      <c r="N863" s="1351"/>
      <c r="O863" s="1348" t="s">
        <v>726</v>
      </c>
      <c r="P863" s="1348"/>
      <c r="Q863" s="1348"/>
      <c r="R863" s="1351" t="s">
        <v>1532</v>
      </c>
      <c r="S863" s="1348"/>
      <c r="T863" s="1351" t="str">
        <f t="shared" si="136"/>
        <v/>
      </c>
      <c r="U863" s="1348"/>
      <c r="V863" s="1348"/>
      <c r="W863" s="1348"/>
      <c r="X863" s="1348"/>
      <c r="Y863" s="1348"/>
      <c r="Z863" s="134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51" t="s">
        <v>1992</v>
      </c>
      <c r="G864" s="1351" t="str">
        <f>IF(T864&lt;&gt;"","E","")</f>
        <v/>
      </c>
      <c r="H864" s="1351" t="s">
        <v>1991</v>
      </c>
      <c r="I864" s="1307" t="str">
        <f t="shared" si="132"/>
        <v/>
      </c>
      <c r="J864" s="1351" t="str">
        <f t="shared" si="137"/>
        <v/>
      </c>
      <c r="K864" s="1351" t="str">
        <f t="shared" si="133"/>
        <v/>
      </c>
      <c r="L864" s="852" t="s">
        <v>1380</v>
      </c>
      <c r="M864" s="1366">
        <v>847</v>
      </c>
      <c r="N864" s="1351"/>
      <c r="O864" s="1348">
        <f>'Configurable Tab'!I18</f>
        <v>238</v>
      </c>
      <c r="P864" s="1348"/>
      <c r="Q864" s="1348"/>
      <c r="R864" s="1351" t="s">
        <v>1532</v>
      </c>
      <c r="S864" s="1348"/>
      <c r="T864" s="1351" t="str">
        <f t="shared" si="136"/>
        <v/>
      </c>
      <c r="U864" s="1348"/>
      <c r="V864" s="1348"/>
      <c r="W864" s="1348"/>
      <c r="X864" s="1348"/>
      <c r="Y864" s="1348"/>
      <c r="Z864" s="1348"/>
    </row>
    <row r="865" spans="1:26" x14ac:dyDescent="0.25">
      <c r="A865" s="876" t="s">
        <v>1381</v>
      </c>
      <c r="B865" s="852" t="str">
        <f t="shared" ca="1" si="138"/>
        <v>J225</v>
      </c>
      <c r="C865" s="852" t="str">
        <f t="shared" ca="1" si="139"/>
        <v>J226</v>
      </c>
      <c r="D865" s="852" t="s">
        <v>1350</v>
      </c>
      <c r="E865" s="852" t="s">
        <v>1517</v>
      </c>
      <c r="F865" s="1351" t="s">
        <v>1993</v>
      </c>
      <c r="G865" s="1351" t="str">
        <f>IF(T865&lt;&gt;"","I","")</f>
        <v/>
      </c>
      <c r="H865" s="1351" t="s">
        <v>1991</v>
      </c>
      <c r="I865" s="1307" t="str">
        <f t="shared" si="132"/>
        <v/>
      </c>
      <c r="J865" s="1351" t="str">
        <f t="shared" si="137"/>
        <v/>
      </c>
      <c r="K865" s="1351" t="str">
        <f t="shared" si="133"/>
        <v/>
      </c>
      <c r="L865" s="852" t="s">
        <v>1381</v>
      </c>
      <c r="M865" s="1366">
        <v>848</v>
      </c>
      <c r="N865" s="1351"/>
      <c r="O865" s="1348" t="s">
        <v>1648</v>
      </c>
      <c r="P865" s="1348"/>
      <c r="Q865" s="1348"/>
      <c r="R865" s="1351" t="s">
        <v>1532</v>
      </c>
      <c r="S865" s="1348"/>
      <c r="T865" s="1351" t="str">
        <f t="shared" si="136"/>
        <v/>
      </c>
      <c r="U865" s="1348"/>
      <c r="V865" s="1348"/>
      <c r="W865" s="1348"/>
      <c r="X865" s="1348"/>
      <c r="Y865" s="1348"/>
      <c r="Z865" s="1348"/>
    </row>
    <row r="866" spans="1:26" x14ac:dyDescent="0.25">
      <c r="A866" s="876" t="s">
        <v>1397</v>
      </c>
      <c r="B866" s="852" t="str">
        <f t="shared" ca="1" si="138"/>
        <v>L225</v>
      </c>
      <c r="C866" s="852" t="str">
        <f t="shared" ca="1" si="139"/>
        <v>L226</v>
      </c>
      <c r="D866" s="852" t="s">
        <v>1350</v>
      </c>
      <c r="E866" s="852" t="s">
        <v>1517</v>
      </c>
      <c r="F866" s="1351" t="s">
        <v>1994</v>
      </c>
      <c r="G866" s="1351" t="str">
        <f>IF(T866&lt;&gt;"","H","")</f>
        <v/>
      </c>
      <c r="H866" s="1351" t="s">
        <v>1991</v>
      </c>
      <c r="I866" s="1307" t="str">
        <f t="shared" si="132"/>
        <v/>
      </c>
      <c r="J866" s="1351" t="str">
        <f t="shared" si="137"/>
        <v/>
      </c>
      <c r="K866" s="1351" t="str">
        <f t="shared" si="133"/>
        <v/>
      </c>
      <c r="L866" s="852" t="s">
        <v>1397</v>
      </c>
      <c r="M866" s="1366">
        <v>849</v>
      </c>
      <c r="N866" s="1351"/>
      <c r="O866" s="1348"/>
      <c r="P866" s="1348"/>
      <c r="Q866" s="1348"/>
      <c r="R866" s="1351" t="s">
        <v>1532</v>
      </c>
      <c r="S866" s="1348"/>
      <c r="T866" s="1351" t="str">
        <f t="shared" si="136"/>
        <v/>
      </c>
      <c r="U866" s="1348"/>
      <c r="V866" s="1348"/>
      <c r="W866" s="1348"/>
      <c r="X866" s="1348"/>
      <c r="Y866" s="1348"/>
      <c r="Z866" s="1348"/>
    </row>
    <row r="867" spans="1:26" x14ac:dyDescent="0.25">
      <c r="A867" s="876" t="s">
        <v>1382</v>
      </c>
      <c r="B867" s="852" t="str">
        <f t="shared" ca="1" si="138"/>
        <v>N225</v>
      </c>
      <c r="C867" s="852" t="str">
        <f t="shared" ca="1" si="139"/>
        <v>N226</v>
      </c>
      <c r="D867" s="852" t="s">
        <v>1350</v>
      </c>
      <c r="E867" s="852" t="s">
        <v>1517</v>
      </c>
      <c r="F867" s="1351" t="s">
        <v>1382</v>
      </c>
      <c r="G867" s="1351" t="str">
        <f>IF(T867&lt;&gt;"",IF(Q865="Credit Memo","J",IF(Q865="Check","K","")),"")</f>
        <v/>
      </c>
      <c r="H867" s="1351" t="s">
        <v>1991</v>
      </c>
      <c r="I867" s="1307" t="str">
        <f t="shared" si="132"/>
        <v/>
      </c>
      <c r="J867" s="1351" t="str">
        <f t="shared" si="137"/>
        <v/>
      </c>
      <c r="K867" s="1351" t="str">
        <f t="shared" si="133"/>
        <v/>
      </c>
      <c r="L867" s="852" t="s">
        <v>1382</v>
      </c>
      <c r="M867" s="1366">
        <v>850</v>
      </c>
      <c r="N867" s="1351"/>
      <c r="O867" s="1348"/>
      <c r="P867" s="1348"/>
      <c r="Q867" s="1348"/>
      <c r="R867" s="1351" t="s">
        <v>1532</v>
      </c>
      <c r="S867" s="1348"/>
      <c r="T867" s="1351" t="str">
        <f t="shared" si="136"/>
        <v/>
      </c>
      <c r="U867" s="1348"/>
      <c r="V867" s="1348"/>
      <c r="W867" s="1348"/>
      <c r="X867" s="1348"/>
      <c r="Y867" s="1348"/>
      <c r="Z867" s="1348"/>
    </row>
    <row r="868" spans="1:26" x14ac:dyDescent="0.25">
      <c r="A868" s="876" t="s">
        <v>1487</v>
      </c>
      <c r="B868" s="852" t="str">
        <f t="shared" ca="1" si="138"/>
        <v>P225</v>
      </c>
      <c r="C868" s="852" t="str">
        <f t="shared" ca="1" si="139"/>
        <v>P226</v>
      </c>
      <c r="D868" s="852" t="s">
        <v>1350</v>
      </c>
      <c r="E868" s="852" t="s">
        <v>1517</v>
      </c>
      <c r="F868" s="1351" t="s">
        <v>1995</v>
      </c>
      <c r="G868" s="1351" t="str">
        <f>IF(T868&lt;&gt;"","F","")</f>
        <v/>
      </c>
      <c r="H868" s="1351" t="s">
        <v>1991</v>
      </c>
      <c r="I868" s="1307" t="str">
        <f t="shared" si="132"/>
        <v/>
      </c>
      <c r="J868" s="1351" t="str">
        <f t="shared" si="137"/>
        <v/>
      </c>
      <c r="K868" s="1351" t="str">
        <f t="shared" si="133"/>
        <v/>
      </c>
      <c r="L868" s="852" t="s">
        <v>1487</v>
      </c>
      <c r="M868" s="1366">
        <v>851</v>
      </c>
      <c r="N868" s="1351"/>
      <c r="O868" s="1348"/>
      <c r="P868" s="1348"/>
      <c r="Q868" s="1348"/>
      <c r="R868" s="1351" t="s">
        <v>1532</v>
      </c>
      <c r="S868" s="1348"/>
      <c r="T868" s="1351" t="str">
        <f t="shared" si="136"/>
        <v/>
      </c>
      <c r="U868" s="1348"/>
      <c r="V868" s="1348"/>
      <c r="W868" s="1348"/>
      <c r="X868" s="1348"/>
      <c r="Y868" s="1348"/>
      <c r="Z868" s="1348"/>
    </row>
    <row r="869" spans="1:26" x14ac:dyDescent="0.25">
      <c r="A869" s="876" t="s">
        <v>1488</v>
      </c>
      <c r="B869" s="852" t="str">
        <f t="shared" ca="1" si="138"/>
        <v>R225</v>
      </c>
      <c r="C869" s="852" t="str">
        <f t="shared" ca="1" si="139"/>
        <v>R226</v>
      </c>
      <c r="D869" s="852" t="s">
        <v>1350</v>
      </c>
      <c r="E869" s="852" t="s">
        <v>1517</v>
      </c>
      <c r="F869" s="1351" t="s">
        <v>1996</v>
      </c>
      <c r="G869" s="1351" t="str">
        <f>IF(T869&lt;&gt;"","G","")</f>
        <v/>
      </c>
      <c r="H869" s="1351" t="s">
        <v>1991</v>
      </c>
      <c r="I869" s="1307" t="str">
        <f t="shared" si="132"/>
        <v/>
      </c>
      <c r="J869" s="1351" t="str">
        <f t="shared" si="137"/>
        <v/>
      </c>
      <c r="K869" s="1351" t="str">
        <f t="shared" si="133"/>
        <v/>
      </c>
      <c r="L869" s="852" t="s">
        <v>1488</v>
      </c>
      <c r="M869" s="1366">
        <v>852</v>
      </c>
      <c r="N869" s="1351"/>
      <c r="O869" s="1348"/>
      <c r="P869" s="1348"/>
      <c r="Q869" s="1348"/>
      <c r="R869" s="1351" t="s">
        <v>1532</v>
      </c>
      <c r="S869" s="1348"/>
      <c r="T869" s="1351" t="str">
        <f t="shared" si="136"/>
        <v/>
      </c>
      <c r="U869" s="1348"/>
      <c r="V869" s="1348"/>
      <c r="W869" s="1348"/>
      <c r="X869" s="1348"/>
      <c r="Y869" s="1348"/>
      <c r="Z869" s="1348"/>
    </row>
    <row r="870" spans="1:26" x14ac:dyDescent="0.25">
      <c r="A870" s="876" t="s">
        <v>1489</v>
      </c>
      <c r="B870" s="852" t="str">
        <f t="shared" ca="1" si="138"/>
        <v>T225</v>
      </c>
      <c r="C870" s="852" t="str">
        <f t="shared" ca="1" si="139"/>
        <v>T226</v>
      </c>
      <c r="D870" s="852" t="s">
        <v>1350</v>
      </c>
      <c r="E870" s="852" t="s">
        <v>1517</v>
      </c>
      <c r="F870" s="867" t="s">
        <v>1489</v>
      </c>
      <c r="G870" s="1351" t="str">
        <f>IF(T870&lt;&gt;"","AW","")</f>
        <v/>
      </c>
      <c r="H870" s="1351" t="s">
        <v>1991</v>
      </c>
      <c r="I870" s="1307" t="str">
        <f t="shared" si="132"/>
        <v/>
      </c>
      <c r="J870" s="1351" t="str">
        <f t="shared" si="137"/>
        <v/>
      </c>
      <c r="K870" s="1351" t="str">
        <f t="shared" si="133"/>
        <v/>
      </c>
      <c r="L870" s="852" t="s">
        <v>1489</v>
      </c>
      <c r="M870" s="1366">
        <v>853</v>
      </c>
      <c r="N870" s="1351"/>
      <c r="O870" s="1348"/>
      <c r="P870" s="1348"/>
      <c r="Q870" s="1348"/>
      <c r="R870" s="1351" t="s">
        <v>1532</v>
      </c>
      <c r="S870" s="1348"/>
      <c r="T870" s="1351" t="str">
        <f t="shared" si="136"/>
        <v/>
      </c>
      <c r="U870" s="1348"/>
      <c r="V870" s="1348"/>
      <c r="W870" s="1348"/>
      <c r="X870" s="1348"/>
      <c r="Y870" s="1348"/>
      <c r="Z870" s="134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51" t="s">
        <v>1385</v>
      </c>
      <c r="G871" s="1351" t="str">
        <f>IF(T871&lt;&gt;"","C","")</f>
        <v/>
      </c>
      <c r="H871" s="1351" t="s">
        <v>1991</v>
      </c>
      <c r="I871" s="1307" t="str">
        <f t="shared" si="132"/>
        <v/>
      </c>
      <c r="J871" s="1351"/>
      <c r="K871" s="1351" t="str">
        <f t="shared" si="133"/>
        <v/>
      </c>
      <c r="L871" s="852" t="s">
        <v>1385</v>
      </c>
      <c r="M871" s="1366">
        <v>854</v>
      </c>
      <c r="N871" s="1351"/>
      <c r="O871" s="1348"/>
      <c r="P871" s="1348"/>
      <c r="Q871" s="1348"/>
      <c r="R871" s="1351" t="s">
        <v>1532</v>
      </c>
      <c r="S871" s="1348"/>
      <c r="T871" s="1351" t="str">
        <f t="shared" si="136"/>
        <v/>
      </c>
      <c r="U871" s="1348"/>
      <c r="V871" s="1348"/>
      <c r="W871" s="1348"/>
      <c r="X871" s="1348"/>
      <c r="Y871" s="1348"/>
      <c r="Z871" s="134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51" t="s">
        <v>1386</v>
      </c>
      <c r="G872" s="1351" t="str">
        <f>IF(T872&lt;&gt;"","D","")</f>
        <v/>
      </c>
      <c r="H872" s="1351" t="s">
        <v>1991</v>
      </c>
      <c r="I872" s="1307" t="str">
        <f t="shared" si="132"/>
        <v/>
      </c>
      <c r="J872" s="1351"/>
      <c r="K872" s="1351" t="str">
        <f t="shared" si="133"/>
        <v/>
      </c>
      <c r="L872" s="852" t="s">
        <v>1386</v>
      </c>
      <c r="M872" s="1366">
        <v>855</v>
      </c>
      <c r="N872" s="1351"/>
      <c r="O872" s="1348"/>
      <c r="P872" s="1348"/>
      <c r="Q872" s="1348"/>
      <c r="R872" s="1351" t="s">
        <v>1532</v>
      </c>
      <c r="S872" s="1348"/>
      <c r="T872" s="1351" t="str">
        <f t="shared" si="136"/>
        <v/>
      </c>
      <c r="U872" s="1348"/>
      <c r="V872" s="1348"/>
      <c r="W872" s="1348"/>
      <c r="X872" s="1348"/>
      <c r="Y872" s="1348"/>
      <c r="Z872" s="134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51" t="s">
        <v>1496</v>
      </c>
      <c r="G873" s="1351" t="str">
        <f>IF(T873&lt;&gt;"","AN","")</f>
        <v/>
      </c>
      <c r="H873" s="1351" t="s">
        <v>1991</v>
      </c>
      <c r="I873" s="1307" t="str">
        <f t="shared" si="132"/>
        <v/>
      </c>
      <c r="J873" s="1351" t="str">
        <f t="shared" si="137"/>
        <v/>
      </c>
      <c r="K873" s="1351" t="str">
        <f t="shared" si="133"/>
        <v/>
      </c>
      <c r="L873" s="852" t="s">
        <v>1496</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1532</v>
      </c>
      <c r="S873" s="1348"/>
      <c r="T873" s="1351" t="str">
        <f t="shared" si="136"/>
        <v/>
      </c>
      <c r="U873" s="1348"/>
      <c r="V873" s="1348"/>
      <c r="W873" s="1348"/>
      <c r="X873" s="1348"/>
      <c r="Y873" s="1348"/>
      <c r="Z873" s="134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51" t="s">
        <v>1493</v>
      </c>
      <c r="G874" s="1351" t="str">
        <f>IF(T874&lt;&gt;"","AL","")</f>
        <v/>
      </c>
      <c r="H874" s="1351" t="s">
        <v>1991</v>
      </c>
      <c r="I874" s="1307" t="str">
        <f t="shared" si="132"/>
        <v/>
      </c>
      <c r="J874" s="1351" t="str">
        <f t="shared" si="137"/>
        <v/>
      </c>
      <c r="K874" s="1351" t="str">
        <f t="shared" si="133"/>
        <v/>
      </c>
      <c r="L874" s="852" t="s">
        <v>1493</v>
      </c>
      <c r="M874" s="1366">
        <v>857</v>
      </c>
      <c r="N874" s="1351"/>
      <c r="O874" s="1348"/>
      <c r="P874" s="1348"/>
      <c r="Q874" s="1348"/>
      <c r="R874" s="1351" t="s">
        <v>1532</v>
      </c>
      <c r="S874" s="1348"/>
      <c r="T874" s="1351" t="str">
        <f t="shared" si="136"/>
        <v/>
      </c>
      <c r="U874" s="1348"/>
      <c r="V874" s="1348"/>
      <c r="W874" s="1348"/>
      <c r="X874" s="1348"/>
      <c r="Y874" s="1348"/>
      <c r="Z874" s="134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51" t="s">
        <v>1997</v>
      </c>
      <c r="G875" s="1351" t="str">
        <f>IF(T875&lt;&gt;"","L","")</f>
        <v/>
      </c>
      <c r="H875" s="1351" t="s">
        <v>1991</v>
      </c>
      <c r="I875" s="1307" t="str">
        <f t="shared" si="132"/>
        <v/>
      </c>
      <c r="J875" s="1351" t="str">
        <f t="shared" si="137"/>
        <v/>
      </c>
      <c r="K875" s="1351" t="str">
        <f t="shared" si="133"/>
        <v/>
      </c>
      <c r="L875" s="852" t="s">
        <v>1507</v>
      </c>
      <c r="M875" s="1366">
        <v>858</v>
      </c>
      <c r="N875" s="1351"/>
      <c r="O875" s="1348"/>
      <c r="P875" s="1348"/>
      <c r="Q875" s="1348"/>
      <c r="R875" s="1351" t="s">
        <v>1532</v>
      </c>
      <c r="S875" s="1348"/>
      <c r="T875" s="1351" t="str">
        <f t="shared" si="136"/>
        <v/>
      </c>
      <c r="U875" s="1348"/>
      <c r="V875" s="1348"/>
      <c r="W875" s="1348"/>
      <c r="X875" s="1348"/>
      <c r="Y875" s="1348"/>
      <c r="Z875" s="134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51"/>
      <c r="H876" s="1351"/>
      <c r="I876" s="1307" t="str">
        <f t="shared" si="132"/>
        <v/>
      </c>
      <c r="J876" s="1351" t="str">
        <f t="shared" si="137"/>
        <v/>
      </c>
      <c r="K876" s="1351" t="str">
        <f t="shared" si="133"/>
        <v/>
      </c>
      <c r="L876" s="852" t="s">
        <v>1387</v>
      </c>
      <c r="M876" s="1366">
        <v>859</v>
      </c>
      <c r="N876" s="1351"/>
      <c r="O876" s="1348"/>
      <c r="P876" s="1348"/>
      <c r="Q876" s="1348"/>
      <c r="R876" s="1351" t="s">
        <v>1532</v>
      </c>
      <c r="S876" s="1348"/>
      <c r="T876" s="1351" t="str">
        <f t="shared" si="136"/>
        <v/>
      </c>
      <c r="U876" s="1348"/>
      <c r="V876" s="1348"/>
      <c r="W876" s="1348"/>
      <c r="X876" s="1348"/>
      <c r="Y876" s="1348"/>
      <c r="Z876" s="134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51"/>
      <c r="H877" s="1351"/>
      <c r="I877" s="1307" t="str">
        <f t="shared" si="132"/>
        <v/>
      </c>
      <c r="J877" s="1351"/>
      <c r="K877" s="1351" t="str">
        <f t="shared" si="133"/>
        <v/>
      </c>
      <c r="L877" s="852" t="s">
        <v>1388</v>
      </c>
      <c r="M877" s="1366">
        <v>860</v>
      </c>
      <c r="N877" s="1351"/>
      <c r="O877" s="1348"/>
      <c r="P877" s="1348"/>
      <c r="Q877" s="1348"/>
      <c r="R877" s="1351" t="s">
        <v>1532</v>
      </c>
      <c r="S877" s="1348"/>
      <c r="T877" s="1351" t="str">
        <f t="shared" si="136"/>
        <v/>
      </c>
      <c r="U877" s="1348"/>
      <c r="V877" s="1348"/>
      <c r="W877" s="1348"/>
      <c r="X877" s="1348"/>
      <c r="Y877" s="1348"/>
      <c r="Z877" s="134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0"/>
      <c r="G878" s="1351"/>
      <c r="H878" s="1351"/>
      <c r="I878" s="1307" t="str">
        <f t="shared" si="132"/>
        <v/>
      </c>
      <c r="J878" s="1351"/>
      <c r="K878" s="1351" t="str">
        <f t="shared" si="133"/>
        <v/>
      </c>
      <c r="L878" s="852" t="s">
        <v>1389</v>
      </c>
      <c r="M878" s="1366">
        <v>861</v>
      </c>
      <c r="N878" s="1351"/>
      <c r="O878" s="1348"/>
      <c r="P878" s="1348"/>
      <c r="Q878" s="1348"/>
      <c r="R878" s="1351" t="s">
        <v>1532</v>
      </c>
      <c r="S878" s="1348"/>
      <c r="T878" s="1351" t="str">
        <f t="shared" si="136"/>
        <v/>
      </c>
      <c r="U878" s="1348"/>
      <c r="V878" s="1348"/>
      <c r="W878" s="1348"/>
      <c r="X878" s="1348"/>
      <c r="Y878" s="1348"/>
      <c r="Z878" s="134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51"/>
      <c r="G879" s="1351"/>
      <c r="H879" s="1351"/>
      <c r="I879" s="1307" t="str">
        <f t="shared" si="132"/>
        <v/>
      </c>
      <c r="J879" s="1351" t="str">
        <f t="shared" si="137"/>
        <v/>
      </c>
      <c r="K879" s="1351" t="str">
        <f t="shared" si="133"/>
        <v/>
      </c>
      <c r="L879" s="852" t="s">
        <v>1387</v>
      </c>
      <c r="M879" s="1366">
        <v>862</v>
      </c>
      <c r="N879" s="1351"/>
      <c r="O879" s="1348"/>
      <c r="P879" s="1348"/>
      <c r="Q879" s="1348"/>
      <c r="R879" s="1351" t="s">
        <v>1532</v>
      </c>
      <c r="S879" s="1348"/>
      <c r="T879" s="1351" t="str">
        <f t="shared" si="136"/>
        <v/>
      </c>
      <c r="U879" s="1348"/>
      <c r="V879" s="1348"/>
      <c r="W879" s="1348"/>
      <c r="X879" s="1348"/>
      <c r="Y879" s="1348"/>
      <c r="Z879" s="134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51"/>
      <c r="G880" s="1351"/>
      <c r="H880" s="1351"/>
      <c r="I880" s="1307" t="str">
        <f t="shared" si="132"/>
        <v/>
      </c>
      <c r="J880" s="1351"/>
      <c r="K880" s="1351" t="str">
        <f t="shared" si="133"/>
        <v/>
      </c>
      <c r="L880" s="852" t="s">
        <v>1388</v>
      </c>
      <c r="M880" s="1366">
        <v>863</v>
      </c>
      <c r="N880" s="1351"/>
      <c r="O880" s="1348"/>
      <c r="P880" s="1348"/>
      <c r="Q880" s="1348"/>
      <c r="R880" s="1351" t="s">
        <v>1532</v>
      </c>
      <c r="S880" s="1348"/>
      <c r="T880" s="1351" t="str">
        <f t="shared" si="136"/>
        <v/>
      </c>
      <c r="U880" s="1348"/>
      <c r="V880" s="1348"/>
      <c r="W880" s="1348"/>
      <c r="X880" s="1348"/>
      <c r="Y880" s="1348"/>
      <c r="Z880" s="134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51"/>
      <c r="G881" s="1351"/>
      <c r="H881" s="1351"/>
      <c r="I881" s="1307" t="str">
        <f t="shared" si="132"/>
        <v/>
      </c>
      <c r="J881" s="1351"/>
      <c r="K881" s="1351" t="str">
        <f t="shared" si="133"/>
        <v/>
      </c>
      <c r="L881" s="852" t="s">
        <v>1389</v>
      </c>
      <c r="M881" s="1366">
        <v>864</v>
      </c>
      <c r="N881" s="1351"/>
      <c r="O881" s="1348"/>
      <c r="P881" s="1348"/>
      <c r="Q881" s="1348"/>
      <c r="R881" s="1351" t="s">
        <v>1532</v>
      </c>
      <c r="S881" s="1348"/>
      <c r="T881" s="1351" t="str">
        <f t="shared" si="136"/>
        <v/>
      </c>
      <c r="U881" s="1348"/>
      <c r="V881" s="1348"/>
      <c r="W881" s="1348"/>
      <c r="X881" s="1348"/>
      <c r="Y881" s="1348"/>
      <c r="Z881" s="134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51"/>
      <c r="G882" s="1351"/>
      <c r="H882" s="1351"/>
      <c r="I882" s="1307" t="str">
        <f t="shared" si="132"/>
        <v/>
      </c>
      <c r="J882" s="1351" t="str">
        <f t="shared" si="137"/>
        <v/>
      </c>
      <c r="K882" s="1351" t="str">
        <f t="shared" si="133"/>
        <v/>
      </c>
      <c r="L882" s="852" t="s">
        <v>1387</v>
      </c>
      <c r="M882" s="1366">
        <v>865</v>
      </c>
      <c r="N882" s="1351"/>
      <c r="O882" s="1348"/>
      <c r="P882" s="1348"/>
      <c r="Q882" s="1348"/>
      <c r="R882" s="1351" t="s">
        <v>1532</v>
      </c>
      <c r="S882" s="1348"/>
      <c r="T882" s="1351" t="str">
        <f t="shared" si="136"/>
        <v/>
      </c>
      <c r="U882" s="1348"/>
      <c r="V882" s="1348"/>
      <c r="W882" s="1348"/>
      <c r="X882" s="1348"/>
      <c r="Y882" s="1348"/>
      <c r="Z882" s="134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51"/>
      <c r="G883" s="1351"/>
      <c r="H883" s="1351"/>
      <c r="I883" s="1307" t="str">
        <f t="shared" si="132"/>
        <v/>
      </c>
      <c r="J883" s="1351"/>
      <c r="K883" s="1351" t="str">
        <f t="shared" si="133"/>
        <v/>
      </c>
      <c r="L883" s="852" t="s">
        <v>1388</v>
      </c>
      <c r="M883" s="1366">
        <v>866</v>
      </c>
      <c r="N883" s="1351"/>
      <c r="O883" s="1348"/>
      <c r="P883" s="1348"/>
      <c r="Q883" s="1348"/>
      <c r="R883" s="1351" t="s">
        <v>1532</v>
      </c>
      <c r="S883" s="1348"/>
      <c r="T883" s="1351" t="str">
        <f t="shared" si="136"/>
        <v/>
      </c>
      <c r="U883" s="1348"/>
      <c r="V883" s="1348"/>
      <c r="W883" s="1348"/>
      <c r="X883" s="1348"/>
      <c r="Y883" s="1348"/>
      <c r="Z883" s="134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51"/>
      <c r="G884" s="1351"/>
      <c r="H884" s="1351"/>
      <c r="I884" s="1307" t="str">
        <f t="shared" si="132"/>
        <v/>
      </c>
      <c r="J884" s="1351"/>
      <c r="K884" s="1351" t="str">
        <f t="shared" si="133"/>
        <v/>
      </c>
      <c r="L884" s="852" t="s">
        <v>1389</v>
      </c>
      <c r="M884" s="1366">
        <v>867</v>
      </c>
      <c r="N884" s="1351"/>
      <c r="O884" s="1348"/>
      <c r="P884" s="1348"/>
      <c r="Q884" s="1348"/>
      <c r="R884" s="1351" t="s">
        <v>1532</v>
      </c>
      <c r="S884" s="1348"/>
      <c r="T884" s="1351" t="str">
        <f t="shared" si="136"/>
        <v/>
      </c>
      <c r="U884" s="1348"/>
      <c r="V884" s="1348"/>
      <c r="W884" s="1348"/>
      <c r="X884" s="1348"/>
      <c r="Y884" s="1348"/>
      <c r="Z884" s="134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51"/>
      <c r="G885" s="1351"/>
      <c r="H885" s="1351"/>
      <c r="I885" s="1307" t="str">
        <f t="shared" si="132"/>
        <v/>
      </c>
      <c r="J885" s="1351" t="str">
        <f t="shared" si="137"/>
        <v/>
      </c>
      <c r="K885" s="1351" t="str">
        <f t="shared" si="133"/>
        <v/>
      </c>
      <c r="L885" s="852" t="s">
        <v>1387</v>
      </c>
      <c r="M885" s="1366">
        <v>868</v>
      </c>
      <c r="N885" s="1351"/>
      <c r="O885" s="1348"/>
      <c r="P885" s="1348"/>
      <c r="Q885" s="1348"/>
      <c r="R885" s="1351" t="s">
        <v>1532</v>
      </c>
      <c r="S885" s="1348"/>
      <c r="T885" s="1351" t="str">
        <f t="shared" si="136"/>
        <v/>
      </c>
      <c r="U885" s="1348"/>
      <c r="V885" s="1348"/>
      <c r="W885" s="1348"/>
      <c r="X885" s="1348"/>
      <c r="Y885" s="1348"/>
      <c r="Z885" s="134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51"/>
      <c r="G886" s="1351"/>
      <c r="H886" s="1351"/>
      <c r="I886" s="1307" t="str">
        <f t="shared" si="132"/>
        <v/>
      </c>
      <c r="J886" s="1351"/>
      <c r="K886" s="1351" t="str">
        <f t="shared" si="133"/>
        <v/>
      </c>
      <c r="L886" s="852" t="s">
        <v>1388</v>
      </c>
      <c r="M886" s="1366">
        <v>869</v>
      </c>
      <c r="N886" s="1351"/>
      <c r="O886" s="1348"/>
      <c r="P886" s="1348"/>
      <c r="Q886" s="1348"/>
      <c r="R886" s="1351" t="s">
        <v>1532</v>
      </c>
      <c r="S886" s="1348"/>
      <c r="T886" s="1351" t="str">
        <f t="shared" si="136"/>
        <v/>
      </c>
      <c r="U886" s="1348"/>
      <c r="V886" s="1348"/>
      <c r="W886" s="1348"/>
      <c r="X886" s="1348"/>
      <c r="Y886" s="1348"/>
      <c r="Z886" s="134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51"/>
      <c r="G887" s="1351"/>
      <c r="H887" s="1351"/>
      <c r="I887" s="1307" t="str">
        <f t="shared" si="132"/>
        <v/>
      </c>
      <c r="J887" s="1351"/>
      <c r="K887" s="1351" t="str">
        <f t="shared" si="133"/>
        <v/>
      </c>
      <c r="L887" s="852" t="s">
        <v>1389</v>
      </c>
      <c r="M887" s="1366">
        <v>870</v>
      </c>
      <c r="N887" s="1351"/>
      <c r="O887" s="1348"/>
      <c r="P887" s="1348"/>
      <c r="Q887" s="1348"/>
      <c r="R887" s="1351" t="s">
        <v>1532</v>
      </c>
      <c r="S887" s="1348"/>
      <c r="T887" s="1351" t="str">
        <f t="shared" si="136"/>
        <v/>
      </c>
      <c r="U887" s="1348"/>
      <c r="V887" s="1348"/>
      <c r="W887" s="1348"/>
      <c r="X887" s="1348"/>
      <c r="Y887" s="1348"/>
      <c r="Z887" s="134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51"/>
      <c r="G888" s="1351"/>
      <c r="H888" s="1351"/>
      <c r="I888" s="1307" t="str">
        <f t="shared" si="132"/>
        <v/>
      </c>
      <c r="J888" s="1351" t="str">
        <f t="shared" si="137"/>
        <v/>
      </c>
      <c r="K888" s="1351" t="str">
        <f t="shared" si="133"/>
        <v/>
      </c>
      <c r="L888" s="852" t="s">
        <v>1387</v>
      </c>
      <c r="M888" s="1366">
        <v>871</v>
      </c>
      <c r="N888" s="1351"/>
      <c r="O888" s="1348"/>
      <c r="P888" s="1348"/>
      <c r="Q888" s="1348"/>
      <c r="R888" s="1351" t="s">
        <v>1532</v>
      </c>
      <c r="S888" s="1348"/>
      <c r="T888" s="1351" t="str">
        <f t="shared" si="136"/>
        <v/>
      </c>
      <c r="U888" s="1348"/>
      <c r="V888" s="1348"/>
      <c r="W888" s="1348"/>
      <c r="X888" s="1348"/>
      <c r="Y888" s="1348"/>
      <c r="Z888" s="134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51"/>
      <c r="G889" s="1351"/>
      <c r="H889" s="1351"/>
      <c r="I889" s="1307" t="str">
        <f t="shared" si="132"/>
        <v/>
      </c>
      <c r="J889" s="1351"/>
      <c r="K889" s="1351" t="str">
        <f t="shared" si="133"/>
        <v/>
      </c>
      <c r="L889" s="852" t="s">
        <v>1388</v>
      </c>
      <c r="M889" s="1366">
        <v>872</v>
      </c>
      <c r="N889" s="1351"/>
      <c r="O889" s="1348"/>
      <c r="P889" s="1348"/>
      <c r="Q889" s="1348"/>
      <c r="R889" s="1351" t="s">
        <v>1532</v>
      </c>
      <c r="S889" s="1348"/>
      <c r="T889" s="1351" t="str">
        <f t="shared" si="136"/>
        <v/>
      </c>
      <c r="U889" s="1348"/>
      <c r="V889" s="1348"/>
      <c r="W889" s="1348"/>
      <c r="X889" s="1348"/>
      <c r="Y889" s="1348"/>
      <c r="Z889" s="134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51"/>
      <c r="G890" s="1351"/>
      <c r="H890" s="1351"/>
      <c r="I890" s="1307" t="str">
        <f t="shared" si="132"/>
        <v/>
      </c>
      <c r="J890" s="1351"/>
      <c r="K890" s="1351" t="str">
        <f t="shared" si="133"/>
        <v/>
      </c>
      <c r="L890" s="852" t="s">
        <v>1389</v>
      </c>
      <c r="M890" s="1366">
        <v>873</v>
      </c>
      <c r="N890" s="1351"/>
      <c r="O890" s="1348"/>
      <c r="P890" s="1348"/>
      <c r="Q890" s="1348"/>
      <c r="R890" s="1351" t="s">
        <v>1532</v>
      </c>
      <c r="S890" s="1348"/>
      <c r="T890" s="1351" t="str">
        <f t="shared" si="136"/>
        <v/>
      </c>
      <c r="U890" s="1348"/>
      <c r="V890" s="1348"/>
      <c r="W890" s="1348"/>
      <c r="X890" s="1348"/>
      <c r="Y890" s="1348"/>
      <c r="Z890" s="134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51" t="s">
        <v>1492</v>
      </c>
      <c r="G891" s="1351" t="str">
        <f>IF(T891&lt;&gt;"","A","")</f>
        <v/>
      </c>
      <c r="H891" s="1351" t="s">
        <v>1991</v>
      </c>
      <c r="I891" s="1307" t="str">
        <f t="shared" si="132"/>
        <v/>
      </c>
      <c r="J891" s="1351"/>
      <c r="K891" s="1351" t="str">
        <f t="shared" si="133"/>
        <v/>
      </c>
      <c r="L891" s="852" t="s">
        <v>1492</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51"/>
      <c r="G892" s="1351"/>
      <c r="H892" s="1351"/>
      <c r="I892" s="1307" t="str">
        <f t="shared" si="132"/>
        <v/>
      </c>
      <c r="J892" s="1351" t="str">
        <f t="shared" ref="J892:J909" si="141">IF(M892&lt;&gt;"",IF($Q$892="Yes",Q$1&amp;M892,""))</f>
        <v/>
      </c>
      <c r="K892" s="1351" t="str">
        <f t="shared" si="133"/>
        <v/>
      </c>
      <c r="L892" s="852" t="s">
        <v>1706</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51" t="s">
        <v>1383</v>
      </c>
      <c r="G893" s="1351" t="str">
        <f>IF(T893&lt;&gt;"","B","")</f>
        <v/>
      </c>
      <c r="H893" s="1351" t="s">
        <v>1991</v>
      </c>
      <c r="I893" s="1307" t="str">
        <f t="shared" si="132"/>
        <v/>
      </c>
      <c r="J893" s="1351"/>
      <c r="K893" s="1351" t="str">
        <f t="shared" si="133"/>
        <v/>
      </c>
      <c r="L893" s="852"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51" t="s">
        <v>1992</v>
      </c>
      <c r="G894" s="1351" t="str">
        <f>IF(T894&lt;&gt;"","E","")</f>
        <v/>
      </c>
      <c r="H894" s="1351" t="s">
        <v>1991</v>
      </c>
      <c r="I894" s="1307" t="str">
        <f t="shared" si="132"/>
        <v/>
      </c>
      <c r="J894" s="1351" t="str">
        <f t="shared" si="141"/>
        <v/>
      </c>
      <c r="K894" s="1351" t="str">
        <f t="shared" si="133"/>
        <v/>
      </c>
      <c r="L894" s="852"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3" t="s">
        <v>1381</v>
      </c>
      <c r="B895" s="852" t="str">
        <f t="shared" ca="1" si="143"/>
        <v>J241</v>
      </c>
      <c r="C895" s="852" t="str">
        <f t="shared" ca="1" si="144"/>
        <v>J242</v>
      </c>
      <c r="D895" s="852" t="s">
        <v>1350</v>
      </c>
      <c r="E895" s="852" t="s">
        <v>1517</v>
      </c>
      <c r="F895" s="1351" t="s">
        <v>1993</v>
      </c>
      <c r="G895" s="1351" t="str">
        <f>IF(T895&lt;&gt;"","I","")</f>
        <v/>
      </c>
      <c r="H895" s="1351" t="s">
        <v>1991</v>
      </c>
      <c r="I895" s="1307" t="str">
        <f t="shared" si="132"/>
        <v/>
      </c>
      <c r="J895" s="1351" t="str">
        <f t="shared" si="141"/>
        <v/>
      </c>
      <c r="K895" s="1351" t="str">
        <f t="shared" si="133"/>
        <v/>
      </c>
      <c r="L895" s="852" t="s">
        <v>1381</v>
      </c>
      <c r="M895" s="1366">
        <v>878</v>
      </c>
      <c r="N895" s="1351"/>
      <c r="O895" s="1348" t="s">
        <v>1649</v>
      </c>
      <c r="P895" s="1348"/>
      <c r="Q895" s="1348" t="s">
        <v>482</v>
      </c>
      <c r="R895" s="1351" t="s">
        <v>395</v>
      </c>
      <c r="S895" s="1348"/>
      <c r="T895" s="1351" t="str">
        <f t="shared" si="142"/>
        <v/>
      </c>
      <c r="U895" s="1348"/>
      <c r="V895" s="1348"/>
      <c r="W895" s="1348"/>
      <c r="X895" s="1348"/>
      <c r="Y895" s="1348"/>
      <c r="Z895" s="1348"/>
    </row>
    <row r="896" spans="1:26" x14ac:dyDescent="0.25">
      <c r="A896" s="873" t="s">
        <v>1397</v>
      </c>
      <c r="B896" s="852" t="str">
        <f t="shared" ca="1" si="143"/>
        <v>L241</v>
      </c>
      <c r="C896" s="852" t="str">
        <f t="shared" ca="1" si="144"/>
        <v>L242</v>
      </c>
      <c r="D896" s="852" t="s">
        <v>1350</v>
      </c>
      <c r="E896" s="852" t="s">
        <v>1517</v>
      </c>
      <c r="F896" s="1351" t="s">
        <v>1994</v>
      </c>
      <c r="G896" s="1351" t="str">
        <f>IF(T896&lt;&gt;"","H","")</f>
        <v/>
      </c>
      <c r="H896" s="1351" t="s">
        <v>1991</v>
      </c>
      <c r="I896" s="1307" t="str">
        <f t="shared" si="132"/>
        <v/>
      </c>
      <c r="J896" s="1351" t="str">
        <f t="shared" si="141"/>
        <v/>
      </c>
      <c r="K896" s="1351" t="str">
        <f t="shared" si="133"/>
        <v/>
      </c>
      <c r="L896" s="852"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3" t="s">
        <v>1382</v>
      </c>
      <c r="B897" s="852" t="str">
        <f t="shared" ca="1" si="143"/>
        <v>N241</v>
      </c>
      <c r="C897" s="852" t="str">
        <f t="shared" ca="1" si="144"/>
        <v>N242</v>
      </c>
      <c r="D897" s="852" t="s">
        <v>1350</v>
      </c>
      <c r="E897" s="852" t="s">
        <v>1517</v>
      </c>
      <c r="F897" s="1351" t="s">
        <v>1382</v>
      </c>
      <c r="G897" s="1351" t="str">
        <f>IF(T897&lt;&gt;"",IF(Q895="Credit Memo","J",IF(Q895="Check","K","")),"")</f>
        <v/>
      </c>
      <c r="H897" s="1351" t="s">
        <v>1991</v>
      </c>
      <c r="I897" s="1307" t="str">
        <f t="shared" si="132"/>
        <v/>
      </c>
      <c r="J897" s="1351" t="str">
        <f t="shared" si="141"/>
        <v/>
      </c>
      <c r="K897" s="1351" t="str">
        <f t="shared" si="133"/>
        <v/>
      </c>
      <c r="L897" s="852"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3" t="s">
        <v>1487</v>
      </c>
      <c r="B898" s="852" t="str">
        <f t="shared" ca="1" si="143"/>
        <v>P241</v>
      </c>
      <c r="C898" s="852" t="str">
        <f t="shared" ca="1" si="144"/>
        <v>P242</v>
      </c>
      <c r="D898" s="852" t="s">
        <v>1350</v>
      </c>
      <c r="E898" s="852" t="s">
        <v>1517</v>
      </c>
      <c r="F898" s="1351" t="s">
        <v>1995</v>
      </c>
      <c r="G898" s="1351" t="str">
        <f>IF(T898&lt;&gt;"","F","")</f>
        <v/>
      </c>
      <c r="H898" s="1351" t="s">
        <v>1991</v>
      </c>
      <c r="I898" s="1307" t="str">
        <f t="shared" si="132"/>
        <v/>
      </c>
      <c r="J898" s="1351" t="str">
        <f t="shared" si="141"/>
        <v/>
      </c>
      <c r="K898" s="1351" t="str">
        <f t="shared" si="133"/>
        <v/>
      </c>
      <c r="L898" s="852" t="s">
        <v>1487</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3" t="s">
        <v>1488</v>
      </c>
      <c r="B899" s="852" t="str">
        <f t="shared" ca="1" si="143"/>
        <v>R241</v>
      </c>
      <c r="C899" s="852" t="str">
        <f t="shared" ca="1" si="144"/>
        <v>R242</v>
      </c>
      <c r="D899" s="852" t="s">
        <v>1350</v>
      </c>
      <c r="E899" s="852" t="s">
        <v>1517</v>
      </c>
      <c r="F899" s="1351" t="s">
        <v>1996</v>
      </c>
      <c r="G899" s="1351" t="str">
        <f>IF(T899&lt;&gt;"","G","")</f>
        <v/>
      </c>
      <c r="H899" s="1351" t="s">
        <v>1991</v>
      </c>
      <c r="I899" s="1307" t="str">
        <f t="shared" si="132"/>
        <v/>
      </c>
      <c r="J899" s="1351" t="str">
        <f t="shared" si="141"/>
        <v/>
      </c>
      <c r="K899" s="1351" t="str">
        <f t="shared" si="133"/>
        <v/>
      </c>
      <c r="L899" s="852" t="s">
        <v>1488</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3" t="s">
        <v>1489</v>
      </c>
      <c r="B900" s="852" t="str">
        <f t="shared" ca="1" si="143"/>
        <v>T241</v>
      </c>
      <c r="C900" s="852" t="str">
        <f t="shared" ca="1" si="144"/>
        <v>T242</v>
      </c>
      <c r="D900" s="852" t="s">
        <v>1350</v>
      </c>
      <c r="E900" s="852" t="s">
        <v>1517</v>
      </c>
      <c r="F900" s="867" t="s">
        <v>1489</v>
      </c>
      <c r="G900" s="1351" t="str">
        <f>IF(T900&lt;&gt;"","AW","")</f>
        <v/>
      </c>
      <c r="H900" s="1351" t="s">
        <v>1991</v>
      </c>
      <c r="I900" s="1307" t="str">
        <f t="shared" ref="I900:I963" si="145">IF(J900&lt;&gt;"",A900,"")</f>
        <v/>
      </c>
      <c r="J900" s="1351" t="str">
        <f t="shared" si="141"/>
        <v/>
      </c>
      <c r="K900" s="1351" t="str">
        <f t="shared" ref="K900:K963" si="146">IF(J900&lt;&gt;"",E900,"")</f>
        <v/>
      </c>
      <c r="L900" s="852" t="s">
        <v>1489</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51" t="s">
        <v>1385</v>
      </c>
      <c r="G901" s="1351" t="str">
        <f>IF(T901&lt;&gt;"","C","")</f>
        <v/>
      </c>
      <c r="H901" s="1351" t="s">
        <v>1991</v>
      </c>
      <c r="I901" s="1307" t="str">
        <f t="shared" si="145"/>
        <v/>
      </c>
      <c r="J901" s="1351"/>
      <c r="K901" s="1351" t="str">
        <f t="shared" si="146"/>
        <v/>
      </c>
      <c r="L901" s="852"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51" t="s">
        <v>1386</v>
      </c>
      <c r="G902" s="1351" t="str">
        <f>IF(T902&lt;&gt;"","D","")</f>
        <v/>
      </c>
      <c r="H902" s="1351" t="s">
        <v>1991</v>
      </c>
      <c r="I902" s="1307" t="str">
        <f t="shared" si="145"/>
        <v/>
      </c>
      <c r="J902" s="1351"/>
      <c r="K902" s="1351" t="str">
        <f t="shared" si="146"/>
        <v/>
      </c>
      <c r="L902" s="852"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51" t="s">
        <v>1496</v>
      </c>
      <c r="G903" s="1351" t="str">
        <f>IF(T903&lt;&gt;"","AN","")</f>
        <v/>
      </c>
      <c r="H903" s="1351" t="s">
        <v>1991</v>
      </c>
      <c r="I903" s="1307" t="str">
        <f t="shared" si="145"/>
        <v/>
      </c>
      <c r="J903" s="1351" t="str">
        <f t="shared" si="141"/>
        <v/>
      </c>
      <c r="K903" s="1351" t="str">
        <f t="shared" si="146"/>
        <v/>
      </c>
      <c r="L903" s="853" t="s">
        <v>1496</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51" t="s">
        <v>1493</v>
      </c>
      <c r="G904" s="1351" t="str">
        <f>IF(T904&lt;&gt;"","AL","")</f>
        <v/>
      </c>
      <c r="H904" s="1351" t="s">
        <v>1991</v>
      </c>
      <c r="I904" s="1307" t="str">
        <f t="shared" si="145"/>
        <v/>
      </c>
      <c r="J904" s="1351" t="str">
        <f t="shared" si="141"/>
        <v/>
      </c>
      <c r="K904" s="1351" t="str">
        <f t="shared" si="146"/>
        <v/>
      </c>
      <c r="L904" s="852" t="s">
        <v>1493</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51" t="s">
        <v>1997</v>
      </c>
      <c r="G905" s="1351" t="str">
        <f>IF(T905&lt;&gt;"","L","")</f>
        <v/>
      </c>
      <c r="H905" s="1351" t="s">
        <v>1991</v>
      </c>
      <c r="I905" s="1307" t="str">
        <f t="shared" si="145"/>
        <v/>
      </c>
      <c r="J905" s="1351" t="str">
        <f t="shared" si="141"/>
        <v/>
      </c>
      <c r="K905" s="1351" t="str">
        <f t="shared" si="146"/>
        <v/>
      </c>
      <c r="L905" s="852" t="s">
        <v>1507</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51" t="str">
        <f>IF(T906&lt;&gt;"","AH","")</f>
        <v/>
      </c>
      <c r="H906" s="1351" t="s">
        <v>1991</v>
      </c>
      <c r="I906" s="1307" t="str">
        <f t="shared" si="145"/>
        <v/>
      </c>
      <c r="J906" s="1351" t="str">
        <f t="shared" si="141"/>
        <v/>
      </c>
      <c r="K906" s="1351" t="str">
        <f t="shared" si="146"/>
        <v/>
      </c>
      <c r="L906" s="852"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51"/>
      <c r="H907" s="1351"/>
      <c r="I907" s="1307" t="str">
        <f t="shared" si="145"/>
        <v/>
      </c>
      <c r="J907" s="1351"/>
      <c r="K907" s="1351" t="str">
        <f t="shared" si="146"/>
        <v/>
      </c>
      <c r="L907" s="852"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51" t="s">
        <v>1913</v>
      </c>
      <c r="G908" s="1351" t="str">
        <f>IF(T908&lt;&gt;"","AI","")</f>
        <v/>
      </c>
      <c r="H908" s="1351" t="s">
        <v>1991</v>
      </c>
      <c r="I908" s="1307" t="str">
        <f t="shared" si="145"/>
        <v/>
      </c>
      <c r="J908" s="1351"/>
      <c r="K908" s="1351" t="str">
        <f t="shared" si="146"/>
        <v/>
      </c>
      <c r="L908" s="852"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51" t="s">
        <v>1509</v>
      </c>
      <c r="G909" s="1351" t="str">
        <f>IF(T909&lt;&gt;"","P","")</f>
        <v/>
      </c>
      <c r="H909" s="1351" t="s">
        <v>1991</v>
      </c>
      <c r="I909" s="1307" t="str">
        <f t="shared" si="145"/>
        <v/>
      </c>
      <c r="J909" s="1351" t="str">
        <f t="shared" si="141"/>
        <v/>
      </c>
      <c r="K909" s="1351" t="str">
        <f t="shared" si="146"/>
        <v/>
      </c>
      <c r="L909" s="852" t="s">
        <v>1509</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51" t="s">
        <v>1492</v>
      </c>
      <c r="G910" s="1351" t="str">
        <f>IF(T910&lt;&gt;"","A","")</f>
        <v/>
      </c>
      <c r="H910" s="1351" t="s">
        <v>1991</v>
      </c>
      <c r="I910" s="1307" t="str">
        <f t="shared" si="145"/>
        <v/>
      </c>
      <c r="J910" s="1351"/>
      <c r="K910" s="1351" t="str">
        <f t="shared" si="146"/>
        <v/>
      </c>
      <c r="L910" s="852" t="s">
        <v>1492</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51"/>
      <c r="G911" s="1351"/>
      <c r="H911" s="1351"/>
      <c r="I911" s="1307" t="str">
        <f t="shared" si="145"/>
        <v/>
      </c>
      <c r="J911" s="1351" t="str">
        <f>IF(M911&lt;&gt;"",IF($Q$911="Yes",Q$1&amp;M911,""))</f>
        <v/>
      </c>
      <c r="K911" s="1351" t="str">
        <f t="shared" si="146"/>
        <v/>
      </c>
      <c r="L911" s="852" t="s">
        <v>1706</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51" t="s">
        <v>1383</v>
      </c>
      <c r="G912" s="1351" t="str">
        <f>IF(T912&lt;&gt;"","B","")</f>
        <v/>
      </c>
      <c r="H912" s="1351" t="s">
        <v>1991</v>
      </c>
      <c r="I912" s="1307" t="str">
        <f t="shared" si="145"/>
        <v/>
      </c>
      <c r="J912" s="1351"/>
      <c r="K912" s="1351" t="str">
        <f t="shared" si="146"/>
        <v/>
      </c>
      <c r="L912" s="852"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51" t="s">
        <v>1992</v>
      </c>
      <c r="G913" s="1351" t="str">
        <f>IF(T913&lt;&gt;"","E","")</f>
        <v/>
      </c>
      <c r="H913" s="1351" t="s">
        <v>1991</v>
      </c>
      <c r="I913" s="1307" t="str">
        <f t="shared" si="145"/>
        <v/>
      </c>
      <c r="J913" s="1351" t="str">
        <f t="shared" ref="J913:J919" si="150">IF(M913&lt;&gt;"",IF($Q$911="Yes",Q$1&amp;M913,""))</f>
        <v/>
      </c>
      <c r="K913" s="1351" t="str">
        <f t="shared" si="146"/>
        <v/>
      </c>
      <c r="L913" s="852"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2" t="str">
        <f t="shared" ca="1" si="148"/>
        <v>J255</v>
      </c>
      <c r="C914" s="852" t="str">
        <f t="shared" ca="1" si="149"/>
        <v>J256</v>
      </c>
      <c r="D914" s="852" t="s">
        <v>1350</v>
      </c>
      <c r="E914" s="852" t="s">
        <v>1517</v>
      </c>
      <c r="F914" s="1351" t="s">
        <v>1993</v>
      </c>
      <c r="G914" s="1351" t="str">
        <f>IF(T914&lt;&gt;"","I","")</f>
        <v/>
      </c>
      <c r="H914" s="1351" t="s">
        <v>1991</v>
      </c>
      <c r="I914" s="1307" t="str">
        <f t="shared" si="145"/>
        <v/>
      </c>
      <c r="J914" s="1351" t="str">
        <f t="shared" si="150"/>
        <v/>
      </c>
      <c r="K914" s="1351" t="str">
        <f t="shared" si="146"/>
        <v/>
      </c>
      <c r="L914" s="852" t="s">
        <v>1381</v>
      </c>
      <c r="M914" s="1366">
        <v>897</v>
      </c>
      <c r="N914" s="1351"/>
      <c r="O914" s="1348" t="s">
        <v>1707</v>
      </c>
      <c r="P914" s="1348"/>
      <c r="Q914" s="1348"/>
      <c r="R914" s="1351" t="s">
        <v>395</v>
      </c>
      <c r="S914" s="1348"/>
      <c r="T914" s="1351" t="str">
        <f t="shared" si="147"/>
        <v/>
      </c>
      <c r="U914" s="1348"/>
      <c r="V914" s="1348"/>
      <c r="W914" s="1348"/>
      <c r="X914" s="1348"/>
      <c r="Y914" s="1348"/>
      <c r="Z914" s="1348"/>
    </row>
    <row r="915" spans="1:26" x14ac:dyDescent="0.25">
      <c r="A915" s="1020" t="s">
        <v>1397</v>
      </c>
      <c r="B915" s="852" t="str">
        <f t="shared" ca="1" si="148"/>
        <v>L255</v>
      </c>
      <c r="C915" s="852" t="str">
        <f t="shared" ca="1" si="149"/>
        <v>L256</v>
      </c>
      <c r="D915" s="852" t="s">
        <v>1350</v>
      </c>
      <c r="E915" s="852" t="s">
        <v>1517</v>
      </c>
      <c r="F915" s="1351" t="s">
        <v>1994</v>
      </c>
      <c r="G915" s="1351" t="str">
        <f>IF(T915&lt;&gt;"","H","")</f>
        <v/>
      </c>
      <c r="H915" s="1351" t="s">
        <v>1991</v>
      </c>
      <c r="I915" s="1307" t="str">
        <f t="shared" si="145"/>
        <v/>
      </c>
      <c r="J915" s="1351" t="str">
        <f t="shared" si="150"/>
        <v/>
      </c>
      <c r="K915" s="1351" t="str">
        <f t="shared" si="146"/>
        <v/>
      </c>
      <c r="L915" s="852"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2" t="str">
        <f t="shared" ca="1" si="148"/>
        <v>N255</v>
      </c>
      <c r="C916" s="852" t="str">
        <f t="shared" ca="1" si="149"/>
        <v>N256</v>
      </c>
      <c r="D916" s="852" t="s">
        <v>1350</v>
      </c>
      <c r="E916" s="852" t="s">
        <v>1517</v>
      </c>
      <c r="F916" s="1351" t="s">
        <v>1382</v>
      </c>
      <c r="G916" s="1351" t="str">
        <f>IF(T916&lt;&gt;"",IF(Q914="Credit Memo","J",IF(Q914="Check","K","")),"")</f>
        <v/>
      </c>
      <c r="H916" s="1351" t="s">
        <v>1991</v>
      </c>
      <c r="I916" s="1307" t="str">
        <f t="shared" si="145"/>
        <v/>
      </c>
      <c r="J916" s="1351" t="str">
        <f t="shared" si="150"/>
        <v/>
      </c>
      <c r="K916" s="1351" t="str">
        <f t="shared" si="146"/>
        <v/>
      </c>
      <c r="L916" s="852"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1487</v>
      </c>
      <c r="B917" s="852" t="str">
        <f t="shared" ca="1" si="148"/>
        <v>P255</v>
      </c>
      <c r="C917" s="852" t="str">
        <f t="shared" ca="1" si="149"/>
        <v>P256</v>
      </c>
      <c r="D917" s="852" t="s">
        <v>1350</v>
      </c>
      <c r="E917" s="852" t="s">
        <v>1517</v>
      </c>
      <c r="F917" s="1351" t="s">
        <v>1995</v>
      </c>
      <c r="G917" s="1351" t="str">
        <f>IF(T917&lt;&gt;"","F","")</f>
        <v/>
      </c>
      <c r="H917" s="1351" t="s">
        <v>1991</v>
      </c>
      <c r="I917" s="1307" t="str">
        <f t="shared" si="145"/>
        <v/>
      </c>
      <c r="J917" s="1351" t="str">
        <f t="shared" si="150"/>
        <v/>
      </c>
      <c r="K917" s="1351" t="str">
        <f t="shared" si="146"/>
        <v/>
      </c>
      <c r="L917" s="852" t="s">
        <v>1487</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1488</v>
      </c>
      <c r="B918" s="852" t="str">
        <f t="shared" ca="1" si="148"/>
        <v>R255</v>
      </c>
      <c r="C918" s="852" t="str">
        <f t="shared" ca="1" si="149"/>
        <v>R256</v>
      </c>
      <c r="D918" s="852" t="s">
        <v>1350</v>
      </c>
      <c r="E918" s="852" t="s">
        <v>1517</v>
      </c>
      <c r="F918" s="1351" t="s">
        <v>1996</v>
      </c>
      <c r="G918" s="1351" t="str">
        <f>IF(T918&lt;&gt;"","G","")</f>
        <v/>
      </c>
      <c r="H918" s="1351" t="s">
        <v>1991</v>
      </c>
      <c r="I918" s="1307" t="str">
        <f t="shared" si="145"/>
        <v/>
      </c>
      <c r="J918" s="1351" t="str">
        <f t="shared" si="150"/>
        <v/>
      </c>
      <c r="K918" s="1351" t="str">
        <f t="shared" si="146"/>
        <v/>
      </c>
      <c r="L918" s="852" t="s">
        <v>1488</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1489</v>
      </c>
      <c r="B919" s="852" t="str">
        <f t="shared" ca="1" si="148"/>
        <v>T255</v>
      </c>
      <c r="C919" s="852" t="str">
        <f t="shared" ca="1" si="149"/>
        <v>T256</v>
      </c>
      <c r="D919" s="852" t="s">
        <v>1350</v>
      </c>
      <c r="E919" s="852" t="s">
        <v>1517</v>
      </c>
      <c r="F919" s="867" t="s">
        <v>1489</v>
      </c>
      <c r="G919" s="1351" t="str">
        <f>IF(T919&lt;&gt;"","AW","")</f>
        <v/>
      </c>
      <c r="H919" s="1351" t="s">
        <v>1991</v>
      </c>
      <c r="I919" s="1307" t="str">
        <f t="shared" si="145"/>
        <v/>
      </c>
      <c r="J919" s="1351" t="str">
        <f t="shared" si="150"/>
        <v/>
      </c>
      <c r="K919" s="1351" t="str">
        <f t="shared" si="146"/>
        <v/>
      </c>
      <c r="L919" s="852" t="s">
        <v>1489</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51" t="s">
        <v>1385</v>
      </c>
      <c r="G920" s="1351" t="str">
        <f>IF(T920&lt;&gt;"","C","")</f>
        <v/>
      </c>
      <c r="H920" s="1351" t="s">
        <v>1991</v>
      </c>
      <c r="I920" s="1307" t="str">
        <f t="shared" si="145"/>
        <v/>
      </c>
      <c r="J920" s="1351"/>
      <c r="K920" s="1351" t="str">
        <f t="shared" si="146"/>
        <v/>
      </c>
      <c r="L920" s="852"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51" t="s">
        <v>1386</v>
      </c>
      <c r="G921" s="1351" t="str">
        <f>IF(T921&lt;&gt;"","D","")</f>
        <v/>
      </c>
      <c r="H921" s="1351" t="s">
        <v>1991</v>
      </c>
      <c r="I921" s="1307" t="str">
        <f t="shared" si="145"/>
        <v/>
      </c>
      <c r="J921" s="1351"/>
      <c r="K921" s="1351" t="str">
        <f t="shared" si="146"/>
        <v/>
      </c>
      <c r="L921" s="852"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51" t="s">
        <v>1496</v>
      </c>
      <c r="G922" s="1351" t="str">
        <f>IF(T922&lt;&gt;"","AN","")</f>
        <v/>
      </c>
      <c r="H922" s="1351" t="s">
        <v>1991</v>
      </c>
      <c r="I922" s="1307" t="str">
        <f t="shared" si="145"/>
        <v/>
      </c>
      <c r="J922" s="1351" t="str">
        <f>IF(M922&lt;&gt;"",IF($Q$911="Yes",Q$1&amp;M922,""))</f>
        <v/>
      </c>
      <c r="K922" s="1351" t="str">
        <f t="shared" si="146"/>
        <v/>
      </c>
      <c r="L922" s="853" t="s">
        <v>1496</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51" t="s">
        <v>1493</v>
      </c>
      <c r="G923" s="1351" t="str">
        <f>IF(T923&lt;&gt;"","AL","")</f>
        <v/>
      </c>
      <c r="H923" s="1351" t="s">
        <v>1991</v>
      </c>
      <c r="I923" s="1307" t="str">
        <f t="shared" si="145"/>
        <v/>
      </c>
      <c r="J923" s="1351" t="str">
        <f>IF(M923&lt;&gt;"",IF($Q$911="Yes",Q$1&amp;M923,""))</f>
        <v/>
      </c>
      <c r="K923" s="1351" t="str">
        <f t="shared" si="146"/>
        <v/>
      </c>
      <c r="L923" s="852" t="s">
        <v>1493</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51" t="s">
        <v>1997</v>
      </c>
      <c r="G924" s="1351" t="str">
        <f>IF(T924&lt;&gt;"","L","")</f>
        <v/>
      </c>
      <c r="H924" s="1351" t="s">
        <v>1991</v>
      </c>
      <c r="I924" s="1307" t="str">
        <f t="shared" si="145"/>
        <v/>
      </c>
      <c r="J924" s="1351" t="str">
        <f>IF(M924&lt;&gt;"",IF($Q$911="Yes",Q$1&amp;M924,""))</f>
        <v/>
      </c>
      <c r="K924" s="1351" t="str">
        <f t="shared" si="146"/>
        <v/>
      </c>
      <c r="L924" s="852" t="s">
        <v>1507</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51" t="str">
        <f>IF(T925&lt;&gt;"","AH","")</f>
        <v/>
      </c>
      <c r="H925" s="1351" t="s">
        <v>1991</v>
      </c>
      <c r="I925" s="1307" t="str">
        <f t="shared" si="145"/>
        <v/>
      </c>
      <c r="J925" s="1351" t="str">
        <f>IF(M925&lt;&gt;"",IF($Q$911="Yes",Q$1&amp;M925,""))</f>
        <v/>
      </c>
      <c r="K925" s="1351" t="str">
        <f t="shared" si="146"/>
        <v/>
      </c>
      <c r="L925" s="852"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51"/>
      <c r="H926" s="1351"/>
      <c r="I926" s="1307" t="str">
        <f t="shared" si="145"/>
        <v/>
      </c>
      <c r="J926" s="1351"/>
      <c r="K926" s="1351" t="str">
        <f t="shared" si="146"/>
        <v/>
      </c>
      <c r="L926" s="852"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51" t="s">
        <v>1913</v>
      </c>
      <c r="G927" s="1351" t="str">
        <f>IF(T927&lt;&gt;"","AI","")</f>
        <v/>
      </c>
      <c r="H927" s="1351" t="s">
        <v>1991</v>
      </c>
      <c r="I927" s="1307" t="str">
        <f t="shared" si="145"/>
        <v/>
      </c>
      <c r="J927" s="1351"/>
      <c r="K927" s="1351" t="str">
        <f t="shared" si="146"/>
        <v/>
      </c>
      <c r="L927" s="852"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51" t="s">
        <v>1509</v>
      </c>
      <c r="G928" s="1351" t="str">
        <f>IF(T928&lt;&gt;"","P","")</f>
        <v/>
      </c>
      <c r="H928" s="1351" t="s">
        <v>1991</v>
      </c>
      <c r="I928" s="1307" t="str">
        <f t="shared" si="145"/>
        <v/>
      </c>
      <c r="J928" s="1351" t="str">
        <f>IF(M928&lt;&gt;"",IF($Q$911="Yes",Q$1&amp;M928,""))</f>
        <v/>
      </c>
      <c r="K928" s="1351" t="str">
        <f t="shared" si="146"/>
        <v/>
      </c>
      <c r="L928" s="852" t="s">
        <v>1509</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51" t="s">
        <v>1492</v>
      </c>
      <c r="G929" s="1351" t="str">
        <f>IF(T929&lt;&gt;"","A","")</f>
        <v/>
      </c>
      <c r="H929" s="1351" t="s">
        <v>1991</v>
      </c>
      <c r="I929" s="1307" t="str">
        <f t="shared" si="145"/>
        <v/>
      </c>
      <c r="J929" s="1351"/>
      <c r="K929" s="1351" t="str">
        <f t="shared" si="146"/>
        <v/>
      </c>
      <c r="L929" s="852" t="s">
        <v>1492</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51"/>
      <c r="G930" s="1351"/>
      <c r="H930" s="1351"/>
      <c r="I930" s="1307" t="str">
        <f t="shared" si="145"/>
        <v/>
      </c>
      <c r="J930" s="1351" t="str">
        <f t="shared" ref="J930:J947" si="152">IF(M930&lt;&gt;"",IF($Q$930="Yes",Q$1&amp;M930,""))</f>
        <v/>
      </c>
      <c r="K930" s="1351" t="str">
        <f t="shared" si="146"/>
        <v/>
      </c>
      <c r="L930" s="852" t="s">
        <v>1706</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51" t="s">
        <v>1383</v>
      </c>
      <c r="G931" s="1351" t="str">
        <f>IF(T931&lt;&gt;"","B","")</f>
        <v/>
      </c>
      <c r="H931" s="1351" t="s">
        <v>1991</v>
      </c>
      <c r="I931" s="1307" t="str">
        <f t="shared" si="145"/>
        <v/>
      </c>
      <c r="J931" s="1351"/>
      <c r="K931" s="1351" t="str">
        <f t="shared" si="146"/>
        <v/>
      </c>
      <c r="L931" s="852"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51" t="s">
        <v>1992</v>
      </c>
      <c r="G932" s="1351" t="str">
        <f>IF(T932&lt;&gt;"","E","")</f>
        <v/>
      </c>
      <c r="H932" s="1351" t="s">
        <v>1991</v>
      </c>
      <c r="I932" s="1307" t="str">
        <f t="shared" si="145"/>
        <v/>
      </c>
      <c r="J932" s="1351" t="str">
        <f t="shared" si="152"/>
        <v/>
      </c>
      <c r="K932" s="1351" t="str">
        <f t="shared" si="146"/>
        <v/>
      </c>
      <c r="L932" s="852"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2" t="str">
        <f t="shared" ca="1" si="153"/>
        <v>J269</v>
      </c>
      <c r="C933" s="852" t="str">
        <f t="shared" ca="1" si="154"/>
        <v>J270</v>
      </c>
      <c r="D933" s="852" t="s">
        <v>1350</v>
      </c>
      <c r="E933" s="852" t="s">
        <v>1517</v>
      </c>
      <c r="F933" s="1351" t="s">
        <v>1993</v>
      </c>
      <c r="G933" s="1351" t="str">
        <f>IF(T933&lt;&gt;"","I","")</f>
        <v/>
      </c>
      <c r="H933" s="1351" t="s">
        <v>1991</v>
      </c>
      <c r="I933" s="1307" t="str">
        <f t="shared" si="145"/>
        <v/>
      </c>
      <c r="J933" s="1351" t="str">
        <f t="shared" si="152"/>
        <v/>
      </c>
      <c r="K933" s="1351" t="str">
        <f t="shared" si="146"/>
        <v/>
      </c>
      <c r="L933" s="852" t="s">
        <v>1381</v>
      </c>
      <c r="M933" s="1366">
        <v>916</v>
      </c>
      <c r="N933" s="1351"/>
      <c r="O933" s="1348" t="s">
        <v>1708</v>
      </c>
      <c r="P933" s="1348"/>
      <c r="Q933" s="1348"/>
      <c r="R933" s="1351" t="s">
        <v>395</v>
      </c>
      <c r="S933" s="1348"/>
      <c r="T933" s="1351" t="str">
        <f t="shared" si="151"/>
        <v/>
      </c>
      <c r="U933" s="1348"/>
      <c r="V933" s="1348"/>
      <c r="W933" s="1348"/>
      <c r="X933" s="1348"/>
      <c r="Y933" s="1348"/>
      <c r="Z933" s="1348"/>
    </row>
    <row r="934" spans="1:26" x14ac:dyDescent="0.25">
      <c r="A934" s="1039" t="s">
        <v>1397</v>
      </c>
      <c r="B934" s="852" t="str">
        <f t="shared" ca="1" si="153"/>
        <v>L269</v>
      </c>
      <c r="C934" s="852" t="str">
        <f t="shared" ca="1" si="154"/>
        <v>L270</v>
      </c>
      <c r="D934" s="852" t="s">
        <v>1350</v>
      </c>
      <c r="E934" s="852" t="s">
        <v>1517</v>
      </c>
      <c r="F934" s="1351" t="s">
        <v>1994</v>
      </c>
      <c r="G934" s="1351" t="str">
        <f>IF(T934&lt;&gt;"","H","")</f>
        <v/>
      </c>
      <c r="H934" s="1351" t="s">
        <v>1991</v>
      </c>
      <c r="I934" s="1307" t="str">
        <f t="shared" si="145"/>
        <v/>
      </c>
      <c r="J934" s="1351" t="str">
        <f t="shared" si="152"/>
        <v/>
      </c>
      <c r="K934" s="1351" t="str">
        <f t="shared" si="146"/>
        <v/>
      </c>
      <c r="L934" s="852"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2" t="str">
        <f t="shared" ca="1" si="153"/>
        <v>N269</v>
      </c>
      <c r="C935" s="852" t="str">
        <f t="shared" ca="1" si="154"/>
        <v>N270</v>
      </c>
      <c r="D935" s="852" t="s">
        <v>1350</v>
      </c>
      <c r="E935" s="852" t="s">
        <v>1517</v>
      </c>
      <c r="F935" s="1351" t="s">
        <v>1382</v>
      </c>
      <c r="G935" s="1351" t="str">
        <f>IF(T935&lt;&gt;"",IF(Q933="Credit Memo","J",IF(Q933="Check","K","")),"")</f>
        <v/>
      </c>
      <c r="H935" s="1351" t="s">
        <v>1991</v>
      </c>
      <c r="I935" s="1307" t="str">
        <f t="shared" si="145"/>
        <v/>
      </c>
      <c r="J935" s="1351" t="str">
        <f t="shared" si="152"/>
        <v/>
      </c>
      <c r="K935" s="1351" t="str">
        <f t="shared" si="146"/>
        <v/>
      </c>
      <c r="L935" s="852"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1487</v>
      </c>
      <c r="B936" s="852" t="str">
        <f t="shared" ca="1" si="153"/>
        <v>P269</v>
      </c>
      <c r="C936" s="852" t="str">
        <f t="shared" ca="1" si="154"/>
        <v>P270</v>
      </c>
      <c r="D936" s="852" t="s">
        <v>1350</v>
      </c>
      <c r="E936" s="852" t="s">
        <v>1517</v>
      </c>
      <c r="F936" s="1351" t="s">
        <v>1995</v>
      </c>
      <c r="G936" s="1351" t="str">
        <f>IF(T936&lt;&gt;"","F","")</f>
        <v/>
      </c>
      <c r="H936" s="1351" t="s">
        <v>1991</v>
      </c>
      <c r="I936" s="1307" t="str">
        <f t="shared" si="145"/>
        <v/>
      </c>
      <c r="J936" s="1351" t="str">
        <f t="shared" si="152"/>
        <v/>
      </c>
      <c r="K936" s="1351" t="str">
        <f t="shared" si="146"/>
        <v/>
      </c>
      <c r="L936" s="852" t="s">
        <v>1487</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1488</v>
      </c>
      <c r="B937" s="852" t="str">
        <f t="shared" ca="1" si="153"/>
        <v>R269</v>
      </c>
      <c r="C937" s="852" t="str">
        <f t="shared" ca="1" si="154"/>
        <v>R270</v>
      </c>
      <c r="D937" s="852" t="s">
        <v>1350</v>
      </c>
      <c r="E937" s="852" t="s">
        <v>1517</v>
      </c>
      <c r="F937" s="1351" t="s">
        <v>1996</v>
      </c>
      <c r="G937" s="1351" t="str">
        <f>IF(T937&lt;&gt;"","G","")</f>
        <v/>
      </c>
      <c r="H937" s="1351" t="s">
        <v>1991</v>
      </c>
      <c r="I937" s="1307" t="str">
        <f t="shared" si="145"/>
        <v/>
      </c>
      <c r="J937" s="1351" t="str">
        <f t="shared" si="152"/>
        <v/>
      </c>
      <c r="K937" s="1351" t="str">
        <f t="shared" si="146"/>
        <v/>
      </c>
      <c r="L937" s="852" t="s">
        <v>1488</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1489</v>
      </c>
      <c r="B938" s="852" t="str">
        <f t="shared" ca="1" si="153"/>
        <v>T269</v>
      </c>
      <c r="C938" s="852" t="str">
        <f t="shared" ca="1" si="154"/>
        <v>T270</v>
      </c>
      <c r="D938" s="852" t="s">
        <v>1350</v>
      </c>
      <c r="E938" s="852" t="s">
        <v>1517</v>
      </c>
      <c r="F938" s="867" t="s">
        <v>1489</v>
      </c>
      <c r="G938" s="1351" t="str">
        <f>IF(T938&lt;&gt;"","AW","")</f>
        <v/>
      </c>
      <c r="H938" s="1351" t="s">
        <v>1991</v>
      </c>
      <c r="I938" s="1307" t="str">
        <f t="shared" si="145"/>
        <v/>
      </c>
      <c r="J938" s="1351" t="str">
        <f t="shared" si="152"/>
        <v/>
      </c>
      <c r="K938" s="1351" t="str">
        <f t="shared" si="146"/>
        <v/>
      </c>
      <c r="L938" s="852" t="s">
        <v>1489</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51" t="s">
        <v>1385</v>
      </c>
      <c r="G939" s="1351" t="str">
        <f>IF(T939&lt;&gt;"","C","")</f>
        <v/>
      </c>
      <c r="H939" s="1351" t="s">
        <v>1991</v>
      </c>
      <c r="I939" s="1307" t="str">
        <f t="shared" si="145"/>
        <v/>
      </c>
      <c r="J939" s="1351"/>
      <c r="K939" s="1351" t="str">
        <f t="shared" si="146"/>
        <v/>
      </c>
      <c r="L939" s="852"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51" t="s">
        <v>1386</v>
      </c>
      <c r="G940" s="1351" t="str">
        <f>IF(T940&lt;&gt;"","D","")</f>
        <v/>
      </c>
      <c r="H940" s="1351" t="s">
        <v>1991</v>
      </c>
      <c r="I940" s="1307" t="str">
        <f t="shared" si="145"/>
        <v/>
      </c>
      <c r="J940" s="1351"/>
      <c r="K940" s="1351" t="str">
        <f t="shared" si="146"/>
        <v/>
      </c>
      <c r="L940" s="852"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51" t="s">
        <v>1496</v>
      </c>
      <c r="G941" s="1351" t="str">
        <f>IF(T941&lt;&gt;"","AN","")</f>
        <v/>
      </c>
      <c r="H941" s="1351" t="s">
        <v>1991</v>
      </c>
      <c r="I941" s="1307" t="str">
        <f t="shared" si="145"/>
        <v/>
      </c>
      <c r="J941" s="1351" t="str">
        <f t="shared" si="152"/>
        <v/>
      </c>
      <c r="K941" s="1351" t="str">
        <f t="shared" si="146"/>
        <v/>
      </c>
      <c r="L941" s="853" t="s">
        <v>1496</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51" t="s">
        <v>1493</v>
      </c>
      <c r="G942" s="1351" t="str">
        <f>IF(T942&lt;&gt;"","AL","")</f>
        <v/>
      </c>
      <c r="H942" s="1351" t="s">
        <v>1991</v>
      </c>
      <c r="I942" s="1307" t="str">
        <f t="shared" si="145"/>
        <v/>
      </c>
      <c r="J942" s="1351" t="str">
        <f t="shared" si="152"/>
        <v/>
      </c>
      <c r="K942" s="1351" t="str">
        <f t="shared" si="146"/>
        <v/>
      </c>
      <c r="L942" s="852" t="s">
        <v>1493</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51" t="s">
        <v>1997</v>
      </c>
      <c r="G943" s="1351" t="str">
        <f>IF(T943&lt;&gt;"","L","")</f>
        <v/>
      </c>
      <c r="H943" s="1351" t="s">
        <v>1991</v>
      </c>
      <c r="I943" s="1307" t="str">
        <f t="shared" si="145"/>
        <v/>
      </c>
      <c r="J943" s="1351" t="str">
        <f t="shared" si="152"/>
        <v/>
      </c>
      <c r="K943" s="1351" t="str">
        <f t="shared" si="146"/>
        <v/>
      </c>
      <c r="L943" s="852" t="s">
        <v>1507</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51" t="str">
        <f>IF(T944&lt;&gt;"","AH","")</f>
        <v/>
      </c>
      <c r="H944" s="1351" t="s">
        <v>1991</v>
      </c>
      <c r="I944" s="1307" t="str">
        <f t="shared" si="145"/>
        <v/>
      </c>
      <c r="J944" s="1351" t="str">
        <f t="shared" si="152"/>
        <v/>
      </c>
      <c r="K944" s="1351" t="str">
        <f t="shared" si="146"/>
        <v/>
      </c>
      <c r="L944" s="852"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51"/>
      <c r="H945" s="1351"/>
      <c r="I945" s="1307" t="str">
        <f t="shared" si="145"/>
        <v/>
      </c>
      <c r="J945" s="1351"/>
      <c r="K945" s="1351" t="str">
        <f t="shared" si="146"/>
        <v/>
      </c>
      <c r="L945" s="852"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51" t="s">
        <v>1913</v>
      </c>
      <c r="G946" s="1351" t="str">
        <f>IF(T946&lt;&gt;"","AI","")</f>
        <v/>
      </c>
      <c r="H946" s="1351" t="s">
        <v>1991</v>
      </c>
      <c r="I946" s="1307" t="str">
        <f t="shared" si="145"/>
        <v/>
      </c>
      <c r="J946" s="1351"/>
      <c r="K946" s="1351" t="str">
        <f t="shared" si="146"/>
        <v/>
      </c>
      <c r="L946" s="852"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51" t="s">
        <v>1509</v>
      </c>
      <c r="G947" s="1351" t="str">
        <f>IF(T947&lt;&gt;"","P","")</f>
        <v/>
      </c>
      <c r="H947" s="1351" t="s">
        <v>1991</v>
      </c>
      <c r="I947" s="1307" t="str">
        <f t="shared" si="145"/>
        <v/>
      </c>
      <c r="J947" s="1351" t="str">
        <f t="shared" si="152"/>
        <v/>
      </c>
      <c r="K947" s="1351" t="str">
        <f t="shared" si="146"/>
        <v/>
      </c>
      <c r="L947" s="852" t="s">
        <v>1509</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51" t="s">
        <v>1492</v>
      </c>
      <c r="G948" s="1351" t="str">
        <f>IF(T948&lt;&gt;"","A","")</f>
        <v/>
      </c>
      <c r="H948" s="1351" t="s">
        <v>1991</v>
      </c>
      <c r="I948" s="1307" t="str">
        <f t="shared" si="145"/>
        <v/>
      </c>
      <c r="J948" s="1351"/>
      <c r="K948" s="1351" t="str">
        <f t="shared" si="146"/>
        <v/>
      </c>
      <c r="L948" s="852" t="s">
        <v>1492</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51"/>
      <c r="G949" s="1351"/>
      <c r="H949" s="1351"/>
      <c r="I949" s="1307" t="str">
        <f t="shared" si="145"/>
        <v/>
      </c>
      <c r="J949" s="1351" t="str">
        <f t="shared" ref="J949:J966" si="155">IF(M949&lt;&gt;"",IF($Q$949="Yes",Q$1&amp;M949,""))</f>
        <v/>
      </c>
      <c r="K949" s="1351" t="str">
        <f t="shared" si="146"/>
        <v/>
      </c>
      <c r="L949" s="852" t="s">
        <v>1706</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51" t="s">
        <v>1383</v>
      </c>
      <c r="G950" s="1351" t="str">
        <f>IF(T950&lt;&gt;"","B","")</f>
        <v/>
      </c>
      <c r="H950" s="1351" t="s">
        <v>1991</v>
      </c>
      <c r="I950" s="1307" t="str">
        <f t="shared" si="145"/>
        <v/>
      </c>
      <c r="J950" s="1351"/>
      <c r="K950" s="1351" t="str">
        <f t="shared" si="146"/>
        <v/>
      </c>
      <c r="L950" s="852"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51" t="s">
        <v>1992</v>
      </c>
      <c r="G951" s="1351" t="str">
        <f>IF(T951&lt;&gt;"","E","")</f>
        <v/>
      </c>
      <c r="H951" s="1351" t="s">
        <v>1991</v>
      </c>
      <c r="I951" s="1307" t="str">
        <f t="shared" si="145"/>
        <v/>
      </c>
      <c r="J951" s="1351" t="str">
        <f t="shared" si="155"/>
        <v/>
      </c>
      <c r="K951" s="1351" t="str">
        <f t="shared" si="146"/>
        <v/>
      </c>
      <c r="L951" s="852"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2" t="str">
        <f t="shared" ca="1" si="157"/>
        <v>J283</v>
      </c>
      <c r="C952" s="852" t="str">
        <f t="shared" ca="1" si="158"/>
        <v>J284</v>
      </c>
      <c r="D952" s="852" t="s">
        <v>1350</v>
      </c>
      <c r="E952" s="852" t="s">
        <v>1517</v>
      </c>
      <c r="F952" s="1351" t="s">
        <v>1993</v>
      </c>
      <c r="G952" s="1351" t="str">
        <f>IF(T952&lt;&gt;"","I","")</f>
        <v/>
      </c>
      <c r="H952" s="1351" t="s">
        <v>1991</v>
      </c>
      <c r="I952" s="1307" t="str">
        <f t="shared" si="145"/>
        <v/>
      </c>
      <c r="J952" s="1351" t="str">
        <f t="shared" si="155"/>
        <v/>
      </c>
      <c r="K952" s="1351" t="str">
        <f t="shared" si="146"/>
        <v/>
      </c>
      <c r="L952" s="852" t="s">
        <v>1381</v>
      </c>
      <c r="M952" s="1366">
        <v>935</v>
      </c>
      <c r="N952" s="1351"/>
      <c r="O952" s="1348" t="s">
        <v>1709</v>
      </c>
      <c r="P952" s="1348"/>
      <c r="Q952" s="1348"/>
      <c r="R952" s="1351" t="s">
        <v>395</v>
      </c>
      <c r="S952" s="1348"/>
      <c r="T952" s="1351" t="str">
        <f t="shared" si="156"/>
        <v/>
      </c>
      <c r="U952" s="1348"/>
      <c r="V952" s="1348"/>
      <c r="W952" s="1348"/>
      <c r="X952" s="1348"/>
      <c r="Y952" s="1348"/>
      <c r="Z952" s="1348"/>
    </row>
    <row r="953" spans="1:26" x14ac:dyDescent="0.25">
      <c r="A953" s="1020" t="s">
        <v>1397</v>
      </c>
      <c r="B953" s="852" t="str">
        <f t="shared" ca="1" si="157"/>
        <v>L283</v>
      </c>
      <c r="C953" s="852" t="str">
        <f t="shared" ca="1" si="158"/>
        <v>L284</v>
      </c>
      <c r="D953" s="852" t="s">
        <v>1350</v>
      </c>
      <c r="E953" s="852" t="s">
        <v>1517</v>
      </c>
      <c r="F953" s="1351" t="s">
        <v>1994</v>
      </c>
      <c r="G953" s="1351" t="str">
        <f>IF(T953&lt;&gt;"","H","")</f>
        <v/>
      </c>
      <c r="H953" s="1351" t="s">
        <v>1991</v>
      </c>
      <c r="I953" s="1307" t="str">
        <f t="shared" si="145"/>
        <v/>
      </c>
      <c r="J953" s="1351" t="str">
        <f t="shared" si="155"/>
        <v/>
      </c>
      <c r="K953" s="1351" t="str">
        <f t="shared" si="146"/>
        <v/>
      </c>
      <c r="L953" s="852"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2" t="str">
        <f t="shared" ca="1" si="157"/>
        <v>N283</v>
      </c>
      <c r="C954" s="852" t="str">
        <f t="shared" ca="1" si="158"/>
        <v>N284</v>
      </c>
      <c r="D954" s="852" t="s">
        <v>1350</v>
      </c>
      <c r="E954" s="852" t="s">
        <v>1517</v>
      </c>
      <c r="F954" s="1351" t="s">
        <v>1382</v>
      </c>
      <c r="G954" s="1351" t="str">
        <f>IF(T954&lt;&gt;"",IF(Q952="Credit Memo","J",IF(Q952="Check","K","")),"")</f>
        <v/>
      </c>
      <c r="H954" s="1351" t="s">
        <v>1991</v>
      </c>
      <c r="I954" s="1307" t="str">
        <f t="shared" si="145"/>
        <v/>
      </c>
      <c r="J954" s="1351" t="str">
        <f t="shared" si="155"/>
        <v/>
      </c>
      <c r="K954" s="1351" t="str">
        <f t="shared" si="146"/>
        <v/>
      </c>
      <c r="L954" s="852"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1487</v>
      </c>
      <c r="B955" s="852" t="str">
        <f t="shared" ca="1" si="157"/>
        <v>P283</v>
      </c>
      <c r="C955" s="852" t="str">
        <f t="shared" ca="1" si="158"/>
        <v>P284</v>
      </c>
      <c r="D955" s="852" t="s">
        <v>1350</v>
      </c>
      <c r="E955" s="852" t="s">
        <v>1517</v>
      </c>
      <c r="F955" s="1351" t="s">
        <v>1995</v>
      </c>
      <c r="G955" s="1351" t="str">
        <f>IF(T955&lt;&gt;"","F","")</f>
        <v/>
      </c>
      <c r="H955" s="1351" t="s">
        <v>1991</v>
      </c>
      <c r="I955" s="1307" t="str">
        <f t="shared" si="145"/>
        <v/>
      </c>
      <c r="J955" s="1351" t="str">
        <f t="shared" si="155"/>
        <v/>
      </c>
      <c r="K955" s="1351" t="str">
        <f t="shared" si="146"/>
        <v/>
      </c>
      <c r="L955" s="852" t="s">
        <v>1487</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1488</v>
      </c>
      <c r="B956" s="852" t="str">
        <f t="shared" ca="1" si="157"/>
        <v>R283</v>
      </c>
      <c r="C956" s="852" t="str">
        <f t="shared" ca="1" si="158"/>
        <v>R284</v>
      </c>
      <c r="D956" s="852" t="s">
        <v>1350</v>
      </c>
      <c r="E956" s="852" t="s">
        <v>1517</v>
      </c>
      <c r="F956" s="1351" t="s">
        <v>1996</v>
      </c>
      <c r="G956" s="1351" t="str">
        <f>IF(T956&lt;&gt;"","G","")</f>
        <v/>
      </c>
      <c r="H956" s="1351" t="s">
        <v>1991</v>
      </c>
      <c r="I956" s="1307" t="str">
        <f t="shared" si="145"/>
        <v/>
      </c>
      <c r="J956" s="1351" t="str">
        <f t="shared" si="155"/>
        <v/>
      </c>
      <c r="K956" s="1351" t="str">
        <f t="shared" si="146"/>
        <v/>
      </c>
      <c r="L956" s="852" t="s">
        <v>1488</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1489</v>
      </c>
      <c r="B957" s="852" t="str">
        <f t="shared" ca="1" si="157"/>
        <v>T283</v>
      </c>
      <c r="C957" s="852" t="str">
        <f t="shared" ca="1" si="158"/>
        <v>T284</v>
      </c>
      <c r="D957" s="852" t="s">
        <v>1350</v>
      </c>
      <c r="E957" s="852" t="s">
        <v>1517</v>
      </c>
      <c r="F957" s="867" t="s">
        <v>1489</v>
      </c>
      <c r="G957" s="1351" t="str">
        <f>IF(T957&lt;&gt;"","AW","")</f>
        <v/>
      </c>
      <c r="H957" s="1351" t="s">
        <v>1991</v>
      </c>
      <c r="I957" s="1307" t="str">
        <f t="shared" si="145"/>
        <v/>
      </c>
      <c r="J957" s="1351" t="str">
        <f t="shared" si="155"/>
        <v/>
      </c>
      <c r="K957" s="1351" t="str">
        <f t="shared" si="146"/>
        <v/>
      </c>
      <c r="L957" s="852" t="s">
        <v>1489</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51" t="s">
        <v>1385</v>
      </c>
      <c r="G958" s="1351" t="str">
        <f>IF(T958&lt;&gt;"","C","")</f>
        <v/>
      </c>
      <c r="H958" s="1351" t="s">
        <v>1991</v>
      </c>
      <c r="I958" s="1307" t="str">
        <f t="shared" si="145"/>
        <v/>
      </c>
      <c r="J958" s="1351"/>
      <c r="K958" s="1351" t="str">
        <f t="shared" si="146"/>
        <v/>
      </c>
      <c r="L958" s="852"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51" t="s">
        <v>1386</v>
      </c>
      <c r="G959" s="1351" t="str">
        <f>IF(T959&lt;&gt;"","D","")</f>
        <v/>
      </c>
      <c r="H959" s="1351" t="s">
        <v>1991</v>
      </c>
      <c r="I959" s="1307" t="str">
        <f t="shared" si="145"/>
        <v/>
      </c>
      <c r="J959" s="1351"/>
      <c r="K959" s="1351" t="str">
        <f t="shared" si="146"/>
        <v/>
      </c>
      <c r="L959" s="852"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51" t="s">
        <v>1496</v>
      </c>
      <c r="G960" s="1351" t="str">
        <f>IF(T960&lt;&gt;"","AN","")</f>
        <v/>
      </c>
      <c r="H960" s="1351" t="s">
        <v>1991</v>
      </c>
      <c r="I960" s="1307" t="str">
        <f t="shared" si="145"/>
        <v/>
      </c>
      <c r="J960" s="1351" t="str">
        <f t="shared" si="155"/>
        <v/>
      </c>
      <c r="K960" s="1351" t="str">
        <f t="shared" si="146"/>
        <v/>
      </c>
      <c r="L960" s="853" t="s">
        <v>1496</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51" t="s">
        <v>1493</v>
      </c>
      <c r="G961" s="1351" t="str">
        <f>IF(T961&lt;&gt;"","AL","")</f>
        <v/>
      </c>
      <c r="H961" s="1351" t="s">
        <v>1991</v>
      </c>
      <c r="I961" s="1307" t="str">
        <f t="shared" si="145"/>
        <v/>
      </c>
      <c r="J961" s="1351" t="str">
        <f t="shared" si="155"/>
        <v/>
      </c>
      <c r="K961" s="1351" t="str">
        <f t="shared" si="146"/>
        <v/>
      </c>
      <c r="L961" s="852" t="s">
        <v>1493</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51" t="s">
        <v>1997</v>
      </c>
      <c r="G962" s="1351" t="str">
        <f>IF(T962&lt;&gt;"","L","")</f>
        <v/>
      </c>
      <c r="H962" s="1351" t="s">
        <v>1991</v>
      </c>
      <c r="I962" s="1307" t="str">
        <f t="shared" si="145"/>
        <v/>
      </c>
      <c r="J962" s="1351" t="str">
        <f t="shared" si="155"/>
        <v/>
      </c>
      <c r="K962" s="1351" t="str">
        <f t="shared" si="146"/>
        <v/>
      </c>
      <c r="L962" s="852" t="s">
        <v>1507</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51" t="str">
        <f>IF(T963&lt;&gt;"","AH","")</f>
        <v/>
      </c>
      <c r="H963" s="1351" t="s">
        <v>1991</v>
      </c>
      <c r="I963" s="1307" t="str">
        <f t="shared" si="145"/>
        <v/>
      </c>
      <c r="J963" s="1351" t="str">
        <f t="shared" si="155"/>
        <v/>
      </c>
      <c r="K963" s="1351" t="str">
        <f t="shared" si="146"/>
        <v/>
      </c>
      <c r="L963" s="852"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51"/>
      <c r="H964" s="1351"/>
      <c r="I964" s="1307" t="str">
        <f t="shared" ref="I964:I1027" si="159">IF(J964&lt;&gt;"",A964,"")</f>
        <v/>
      </c>
      <c r="J964" s="1351"/>
      <c r="K964" s="1351" t="str">
        <f t="shared" ref="K964:K1027" si="160">IF(J964&lt;&gt;"",E964,"")</f>
        <v/>
      </c>
      <c r="L964" s="852"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51" t="s">
        <v>1913</v>
      </c>
      <c r="G965" s="1351" t="str">
        <f>IF(T965&lt;&gt;"","AI","")</f>
        <v/>
      </c>
      <c r="H965" s="1351" t="s">
        <v>1991</v>
      </c>
      <c r="I965" s="1307" t="str">
        <f t="shared" si="159"/>
        <v/>
      </c>
      <c r="J965" s="1351"/>
      <c r="K965" s="1351" t="str">
        <f t="shared" si="160"/>
        <v/>
      </c>
      <c r="L965" s="852"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51" t="s">
        <v>1509</v>
      </c>
      <c r="G966" s="1351" t="str">
        <f>IF(T966&lt;&gt;"","P","")</f>
        <v/>
      </c>
      <c r="H966" s="1351" t="s">
        <v>1991</v>
      </c>
      <c r="I966" s="1307" t="str">
        <f t="shared" si="159"/>
        <v/>
      </c>
      <c r="J966" s="1351" t="str">
        <f t="shared" si="155"/>
        <v/>
      </c>
      <c r="K966" s="1351" t="str">
        <f t="shared" si="160"/>
        <v/>
      </c>
      <c r="L966" s="852" t="s">
        <v>1509</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51" t="s">
        <v>1492</v>
      </c>
      <c r="G967" s="1351" t="str">
        <f>IF(T967&lt;&gt;"","A","")</f>
        <v/>
      </c>
      <c r="H967" s="1351" t="s">
        <v>1991</v>
      </c>
      <c r="I967" s="1307" t="str">
        <f t="shared" si="159"/>
        <v/>
      </c>
      <c r="J967" s="1351"/>
      <c r="K967" s="1351" t="str">
        <f t="shared" si="160"/>
        <v/>
      </c>
      <c r="L967" s="852" t="s">
        <v>1492</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51"/>
      <c r="G968" s="1351"/>
      <c r="H968" s="1351"/>
      <c r="I968" s="1307" t="str">
        <f t="shared" si="159"/>
        <v/>
      </c>
      <c r="J968" s="1351" t="str">
        <f t="shared" ref="J968:J985" si="162">IF(M968&lt;&gt;"",IF($Q$968="Yes",Q$1&amp;M968,""))</f>
        <v/>
      </c>
      <c r="K968" s="1351" t="str">
        <f t="shared" si="160"/>
        <v/>
      </c>
      <c r="L968" s="852" t="s">
        <v>1706</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51" t="s">
        <v>1383</v>
      </c>
      <c r="G969" s="1351" t="str">
        <f>IF(T969&lt;&gt;"","B","")</f>
        <v/>
      </c>
      <c r="H969" s="1351" t="s">
        <v>1991</v>
      </c>
      <c r="I969" s="1307" t="str">
        <f t="shared" si="159"/>
        <v/>
      </c>
      <c r="J969" s="1351"/>
      <c r="K969" s="1351" t="str">
        <f t="shared" si="160"/>
        <v/>
      </c>
      <c r="L969" s="852"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51" t="s">
        <v>1992</v>
      </c>
      <c r="G970" s="1351" t="str">
        <f>IF(T970&lt;&gt;"","E","")</f>
        <v/>
      </c>
      <c r="H970" s="1351" t="s">
        <v>1991</v>
      </c>
      <c r="I970" s="1307" t="str">
        <f t="shared" si="159"/>
        <v/>
      </c>
      <c r="J970" s="1351" t="str">
        <f t="shared" si="162"/>
        <v/>
      </c>
      <c r="K970" s="1351" t="str">
        <f t="shared" si="160"/>
        <v/>
      </c>
      <c r="L970" s="852"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2" t="str">
        <f t="shared" ca="1" si="163"/>
        <v>J297</v>
      </c>
      <c r="C971" s="852" t="str">
        <f t="shared" ca="1" si="164"/>
        <v>J298</v>
      </c>
      <c r="D971" s="852" t="s">
        <v>1350</v>
      </c>
      <c r="E971" s="852" t="s">
        <v>1517</v>
      </c>
      <c r="F971" s="1351" t="s">
        <v>1993</v>
      </c>
      <c r="G971" s="1351" t="str">
        <f>IF(T971&lt;&gt;"","I","")</f>
        <v/>
      </c>
      <c r="H971" s="1351" t="s">
        <v>1991</v>
      </c>
      <c r="I971" s="1307" t="str">
        <f t="shared" si="159"/>
        <v/>
      </c>
      <c r="J971" s="1351" t="str">
        <f t="shared" si="162"/>
        <v/>
      </c>
      <c r="K971" s="1351" t="str">
        <f t="shared" si="160"/>
        <v/>
      </c>
      <c r="L971" s="852" t="s">
        <v>1381</v>
      </c>
      <c r="M971" s="1366">
        <v>954</v>
      </c>
      <c r="N971" s="1351"/>
      <c r="O971" s="1348" t="s">
        <v>1710</v>
      </c>
      <c r="P971" s="1348"/>
      <c r="Q971" s="1348"/>
      <c r="R971" s="1351" t="s">
        <v>395</v>
      </c>
      <c r="S971" s="1348"/>
      <c r="T971" s="1351" t="str">
        <f t="shared" si="161"/>
        <v/>
      </c>
      <c r="U971" s="1348"/>
      <c r="V971" s="1348"/>
      <c r="W971" s="1348"/>
      <c r="X971" s="1348"/>
      <c r="Y971" s="1348"/>
      <c r="Z971" s="1348"/>
    </row>
    <row r="972" spans="1:26" x14ac:dyDescent="0.25">
      <c r="A972" s="1041" t="s">
        <v>1397</v>
      </c>
      <c r="B972" s="852" t="str">
        <f t="shared" ca="1" si="163"/>
        <v>L297</v>
      </c>
      <c r="C972" s="852" t="str">
        <f t="shared" ca="1" si="164"/>
        <v>L298</v>
      </c>
      <c r="D972" s="852" t="s">
        <v>1350</v>
      </c>
      <c r="E972" s="852" t="s">
        <v>1517</v>
      </c>
      <c r="F972" s="1351" t="s">
        <v>1994</v>
      </c>
      <c r="G972" s="1351" t="str">
        <f>IF(T972&lt;&gt;"","H","")</f>
        <v/>
      </c>
      <c r="H972" s="1351" t="s">
        <v>1991</v>
      </c>
      <c r="I972" s="1307" t="str">
        <f t="shared" si="159"/>
        <v/>
      </c>
      <c r="J972" s="1351" t="str">
        <f t="shared" si="162"/>
        <v/>
      </c>
      <c r="K972" s="1351" t="str">
        <f t="shared" si="160"/>
        <v/>
      </c>
      <c r="L972" s="852"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2" t="str">
        <f t="shared" ca="1" si="163"/>
        <v>N297</v>
      </c>
      <c r="C973" s="852" t="str">
        <f t="shared" ca="1" si="164"/>
        <v>N298</v>
      </c>
      <c r="D973" s="852" t="s">
        <v>1350</v>
      </c>
      <c r="E973" s="852" t="s">
        <v>1517</v>
      </c>
      <c r="F973" s="1351" t="s">
        <v>1382</v>
      </c>
      <c r="G973" s="1351" t="str">
        <f>IF(T973&lt;&gt;"",IF(Q971="Credit Memo","J",IF(Q971="Check","K","")),"")</f>
        <v/>
      </c>
      <c r="H973" s="1351" t="s">
        <v>1991</v>
      </c>
      <c r="I973" s="1307" t="str">
        <f t="shared" si="159"/>
        <v/>
      </c>
      <c r="J973" s="1351" t="str">
        <f t="shared" si="162"/>
        <v/>
      </c>
      <c r="K973" s="1351" t="str">
        <f t="shared" si="160"/>
        <v/>
      </c>
      <c r="L973" s="852"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1487</v>
      </c>
      <c r="B974" s="852" t="str">
        <f t="shared" ca="1" si="163"/>
        <v>P297</v>
      </c>
      <c r="C974" s="852" t="str">
        <f t="shared" ca="1" si="164"/>
        <v>P298</v>
      </c>
      <c r="D974" s="852" t="s">
        <v>1350</v>
      </c>
      <c r="E974" s="852" t="s">
        <v>1517</v>
      </c>
      <c r="F974" s="1351" t="s">
        <v>1995</v>
      </c>
      <c r="G974" s="1351" t="str">
        <f>IF(T974&lt;&gt;"","F","")</f>
        <v/>
      </c>
      <c r="H974" s="1351" t="s">
        <v>1991</v>
      </c>
      <c r="I974" s="1307" t="str">
        <f t="shared" si="159"/>
        <v/>
      </c>
      <c r="J974" s="1351" t="str">
        <f t="shared" si="162"/>
        <v/>
      </c>
      <c r="K974" s="1351" t="str">
        <f t="shared" si="160"/>
        <v/>
      </c>
      <c r="L974" s="852" t="s">
        <v>1487</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1488</v>
      </c>
      <c r="B975" s="852" t="str">
        <f t="shared" ca="1" si="163"/>
        <v>R297</v>
      </c>
      <c r="C975" s="852" t="str">
        <f t="shared" ca="1" si="164"/>
        <v>R298</v>
      </c>
      <c r="D975" s="852" t="s">
        <v>1350</v>
      </c>
      <c r="E975" s="852" t="s">
        <v>1517</v>
      </c>
      <c r="F975" s="1351" t="s">
        <v>1996</v>
      </c>
      <c r="G975" s="1351" t="str">
        <f>IF(T975&lt;&gt;"","G","")</f>
        <v/>
      </c>
      <c r="H975" s="1351" t="s">
        <v>1991</v>
      </c>
      <c r="I975" s="1307" t="str">
        <f t="shared" si="159"/>
        <v/>
      </c>
      <c r="J975" s="1351" t="str">
        <f t="shared" si="162"/>
        <v/>
      </c>
      <c r="K975" s="1351" t="str">
        <f t="shared" si="160"/>
        <v/>
      </c>
      <c r="L975" s="852" t="s">
        <v>1488</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1489</v>
      </c>
      <c r="B976" s="852" t="str">
        <f t="shared" ca="1" si="163"/>
        <v>T297</v>
      </c>
      <c r="C976" s="852" t="str">
        <f t="shared" ca="1" si="164"/>
        <v>T298</v>
      </c>
      <c r="D976" s="852" t="s">
        <v>1350</v>
      </c>
      <c r="E976" s="852" t="s">
        <v>1517</v>
      </c>
      <c r="F976" s="867" t="s">
        <v>1489</v>
      </c>
      <c r="G976" s="1351" t="str">
        <f>IF(T976&lt;&gt;"","AW","")</f>
        <v/>
      </c>
      <c r="H976" s="1351" t="s">
        <v>1991</v>
      </c>
      <c r="I976" s="1307" t="str">
        <f t="shared" si="159"/>
        <v/>
      </c>
      <c r="J976" s="1351" t="str">
        <f t="shared" si="162"/>
        <v/>
      </c>
      <c r="K976" s="1351" t="str">
        <f t="shared" si="160"/>
        <v/>
      </c>
      <c r="L976" s="852" t="s">
        <v>1489</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51" t="s">
        <v>1385</v>
      </c>
      <c r="G977" s="1351" t="str">
        <f>IF(T977&lt;&gt;"","C","")</f>
        <v/>
      </c>
      <c r="H977" s="1351" t="s">
        <v>1991</v>
      </c>
      <c r="I977" s="1307" t="str">
        <f t="shared" si="159"/>
        <v/>
      </c>
      <c r="J977" s="1351"/>
      <c r="K977" s="1351" t="str">
        <f t="shared" si="160"/>
        <v/>
      </c>
      <c r="L977" s="852"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51" t="s">
        <v>1386</v>
      </c>
      <c r="G978" s="1351" t="str">
        <f>IF(T978&lt;&gt;"","D","")</f>
        <v/>
      </c>
      <c r="H978" s="1351" t="s">
        <v>1991</v>
      </c>
      <c r="I978" s="1307" t="str">
        <f t="shared" si="159"/>
        <v/>
      </c>
      <c r="J978" s="1351"/>
      <c r="K978" s="1351" t="str">
        <f t="shared" si="160"/>
        <v/>
      </c>
      <c r="L978" s="852"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51" t="s">
        <v>1496</v>
      </c>
      <c r="G979" s="1351" t="str">
        <f>IF(T979&lt;&gt;"","AN","")</f>
        <v/>
      </c>
      <c r="H979" s="1351" t="s">
        <v>1991</v>
      </c>
      <c r="I979" s="1307" t="str">
        <f t="shared" si="159"/>
        <v/>
      </c>
      <c r="J979" s="1351" t="str">
        <f t="shared" si="162"/>
        <v/>
      </c>
      <c r="K979" s="1351" t="str">
        <f t="shared" si="160"/>
        <v/>
      </c>
      <c r="L979" s="852" t="s">
        <v>1496</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51" t="s">
        <v>1493</v>
      </c>
      <c r="G980" s="1351" t="str">
        <f>IF(T980&lt;&gt;"","AL","")</f>
        <v/>
      </c>
      <c r="H980" s="1351" t="s">
        <v>1991</v>
      </c>
      <c r="I980" s="1307" t="str">
        <f t="shared" si="159"/>
        <v/>
      </c>
      <c r="J980" s="1351" t="str">
        <f t="shared" si="162"/>
        <v/>
      </c>
      <c r="K980" s="1351" t="str">
        <f t="shared" si="160"/>
        <v/>
      </c>
      <c r="L980" s="852" t="s">
        <v>1493</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51" t="s">
        <v>1997</v>
      </c>
      <c r="G981" s="1351" t="str">
        <f>IF(T981&lt;&gt;"","L","")</f>
        <v/>
      </c>
      <c r="H981" s="1351" t="s">
        <v>1991</v>
      </c>
      <c r="I981" s="1307" t="str">
        <f t="shared" si="159"/>
        <v/>
      </c>
      <c r="J981" s="1351" t="str">
        <f t="shared" si="162"/>
        <v/>
      </c>
      <c r="K981" s="1351" t="str">
        <f t="shared" si="160"/>
        <v/>
      </c>
      <c r="L981" s="852" t="s">
        <v>1507</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51" t="str">
        <f>IF(T982&lt;&gt;"","AH","")</f>
        <v/>
      </c>
      <c r="H982" s="1351" t="s">
        <v>1991</v>
      </c>
      <c r="I982" s="1307" t="str">
        <f t="shared" si="159"/>
        <v/>
      </c>
      <c r="J982" s="1351" t="str">
        <f t="shared" si="162"/>
        <v/>
      </c>
      <c r="K982" s="1351" t="str">
        <f t="shared" si="160"/>
        <v/>
      </c>
      <c r="L982" s="852"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51"/>
      <c r="H983" s="1351"/>
      <c r="I983" s="1307" t="str">
        <f t="shared" si="159"/>
        <v/>
      </c>
      <c r="J983" s="1351"/>
      <c r="K983" s="1351" t="str">
        <f t="shared" si="160"/>
        <v/>
      </c>
      <c r="L983" s="852"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51" t="s">
        <v>1913</v>
      </c>
      <c r="G984" s="1351" t="str">
        <f>IF(T984&lt;&gt;"","AI","")</f>
        <v/>
      </c>
      <c r="H984" s="1351" t="s">
        <v>1991</v>
      </c>
      <c r="I984" s="1307" t="str">
        <f t="shared" si="159"/>
        <v/>
      </c>
      <c r="J984" s="1351"/>
      <c r="K984" s="1351" t="str">
        <f t="shared" si="160"/>
        <v/>
      </c>
      <c r="L984" s="852"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51" t="s">
        <v>1509</v>
      </c>
      <c r="G985" s="1351" t="str">
        <f>IF(T985&lt;&gt;"","P","")</f>
        <v/>
      </c>
      <c r="H985" s="1351" t="s">
        <v>1991</v>
      </c>
      <c r="I985" s="1307" t="str">
        <f t="shared" si="159"/>
        <v/>
      </c>
      <c r="J985" s="1351" t="str">
        <f t="shared" si="162"/>
        <v/>
      </c>
      <c r="K985" s="1351" t="str">
        <f t="shared" si="160"/>
        <v/>
      </c>
      <c r="L985" s="852" t="s">
        <v>1509</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51" t="s">
        <v>1492</v>
      </c>
      <c r="G986" s="1351" t="str">
        <f>IF(T986&lt;&gt;"","A","")</f>
        <v/>
      </c>
      <c r="H986" s="1351" t="s">
        <v>1991</v>
      </c>
      <c r="I986" s="1307" t="str">
        <f t="shared" si="159"/>
        <v/>
      </c>
      <c r="J986" s="1351"/>
      <c r="K986" s="1351" t="str">
        <f t="shared" si="160"/>
        <v/>
      </c>
      <c r="L986" s="852" t="s">
        <v>1492</v>
      </c>
      <c r="M986" s="1366">
        <v>969</v>
      </c>
      <c r="N986" s="1351"/>
      <c r="O986" s="1348" t="s">
        <v>725</v>
      </c>
      <c r="P986" s="1447"/>
      <c r="Q986" s="1348"/>
      <c r="R986" s="1351" t="s">
        <v>1697</v>
      </c>
      <c r="S986" s="1348"/>
      <c r="T986" s="1351" t="str">
        <f>IF(Q$987="Yes",22,"")</f>
        <v/>
      </c>
      <c r="U986" s="1348"/>
      <c r="V986" s="1348"/>
      <c r="W986" s="1348"/>
      <c r="X986" s="1348"/>
      <c r="Y986" s="1348"/>
      <c r="Z986" s="134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51"/>
      <c r="G987" s="1351"/>
      <c r="H987" s="1351"/>
      <c r="I987" s="1307" t="str">
        <f t="shared" si="159"/>
        <v/>
      </c>
      <c r="J987" s="1351" t="str">
        <f t="shared" ref="J987:J1001" si="165">IF(M987&lt;&gt;"",IF($Q$987="Yes",Q$1&amp;M987,""))</f>
        <v/>
      </c>
      <c r="K987" s="1351" t="str">
        <f t="shared" si="160"/>
        <v/>
      </c>
      <c r="L987" s="852" t="s">
        <v>1706</v>
      </c>
      <c r="M987" s="1366">
        <v>970</v>
      </c>
      <c r="N987" s="1351"/>
      <c r="O987" s="1348">
        <f>'Configurable Tab'!H24</f>
        <v>309</v>
      </c>
      <c r="P987" s="18" t="str">
        <f>'Configurable Tab'!J24</f>
        <v>Yes</v>
      </c>
      <c r="Q987" s="1388" t="s">
        <v>648</v>
      </c>
      <c r="R987" s="1351" t="s">
        <v>1697</v>
      </c>
      <c r="S987" s="1348"/>
      <c r="T987" s="1351" t="str">
        <f t="shared" ref="T987:T1003" si="166">IF(Q$987="Yes",22,"")</f>
        <v/>
      </c>
      <c r="U987" s="1348"/>
      <c r="V987" s="1348"/>
      <c r="W987" s="1348"/>
      <c r="X987" s="1348"/>
      <c r="Y987" s="1348"/>
      <c r="Z987" s="134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51" t="s">
        <v>1383</v>
      </c>
      <c r="G988" s="1351" t="str">
        <f>IF(T988&lt;&gt;"","B","")</f>
        <v/>
      </c>
      <c r="H988" s="1351" t="s">
        <v>1991</v>
      </c>
      <c r="I988" s="1307" t="str">
        <f t="shared" si="159"/>
        <v/>
      </c>
      <c r="J988" s="1351"/>
      <c r="K988" s="1351" t="str">
        <f t="shared" si="160"/>
        <v/>
      </c>
      <c r="L988" s="852" t="s">
        <v>1383</v>
      </c>
      <c r="M988" s="1366">
        <v>971</v>
      </c>
      <c r="N988" s="1351"/>
      <c r="O988" s="1348" t="s">
        <v>726</v>
      </c>
      <c r="P988" s="1348"/>
      <c r="Q988" s="1348"/>
      <c r="R988" s="1351" t="s">
        <v>1697</v>
      </c>
      <c r="S988" s="1348"/>
      <c r="T988" s="1351" t="str">
        <f t="shared" si="166"/>
        <v/>
      </c>
      <c r="U988" s="1348"/>
      <c r="V988" s="1348"/>
      <c r="W988" s="1348"/>
      <c r="X988" s="1348"/>
      <c r="Y988" s="1348"/>
      <c r="Z988" s="134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51" t="s">
        <v>1992</v>
      </c>
      <c r="G989" s="1351" t="str">
        <f>IF(T989&lt;&gt;"","E","")</f>
        <v/>
      </c>
      <c r="H989" s="1351" t="s">
        <v>1991</v>
      </c>
      <c r="I989" s="1307" t="str">
        <f t="shared" si="159"/>
        <v/>
      </c>
      <c r="J989" s="1351" t="str">
        <f t="shared" si="165"/>
        <v/>
      </c>
      <c r="K989" s="1351" t="str">
        <f t="shared" si="160"/>
        <v/>
      </c>
      <c r="L989" s="852" t="s">
        <v>1380</v>
      </c>
      <c r="M989" s="1366">
        <v>972</v>
      </c>
      <c r="N989" s="1351"/>
      <c r="O989" s="1348">
        <f>'Configurable Tab'!I24</f>
        <v>322</v>
      </c>
      <c r="P989" s="1348"/>
      <c r="Q989" s="1348"/>
      <c r="R989" s="1351" t="s">
        <v>1697</v>
      </c>
      <c r="S989" s="1348"/>
      <c r="T989" s="1351" t="str">
        <f t="shared" si="166"/>
        <v/>
      </c>
      <c r="U989" s="1348"/>
      <c r="V989" s="1348"/>
      <c r="W989" s="1348"/>
      <c r="X989" s="1348"/>
      <c r="Y989" s="1348"/>
      <c r="Z989" s="1348"/>
    </row>
    <row r="990" spans="1:26" x14ac:dyDescent="0.25">
      <c r="A990" s="876" t="s">
        <v>1381</v>
      </c>
      <c r="B990" s="852" t="str">
        <f t="shared" ca="1" si="167"/>
        <v>J311</v>
      </c>
      <c r="C990" s="852" t="str">
        <f t="shared" ca="1" si="168"/>
        <v>J312</v>
      </c>
      <c r="D990" s="852" t="s">
        <v>1350</v>
      </c>
      <c r="E990" s="852" t="s">
        <v>1517</v>
      </c>
      <c r="F990" s="1351" t="s">
        <v>1993</v>
      </c>
      <c r="G990" s="1351" t="str">
        <f>IF(T990&lt;&gt;"","I","")</f>
        <v/>
      </c>
      <c r="H990" s="1351" t="s">
        <v>1991</v>
      </c>
      <c r="I990" s="1307" t="str">
        <f t="shared" si="159"/>
        <v/>
      </c>
      <c r="J990" s="1351" t="str">
        <f t="shared" si="165"/>
        <v/>
      </c>
      <c r="K990" s="1351" t="str">
        <f t="shared" si="160"/>
        <v/>
      </c>
      <c r="L990" s="852" t="s">
        <v>1381</v>
      </c>
      <c r="M990" s="1366">
        <v>973</v>
      </c>
      <c r="N990" s="1351"/>
      <c r="O990" s="1348" t="s">
        <v>1650</v>
      </c>
      <c r="P990" s="1348"/>
      <c r="Q990" s="1348" t="s">
        <v>482</v>
      </c>
      <c r="R990" s="1351" t="s">
        <v>1697</v>
      </c>
      <c r="S990" s="1348"/>
      <c r="T990" s="1351" t="str">
        <f t="shared" si="166"/>
        <v/>
      </c>
      <c r="U990" s="1348"/>
      <c r="V990" s="1348"/>
      <c r="W990" s="1348"/>
      <c r="X990" s="1348"/>
      <c r="Y990" s="1348"/>
      <c r="Z990" s="1348"/>
    </row>
    <row r="991" spans="1:26" x14ac:dyDescent="0.25">
      <c r="A991" s="876" t="s">
        <v>1397</v>
      </c>
      <c r="B991" s="852" t="str">
        <f t="shared" ca="1" si="167"/>
        <v>L311</v>
      </c>
      <c r="C991" s="852" t="str">
        <f t="shared" ca="1" si="168"/>
        <v>L312</v>
      </c>
      <c r="D991" s="852" t="s">
        <v>1350</v>
      </c>
      <c r="E991" s="852" t="s">
        <v>1517</v>
      </c>
      <c r="F991" s="1351" t="s">
        <v>1994</v>
      </c>
      <c r="G991" s="1351" t="str">
        <f>IF(T991&lt;&gt;"","H","")</f>
        <v/>
      </c>
      <c r="H991" s="1351" t="s">
        <v>1991</v>
      </c>
      <c r="I991" s="1307" t="str">
        <f t="shared" si="159"/>
        <v/>
      </c>
      <c r="J991" s="1351" t="str">
        <f t="shared" si="165"/>
        <v/>
      </c>
      <c r="K991" s="1351" t="str">
        <f t="shared" si="160"/>
        <v/>
      </c>
      <c r="L991" s="852" t="s">
        <v>1397</v>
      </c>
      <c r="M991" s="1366">
        <v>974</v>
      </c>
      <c r="N991" s="1351"/>
      <c r="O991" s="1348"/>
      <c r="P991" s="1348"/>
      <c r="Q991" s="1348"/>
      <c r="R991" s="1351" t="s">
        <v>1697</v>
      </c>
      <c r="S991" s="1348"/>
      <c r="T991" s="1351" t="str">
        <f t="shared" si="166"/>
        <v/>
      </c>
      <c r="U991" s="1348"/>
      <c r="V991" s="1348"/>
      <c r="W991" s="1348"/>
      <c r="X991" s="1348"/>
      <c r="Y991" s="1348"/>
      <c r="Z991" s="1348"/>
    </row>
    <row r="992" spans="1:26" x14ac:dyDescent="0.25">
      <c r="A992" s="876" t="s">
        <v>1382</v>
      </c>
      <c r="B992" s="852" t="str">
        <f t="shared" ca="1" si="167"/>
        <v>N311</v>
      </c>
      <c r="C992" s="852" t="str">
        <f t="shared" ca="1" si="168"/>
        <v>N312</v>
      </c>
      <c r="D992" s="852" t="s">
        <v>1350</v>
      </c>
      <c r="E992" s="852" t="s">
        <v>1517</v>
      </c>
      <c r="F992" s="1351" t="s">
        <v>1382</v>
      </c>
      <c r="G992" s="1351" t="str">
        <f>IF(T992&lt;&gt;"",IF(Q990="Credit Memo","J",IF(Q990="Check","K","")),"")</f>
        <v/>
      </c>
      <c r="H992" s="1351" t="s">
        <v>1991</v>
      </c>
      <c r="I992" s="1307" t="str">
        <f t="shared" si="159"/>
        <v/>
      </c>
      <c r="J992" s="1351" t="str">
        <f t="shared" si="165"/>
        <v/>
      </c>
      <c r="K992" s="1351" t="str">
        <f t="shared" si="160"/>
        <v/>
      </c>
      <c r="L992" s="852" t="s">
        <v>1382</v>
      </c>
      <c r="M992" s="1366">
        <v>975</v>
      </c>
      <c r="N992" s="1351"/>
      <c r="O992" s="1348"/>
      <c r="P992" s="1348"/>
      <c r="Q992" s="1348"/>
      <c r="R992" s="1351" t="s">
        <v>1697</v>
      </c>
      <c r="S992" s="1348"/>
      <c r="T992" s="1351" t="str">
        <f t="shared" si="166"/>
        <v/>
      </c>
      <c r="U992" s="1348"/>
      <c r="V992" s="1348"/>
      <c r="W992" s="1348"/>
      <c r="X992" s="1348"/>
      <c r="Y992" s="1348"/>
      <c r="Z992" s="1348"/>
    </row>
    <row r="993" spans="1:26" x14ac:dyDescent="0.25">
      <c r="A993" s="876" t="s">
        <v>1487</v>
      </c>
      <c r="B993" s="852" t="str">
        <f t="shared" ca="1" si="167"/>
        <v>P311</v>
      </c>
      <c r="C993" s="852" t="str">
        <f t="shared" ca="1" si="168"/>
        <v>P312</v>
      </c>
      <c r="D993" s="852" t="s">
        <v>1350</v>
      </c>
      <c r="E993" s="852" t="s">
        <v>1517</v>
      </c>
      <c r="F993" s="1351" t="s">
        <v>1995</v>
      </c>
      <c r="G993" s="1351" t="str">
        <f>IF(T993&lt;&gt;"","F","")</f>
        <v/>
      </c>
      <c r="H993" s="1351" t="s">
        <v>1991</v>
      </c>
      <c r="I993" s="1307" t="str">
        <f t="shared" si="159"/>
        <v/>
      </c>
      <c r="J993" s="1351" t="str">
        <f t="shared" si="165"/>
        <v/>
      </c>
      <c r="K993" s="1351" t="str">
        <f t="shared" si="160"/>
        <v/>
      </c>
      <c r="L993" s="852" t="s">
        <v>1487</v>
      </c>
      <c r="M993" s="1366">
        <v>976</v>
      </c>
      <c r="N993" s="1351"/>
      <c r="O993" s="1348"/>
      <c r="P993" s="1348"/>
      <c r="Q993" s="1348"/>
      <c r="R993" s="1351" t="s">
        <v>1697</v>
      </c>
      <c r="S993" s="1348"/>
      <c r="T993" s="1351" t="str">
        <f t="shared" si="166"/>
        <v/>
      </c>
      <c r="U993" s="1348"/>
      <c r="V993" s="1348"/>
      <c r="W993" s="1348"/>
      <c r="X993" s="1348"/>
      <c r="Y993" s="1348"/>
      <c r="Z993" s="1348"/>
    </row>
    <row r="994" spans="1:26" x14ac:dyDescent="0.25">
      <c r="A994" s="876" t="s">
        <v>1488</v>
      </c>
      <c r="B994" s="852" t="str">
        <f t="shared" ca="1" si="167"/>
        <v>R311</v>
      </c>
      <c r="C994" s="852" t="str">
        <f t="shared" ca="1" si="168"/>
        <v>R312</v>
      </c>
      <c r="D994" s="852" t="s">
        <v>1350</v>
      </c>
      <c r="E994" s="852" t="s">
        <v>1517</v>
      </c>
      <c r="F994" s="1351" t="s">
        <v>1996</v>
      </c>
      <c r="G994" s="1351" t="str">
        <f>IF(T994&lt;&gt;"","G","")</f>
        <v/>
      </c>
      <c r="H994" s="1351" t="s">
        <v>1991</v>
      </c>
      <c r="I994" s="1307" t="str">
        <f t="shared" si="159"/>
        <v/>
      </c>
      <c r="J994" s="1351" t="str">
        <f t="shared" si="165"/>
        <v/>
      </c>
      <c r="K994" s="1351" t="str">
        <f t="shared" si="160"/>
        <v/>
      </c>
      <c r="L994" s="852" t="s">
        <v>1488</v>
      </c>
      <c r="M994" s="1366">
        <v>977</v>
      </c>
      <c r="N994" s="1351"/>
      <c r="O994" s="1348"/>
      <c r="P994" s="1348"/>
      <c r="Q994" s="1348"/>
      <c r="R994" s="1351" t="s">
        <v>1697</v>
      </c>
      <c r="S994" s="1348"/>
      <c r="T994" s="1351" t="str">
        <f t="shared" si="166"/>
        <v/>
      </c>
      <c r="U994" s="1348"/>
      <c r="V994" s="1348"/>
      <c r="W994" s="1348"/>
      <c r="X994" s="1348"/>
      <c r="Y994" s="1348"/>
      <c r="Z994" s="1348"/>
    </row>
    <row r="995" spans="1:26" x14ac:dyDescent="0.25">
      <c r="A995" s="876" t="s">
        <v>1489</v>
      </c>
      <c r="B995" s="852" t="str">
        <f t="shared" ca="1" si="167"/>
        <v>T311</v>
      </c>
      <c r="C995" s="852" t="str">
        <f t="shared" ca="1" si="168"/>
        <v>T312</v>
      </c>
      <c r="D995" s="852" t="s">
        <v>1350</v>
      </c>
      <c r="E995" s="852" t="s">
        <v>1517</v>
      </c>
      <c r="F995" s="867" t="s">
        <v>1489</v>
      </c>
      <c r="G995" s="1351" t="str">
        <f>IF(T995&lt;&gt;"","AW","")</f>
        <v/>
      </c>
      <c r="H995" s="1351" t="s">
        <v>1991</v>
      </c>
      <c r="I995" s="1307" t="str">
        <f t="shared" si="159"/>
        <v/>
      </c>
      <c r="J995" s="1351" t="str">
        <f t="shared" si="165"/>
        <v/>
      </c>
      <c r="K995" s="1351" t="str">
        <f t="shared" si="160"/>
        <v/>
      </c>
      <c r="L995" s="852" t="s">
        <v>1489</v>
      </c>
      <c r="M995" s="1366">
        <v>978</v>
      </c>
      <c r="N995" s="1351"/>
      <c r="O995" s="1348"/>
      <c r="P995" s="1348"/>
      <c r="Q995" s="1348"/>
      <c r="R995" s="1351" t="s">
        <v>1697</v>
      </c>
      <c r="S995" s="1348"/>
      <c r="T995" s="1351" t="str">
        <f t="shared" si="166"/>
        <v/>
      </c>
      <c r="U995" s="1348"/>
      <c r="V995" s="1348"/>
      <c r="W995" s="1348"/>
      <c r="X995" s="1348"/>
      <c r="Y995" s="1348"/>
      <c r="Z995" s="134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51" t="s">
        <v>1385</v>
      </c>
      <c r="G996" s="1351" t="str">
        <f>IF(T996&lt;&gt;"","C","")</f>
        <v/>
      </c>
      <c r="H996" s="1351" t="s">
        <v>1991</v>
      </c>
      <c r="I996" s="1307" t="str">
        <f t="shared" si="159"/>
        <v/>
      </c>
      <c r="J996" s="1351"/>
      <c r="K996" s="1351" t="str">
        <f t="shared" si="160"/>
        <v/>
      </c>
      <c r="L996" s="852" t="s">
        <v>1385</v>
      </c>
      <c r="M996" s="1366">
        <v>979</v>
      </c>
      <c r="N996" s="1351"/>
      <c r="O996" s="1348"/>
      <c r="P996" s="1348"/>
      <c r="Q996" s="1348"/>
      <c r="R996" s="1351" t="s">
        <v>1697</v>
      </c>
      <c r="S996" s="1348"/>
      <c r="T996" s="1351" t="str">
        <f t="shared" si="166"/>
        <v/>
      </c>
      <c r="U996" s="1348"/>
      <c r="V996" s="1348"/>
      <c r="W996" s="1348"/>
      <c r="X996" s="1348"/>
      <c r="Y996" s="1348"/>
      <c r="Z996" s="134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51" t="s">
        <v>1386</v>
      </c>
      <c r="G997" s="1351" t="str">
        <f>IF(T997&lt;&gt;"","D","")</f>
        <v/>
      </c>
      <c r="H997" s="1351" t="s">
        <v>1991</v>
      </c>
      <c r="I997" s="1307" t="str">
        <f t="shared" si="159"/>
        <v/>
      </c>
      <c r="J997" s="1351"/>
      <c r="K997" s="1351" t="str">
        <f t="shared" si="160"/>
        <v/>
      </c>
      <c r="L997" s="852" t="s">
        <v>1386</v>
      </c>
      <c r="M997" s="1366">
        <v>980</v>
      </c>
      <c r="N997" s="1351"/>
      <c r="O997" s="1348"/>
      <c r="P997" s="1348"/>
      <c r="Q997" s="1348"/>
      <c r="R997" s="1351" t="s">
        <v>1697</v>
      </c>
      <c r="S997" s="1348"/>
      <c r="T997" s="1351" t="str">
        <f t="shared" si="166"/>
        <v/>
      </c>
      <c r="U997" s="1348"/>
      <c r="V997" s="1348"/>
      <c r="W997" s="1348"/>
      <c r="X997" s="1348"/>
      <c r="Y997" s="1348"/>
      <c r="Z997" s="134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51" t="s">
        <v>1496</v>
      </c>
      <c r="G998" s="1351" t="str">
        <f>IF(T998&lt;&gt;"","AN","")</f>
        <v/>
      </c>
      <c r="H998" s="1351" t="s">
        <v>1991</v>
      </c>
      <c r="I998" s="1307" t="str">
        <f t="shared" si="159"/>
        <v/>
      </c>
      <c r="J998" s="1351" t="str">
        <f t="shared" si="165"/>
        <v/>
      </c>
      <c r="K998" s="1351" t="str">
        <f t="shared" si="160"/>
        <v/>
      </c>
      <c r="L998" s="852" t="s">
        <v>1496</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1697</v>
      </c>
      <c r="S998" s="1348"/>
      <c r="T998" s="1351" t="str">
        <f t="shared" si="166"/>
        <v/>
      </c>
      <c r="U998" s="1348"/>
      <c r="V998" s="1348"/>
      <c r="W998" s="1348"/>
      <c r="X998" s="1348"/>
      <c r="Y998" s="1348"/>
      <c r="Z998" s="134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51" t="s">
        <v>1493</v>
      </c>
      <c r="G999" s="1351" t="str">
        <f>IF(T999&lt;&gt;"","AL","")</f>
        <v/>
      </c>
      <c r="H999" s="1351" t="s">
        <v>1991</v>
      </c>
      <c r="I999" s="1307" t="str">
        <f t="shared" si="159"/>
        <v/>
      </c>
      <c r="J999" s="1351" t="str">
        <f t="shared" si="165"/>
        <v/>
      </c>
      <c r="K999" s="1351" t="str">
        <f t="shared" si="160"/>
        <v/>
      </c>
      <c r="L999" s="852" t="s">
        <v>1493</v>
      </c>
      <c r="M999" s="1366">
        <v>982</v>
      </c>
      <c r="N999" s="1351"/>
      <c r="O999" s="1348"/>
      <c r="P999" s="1348"/>
      <c r="Q999" s="1348"/>
      <c r="R999" s="1351" t="s">
        <v>1697</v>
      </c>
      <c r="S999" s="1348"/>
      <c r="T999" s="1351" t="str">
        <f t="shared" si="166"/>
        <v/>
      </c>
      <c r="U999" s="1348"/>
      <c r="V999" s="1348"/>
      <c r="W999" s="1348"/>
      <c r="X999" s="1348"/>
      <c r="Y999" s="1348"/>
      <c r="Z999" s="134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51" t="s">
        <v>1997</v>
      </c>
      <c r="G1000" s="1351" t="str">
        <f>IF(T1000&lt;&gt;"","L","")</f>
        <v/>
      </c>
      <c r="H1000" s="1351" t="s">
        <v>1991</v>
      </c>
      <c r="I1000" s="1307" t="str">
        <f t="shared" si="159"/>
        <v/>
      </c>
      <c r="J1000" s="1351" t="str">
        <f t="shared" si="165"/>
        <v/>
      </c>
      <c r="K1000" s="1351" t="str">
        <f t="shared" si="160"/>
        <v/>
      </c>
      <c r="L1000" s="852" t="s">
        <v>1507</v>
      </c>
      <c r="M1000" s="1366">
        <v>983</v>
      </c>
      <c r="N1000" s="1351"/>
      <c r="O1000" s="1348"/>
      <c r="P1000" s="1348"/>
      <c r="Q1000" s="1348"/>
      <c r="R1000" s="1351" t="s">
        <v>1697</v>
      </c>
      <c r="S1000" s="1348"/>
      <c r="T1000" s="1351" t="str">
        <f t="shared" si="166"/>
        <v/>
      </c>
      <c r="U1000" s="1348"/>
      <c r="V1000" s="1348"/>
      <c r="W1000" s="1348"/>
      <c r="X1000" s="1348"/>
      <c r="Y1000" s="1348"/>
      <c r="Z1000" s="134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51" t="str">
        <f>IF(T1001&lt;&gt;"","AH","")</f>
        <v/>
      </c>
      <c r="H1001" s="1351" t="s">
        <v>1991</v>
      </c>
      <c r="I1001" s="1307" t="str">
        <f t="shared" si="159"/>
        <v/>
      </c>
      <c r="J1001" s="1351" t="str">
        <f t="shared" si="165"/>
        <v/>
      </c>
      <c r="K1001" s="1351" t="str">
        <f t="shared" si="160"/>
        <v/>
      </c>
      <c r="L1001" s="852" t="s">
        <v>1387</v>
      </c>
      <c r="M1001" s="1366">
        <v>984</v>
      </c>
      <c r="N1001" s="1351"/>
      <c r="O1001" s="1348"/>
      <c r="P1001" s="1348"/>
      <c r="Q1001" s="1348"/>
      <c r="R1001" s="1351" t="s">
        <v>1697</v>
      </c>
      <c r="S1001" s="1348"/>
      <c r="T1001" s="1351" t="str">
        <f t="shared" si="166"/>
        <v/>
      </c>
      <c r="U1001" s="1348"/>
      <c r="V1001" s="1348"/>
      <c r="W1001" s="1348"/>
      <c r="X1001" s="1348"/>
      <c r="Y1001" s="1348"/>
      <c r="Z1001" s="134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51"/>
      <c r="H1002" s="1351"/>
      <c r="I1002" s="1307" t="str">
        <f t="shared" si="159"/>
        <v/>
      </c>
      <c r="J1002" s="1351"/>
      <c r="K1002" s="1351" t="str">
        <f t="shared" si="160"/>
        <v/>
      </c>
      <c r="L1002" s="852" t="s">
        <v>1388</v>
      </c>
      <c r="M1002" s="1366">
        <v>985</v>
      </c>
      <c r="N1002" s="1351"/>
      <c r="O1002" s="1348"/>
      <c r="P1002" s="1348"/>
      <c r="Q1002" s="1348"/>
      <c r="R1002" s="1351" t="s">
        <v>1697</v>
      </c>
      <c r="S1002" s="1348"/>
      <c r="T1002" s="1351" t="str">
        <f t="shared" si="166"/>
        <v/>
      </c>
      <c r="U1002" s="1348"/>
      <c r="V1002" s="1348"/>
      <c r="W1002" s="1348"/>
      <c r="X1002" s="1348"/>
      <c r="Y1002" s="1348"/>
      <c r="Z1002" s="134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51" t="s">
        <v>1913</v>
      </c>
      <c r="G1003" s="1351" t="str">
        <f>IF(T1003&lt;&gt;"","AI","")</f>
        <v/>
      </c>
      <c r="H1003" s="1351" t="s">
        <v>1991</v>
      </c>
      <c r="I1003" s="1307" t="str">
        <f t="shared" si="159"/>
        <v/>
      </c>
      <c r="J1003" s="1351"/>
      <c r="K1003" s="1351" t="str">
        <f t="shared" si="160"/>
        <v/>
      </c>
      <c r="L1003" s="852" t="s">
        <v>1389</v>
      </c>
      <c r="M1003" s="1366">
        <v>986</v>
      </c>
      <c r="N1003" s="1351"/>
      <c r="O1003" s="1348"/>
      <c r="P1003" s="1348"/>
      <c r="Q1003" s="1348"/>
      <c r="R1003" s="1351" t="s">
        <v>1697</v>
      </c>
      <c r="S1003" s="1348"/>
      <c r="T1003" s="1351" t="str">
        <f t="shared" si="166"/>
        <v/>
      </c>
      <c r="U1003" s="1348"/>
      <c r="V1003" s="1348"/>
      <c r="W1003" s="1348"/>
      <c r="X1003" s="1348"/>
      <c r="Y1003" s="1348"/>
      <c r="Z1003" s="134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51" t="s">
        <v>1492</v>
      </c>
      <c r="G1004" s="1351" t="str">
        <f>IF(T1004&lt;&gt;"","A","")</f>
        <v/>
      </c>
      <c r="H1004" s="1351" t="s">
        <v>1991</v>
      </c>
      <c r="I1004" s="1307" t="str">
        <f t="shared" si="159"/>
        <v/>
      </c>
      <c r="J1004" s="1351"/>
      <c r="K1004" s="1351" t="str">
        <f t="shared" si="160"/>
        <v/>
      </c>
      <c r="L1004" s="852" t="s">
        <v>1492</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51"/>
      <c r="G1005" s="1351"/>
      <c r="H1005" s="1351"/>
      <c r="I1005" s="1307" t="str">
        <f t="shared" si="159"/>
        <v/>
      </c>
      <c r="J1005" s="1351" t="str">
        <f t="shared" ref="J1005:J1014" si="169">IF(M1005&lt;&gt;"",IF($Q$1005="Yes",Q$1&amp;M1005,""))</f>
        <v/>
      </c>
      <c r="K1005" s="1351" t="str">
        <f t="shared" si="160"/>
        <v/>
      </c>
      <c r="L1005" s="852" t="s">
        <v>1706</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51" t="s">
        <v>1383</v>
      </c>
      <c r="G1006" s="1351" t="str">
        <f>IF(T1006&lt;&gt;"","B","")</f>
        <v/>
      </c>
      <c r="H1006" s="1351" t="s">
        <v>1991</v>
      </c>
      <c r="I1006" s="1307" t="str">
        <f t="shared" si="159"/>
        <v/>
      </c>
      <c r="J1006" s="1351"/>
      <c r="K1006" s="1351" t="str">
        <f t="shared" si="160"/>
        <v/>
      </c>
      <c r="L1006" s="852"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51" t="s">
        <v>1993</v>
      </c>
      <c r="G1007" s="1351" t="str">
        <f>IF(T1007&lt;&gt;"","I","")</f>
        <v/>
      </c>
      <c r="H1007" s="1351" t="s">
        <v>1991</v>
      </c>
      <c r="I1007" s="1307" t="str">
        <f t="shared" si="159"/>
        <v/>
      </c>
      <c r="J1007" s="1351" t="str">
        <f t="shared" si="169"/>
        <v/>
      </c>
      <c r="K1007" s="1351" t="str">
        <f t="shared" si="160"/>
        <v/>
      </c>
      <c r="L1007" s="852"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51" t="s">
        <v>1994</v>
      </c>
      <c r="G1008" s="1351" t="str">
        <f>IF(T1008&lt;&gt;"","H","")</f>
        <v/>
      </c>
      <c r="H1008" s="1351" t="s">
        <v>1991</v>
      </c>
      <c r="I1008" s="1307" t="str">
        <f t="shared" si="159"/>
        <v/>
      </c>
      <c r="J1008" s="1351" t="str">
        <f t="shared" si="169"/>
        <v/>
      </c>
      <c r="K1008" s="1351" t="str">
        <f t="shared" si="160"/>
        <v/>
      </c>
      <c r="L1008" s="852" t="s">
        <v>1397</v>
      </c>
      <c r="M1008" s="1366">
        <v>991</v>
      </c>
      <c r="N1008" s="1351"/>
      <c r="O1008" s="1348" t="s">
        <v>1651</v>
      </c>
      <c r="P1008" s="1348"/>
      <c r="Q1008" s="1348"/>
      <c r="R1008" s="1351" t="s">
        <v>481</v>
      </c>
      <c r="S1008" s="1348"/>
      <c r="T1008" s="1351" t="str">
        <f t="shared" si="170"/>
        <v/>
      </c>
      <c r="U1008" s="1348"/>
      <c r="V1008" s="1348"/>
      <c r="W1008" s="1348"/>
      <c r="X1008" s="1348"/>
      <c r="Y1008" s="1348"/>
      <c r="Z1008" s="134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51" t="s">
        <v>1382</v>
      </c>
      <c r="G1009" s="1351" t="str">
        <f>IF(T1009&lt;&gt;"",IF(Q1007="Credit Memo","J",IF(Q1007="Check","K","")),"")</f>
        <v/>
      </c>
      <c r="H1009" s="1351" t="s">
        <v>1991</v>
      </c>
      <c r="I1009" s="1307" t="str">
        <f t="shared" si="159"/>
        <v/>
      </c>
      <c r="J1009" s="1351" t="str">
        <f t="shared" si="169"/>
        <v/>
      </c>
      <c r="K1009" s="1351" t="str">
        <f t="shared" si="160"/>
        <v/>
      </c>
      <c r="L1009" s="852"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51" t="s">
        <v>1385</v>
      </c>
      <c r="G1010" s="1351" t="str">
        <f>IF(T1010&lt;&gt;"","C","")</f>
        <v/>
      </c>
      <c r="H1010" s="1351" t="s">
        <v>1991</v>
      </c>
      <c r="I1010" s="1307" t="str">
        <f t="shared" si="159"/>
        <v/>
      </c>
      <c r="J1010" s="1351"/>
      <c r="K1010" s="1351" t="str">
        <f t="shared" si="160"/>
        <v/>
      </c>
      <c r="L1010" s="852"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51" t="s">
        <v>1386</v>
      </c>
      <c r="G1011" s="1351" t="str">
        <f>IF(T1011&lt;&gt;"","D","")</f>
        <v/>
      </c>
      <c r="H1011" s="1351" t="s">
        <v>1991</v>
      </c>
      <c r="I1011" s="1307" t="str">
        <f t="shared" si="159"/>
        <v/>
      </c>
      <c r="J1011" s="1351"/>
      <c r="K1011" s="1351" t="str">
        <f t="shared" si="160"/>
        <v/>
      </c>
      <c r="L1011" s="852"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51" t="s">
        <v>1496</v>
      </c>
      <c r="G1012" s="1351" t="str">
        <f>IF(T1012&lt;&gt;"","AN","")</f>
        <v/>
      </c>
      <c r="H1012" s="1351" t="s">
        <v>1991</v>
      </c>
      <c r="I1012" s="1307" t="str">
        <f t="shared" si="159"/>
        <v/>
      </c>
      <c r="J1012" s="1351" t="str">
        <f t="shared" si="169"/>
        <v/>
      </c>
      <c r="K1012" s="1351" t="str">
        <f t="shared" si="160"/>
        <v/>
      </c>
      <c r="L1012" s="852" t="s">
        <v>1496</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51" t="s">
        <v>1493</v>
      </c>
      <c r="G1013" s="1351" t="str">
        <f>IF(T1013&lt;&gt;"","AL","")</f>
        <v/>
      </c>
      <c r="H1013" s="1351" t="s">
        <v>1991</v>
      </c>
      <c r="I1013" s="1307" t="str">
        <f t="shared" si="159"/>
        <v/>
      </c>
      <c r="J1013" s="1351" t="str">
        <f t="shared" si="169"/>
        <v/>
      </c>
      <c r="K1013" s="1351" t="str">
        <f t="shared" si="160"/>
        <v/>
      </c>
      <c r="L1013" s="852" t="s">
        <v>1493</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51" t="s">
        <v>1396</v>
      </c>
      <c r="G1014" s="1390" t="str">
        <f>IF(T1014&lt;&gt;"","S","")</f>
        <v/>
      </c>
      <c r="H1014" s="1351" t="s">
        <v>1991</v>
      </c>
      <c r="I1014" s="1307" t="str">
        <f t="shared" si="159"/>
        <v/>
      </c>
      <c r="J1014" s="1351" t="str">
        <f t="shared" si="169"/>
        <v/>
      </c>
      <c r="K1014" s="1351" t="str">
        <f t="shared" si="160"/>
        <v/>
      </c>
      <c r="L1014" s="852"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51" t="s">
        <v>1492</v>
      </c>
      <c r="G1015" s="1351" t="str">
        <f>IF(T1015&lt;&gt;"","A","")</f>
        <v/>
      </c>
      <c r="H1015" s="1351" t="s">
        <v>1991</v>
      </c>
      <c r="I1015" s="1307" t="str">
        <f t="shared" si="159"/>
        <v/>
      </c>
      <c r="J1015" s="1351"/>
      <c r="K1015" s="1351" t="str">
        <f t="shared" si="160"/>
        <v/>
      </c>
      <c r="L1015" s="852" t="s">
        <v>1492</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51"/>
      <c r="G1016" s="1351"/>
      <c r="H1016" s="1351"/>
      <c r="I1016" s="1307" t="str">
        <f t="shared" si="159"/>
        <v/>
      </c>
      <c r="J1016" s="1351" t="str">
        <f t="shared" ref="J1016:J1025" si="171">IF(M1016&lt;&gt;"",IF($Q$1016="Yes",Q$1&amp;M1016,""))</f>
        <v/>
      </c>
      <c r="K1016" s="1351" t="str">
        <f t="shared" si="160"/>
        <v/>
      </c>
      <c r="L1016" s="852" t="s">
        <v>1706</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51" t="s">
        <v>1383</v>
      </c>
      <c r="G1017" s="1351" t="str">
        <f>IF(T1017&lt;&gt;"","B","")</f>
        <v/>
      </c>
      <c r="H1017" s="1351" t="s">
        <v>1991</v>
      </c>
      <c r="I1017" s="1307" t="str">
        <f t="shared" si="159"/>
        <v/>
      </c>
      <c r="J1017" s="1351"/>
      <c r="K1017" s="1351" t="str">
        <f t="shared" si="160"/>
        <v/>
      </c>
      <c r="L1017" s="852"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51" t="s">
        <v>1993</v>
      </c>
      <c r="G1018" s="1351" t="str">
        <f>IF(T1018&lt;&gt;"","I","")</f>
        <v/>
      </c>
      <c r="H1018" s="1351" t="s">
        <v>1991</v>
      </c>
      <c r="I1018" s="1307" t="str">
        <f t="shared" si="159"/>
        <v/>
      </c>
      <c r="J1018" s="1351" t="str">
        <f t="shared" si="171"/>
        <v/>
      </c>
      <c r="K1018" s="1351" t="str">
        <f t="shared" si="160"/>
        <v/>
      </c>
      <c r="L1018" s="852"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51" t="s">
        <v>1994</v>
      </c>
      <c r="G1019" s="1351" t="str">
        <f>IF(T1019&lt;&gt;"","H","")</f>
        <v/>
      </c>
      <c r="H1019" s="1351" t="s">
        <v>1991</v>
      </c>
      <c r="I1019" s="1307" t="str">
        <f t="shared" si="159"/>
        <v/>
      </c>
      <c r="J1019" s="1351" t="str">
        <f t="shared" si="171"/>
        <v/>
      </c>
      <c r="K1019" s="1351" t="str">
        <f t="shared" si="160"/>
        <v/>
      </c>
      <c r="L1019" s="852" t="s">
        <v>1397</v>
      </c>
      <c r="M1019" s="1366">
        <v>1002</v>
      </c>
      <c r="N1019" s="1351"/>
      <c r="O1019" s="1348" t="s">
        <v>1652</v>
      </c>
      <c r="P1019" s="1348"/>
      <c r="Q1019" s="1348"/>
      <c r="R1019" s="1351" t="s">
        <v>481</v>
      </c>
      <c r="S1019" s="1348"/>
      <c r="T1019" s="1351" t="str">
        <f t="shared" si="172"/>
        <v/>
      </c>
      <c r="U1019" s="1348"/>
      <c r="V1019" s="1348"/>
      <c r="W1019" s="1348"/>
      <c r="X1019" s="1348"/>
      <c r="Y1019" s="1348"/>
      <c r="Z1019" s="134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51" t="s">
        <v>1382</v>
      </c>
      <c r="G1020" s="1351" t="str">
        <f>IF(T1020&lt;&gt;"",IF(Q1018="Credit Memo","J",IF(Q1018="Check","K","")),"")</f>
        <v/>
      </c>
      <c r="H1020" s="1351" t="s">
        <v>1991</v>
      </c>
      <c r="I1020" s="1307" t="str">
        <f t="shared" si="159"/>
        <v/>
      </c>
      <c r="J1020" s="1351" t="str">
        <f t="shared" si="171"/>
        <v/>
      </c>
      <c r="K1020" s="1351" t="str">
        <f t="shared" si="160"/>
        <v/>
      </c>
      <c r="L1020" s="852"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51" t="s">
        <v>1385</v>
      </c>
      <c r="G1021" s="1351" t="str">
        <f>IF(T1021&lt;&gt;"","C","")</f>
        <v/>
      </c>
      <c r="H1021" s="1351" t="s">
        <v>1991</v>
      </c>
      <c r="I1021" s="1307" t="str">
        <f t="shared" si="159"/>
        <v/>
      </c>
      <c r="J1021" s="1351"/>
      <c r="K1021" s="1351" t="str">
        <f t="shared" si="160"/>
        <v/>
      </c>
      <c r="L1021" s="852"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51" t="s">
        <v>1386</v>
      </c>
      <c r="G1022" s="1351" t="str">
        <f>IF(T1022&lt;&gt;"","D","")</f>
        <v/>
      </c>
      <c r="H1022" s="1351" t="s">
        <v>1991</v>
      </c>
      <c r="I1022" s="1307" t="str">
        <f t="shared" si="159"/>
        <v/>
      </c>
      <c r="J1022" s="1351"/>
      <c r="K1022" s="1351" t="str">
        <f t="shared" si="160"/>
        <v/>
      </c>
      <c r="L1022" s="852"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51" t="s">
        <v>1496</v>
      </c>
      <c r="G1023" s="1351" t="str">
        <f>IF(T1023&lt;&gt;"","AN","")</f>
        <v/>
      </c>
      <c r="H1023" s="1351" t="s">
        <v>1991</v>
      </c>
      <c r="I1023" s="1307" t="str">
        <f t="shared" si="159"/>
        <v/>
      </c>
      <c r="J1023" s="1351" t="str">
        <f t="shared" si="171"/>
        <v/>
      </c>
      <c r="K1023" s="1351" t="str">
        <f t="shared" si="160"/>
        <v/>
      </c>
      <c r="L1023" s="852" t="s">
        <v>1496</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51" t="s">
        <v>1493</v>
      </c>
      <c r="G1024" s="1351" t="str">
        <f>IF(T1024&lt;&gt;"","AL","")</f>
        <v/>
      </c>
      <c r="H1024" s="1351" t="s">
        <v>1991</v>
      </c>
      <c r="I1024" s="1307" t="str">
        <f t="shared" si="159"/>
        <v/>
      </c>
      <c r="J1024" s="1351" t="str">
        <f t="shared" si="171"/>
        <v/>
      </c>
      <c r="K1024" s="1351" t="str">
        <f t="shared" si="160"/>
        <v/>
      </c>
      <c r="L1024" s="852" t="s">
        <v>1493</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390" t="s">
        <v>1396</v>
      </c>
      <c r="G1025" s="1390" t="str">
        <f>IF(T1025&lt;&gt;"","S","")</f>
        <v/>
      </c>
      <c r="H1025" s="1390" t="s">
        <v>1991</v>
      </c>
      <c r="I1025" s="1307" t="str">
        <f t="shared" si="159"/>
        <v/>
      </c>
      <c r="J1025" s="1351" t="str">
        <f t="shared" si="171"/>
        <v/>
      </c>
      <c r="K1025" s="1351" t="str">
        <f t="shared" si="160"/>
        <v/>
      </c>
      <c r="L1025" s="852"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51" t="s">
        <v>1492</v>
      </c>
      <c r="G1026" s="1351" t="str">
        <f>IF(T1026&lt;&gt;"","A","")</f>
        <v/>
      </c>
      <c r="H1026" s="1351" t="s">
        <v>1991</v>
      </c>
      <c r="I1026" s="1307" t="str">
        <f t="shared" si="159"/>
        <v/>
      </c>
      <c r="J1026" s="1351"/>
      <c r="K1026" s="1351" t="str">
        <f t="shared" si="160"/>
        <v/>
      </c>
      <c r="L1026" s="852" t="s">
        <v>1492</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51"/>
      <c r="G1027" s="1351"/>
      <c r="H1027" s="1351"/>
      <c r="I1027" s="1307" t="str">
        <f t="shared" si="159"/>
        <v/>
      </c>
      <c r="J1027" s="1351" t="str">
        <f>IF(M1027&lt;&gt;"",IF($Q$1027="Yes",Q$1&amp;M1027,""))</f>
        <v/>
      </c>
      <c r="K1027" s="1351" t="str">
        <f t="shared" si="160"/>
        <v/>
      </c>
      <c r="L1027" s="852" t="s">
        <v>1706</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51" t="s">
        <v>1383</v>
      </c>
      <c r="G1028" s="1351" t="str">
        <f>IF(T1028&lt;&gt;"","B","")</f>
        <v/>
      </c>
      <c r="H1028" s="1351" t="s">
        <v>1991</v>
      </c>
      <c r="I1028" s="1307" t="str">
        <f t="shared" ref="I1028:I1091" si="174">IF(J1028&lt;&gt;"",A1028,"")</f>
        <v/>
      </c>
      <c r="J1028" s="1351"/>
      <c r="K1028" s="1351" t="str">
        <f t="shared" ref="K1028:K1091" si="175">IF(J1028&lt;&gt;"",E1028,"")</f>
        <v/>
      </c>
      <c r="L1028" s="852"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51" t="s">
        <v>1993</v>
      </c>
      <c r="G1029" s="1351" t="str">
        <f>IF(T1029&lt;&gt;"","I","")</f>
        <v/>
      </c>
      <c r="H1029" s="1351" t="s">
        <v>1991</v>
      </c>
      <c r="I1029" s="1307" t="str">
        <f t="shared" si="174"/>
        <v/>
      </c>
      <c r="J1029" s="1351" t="str">
        <f>IF(M1029&lt;&gt;"",IF($Q$1027="Yes",Q$1&amp;M1029,""))</f>
        <v/>
      </c>
      <c r="K1029" s="1351" t="str">
        <f t="shared" si="175"/>
        <v/>
      </c>
      <c r="L1029" s="852"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51" t="s">
        <v>1994</v>
      </c>
      <c r="G1030" s="1351" t="str">
        <f>IF(T1030&lt;&gt;"","H","")</f>
        <v/>
      </c>
      <c r="H1030" s="1351" t="s">
        <v>1991</v>
      </c>
      <c r="I1030" s="1307" t="str">
        <f t="shared" si="174"/>
        <v/>
      </c>
      <c r="J1030" s="1351" t="str">
        <f>IF(M1030&lt;&gt;"",IF($Q$1027="Yes",Q$1&amp;M1030,""))</f>
        <v/>
      </c>
      <c r="K1030" s="1351" t="str">
        <f t="shared" si="175"/>
        <v/>
      </c>
      <c r="L1030" s="852" t="s">
        <v>1397</v>
      </c>
      <c r="M1030" s="1366">
        <v>1013</v>
      </c>
      <c r="N1030" s="1351"/>
      <c r="O1030" s="1348" t="s">
        <v>1653</v>
      </c>
      <c r="P1030" s="1348"/>
      <c r="Q1030" s="1348"/>
      <c r="R1030" s="1351" t="s">
        <v>481</v>
      </c>
      <c r="S1030" s="1348"/>
      <c r="T1030" s="1351" t="str">
        <f t="shared" si="173"/>
        <v/>
      </c>
      <c r="U1030" s="1348"/>
      <c r="V1030" s="1348"/>
      <c r="W1030" s="1348"/>
      <c r="X1030" s="1348"/>
      <c r="Y1030" s="1348"/>
      <c r="Z1030" s="134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51" t="s">
        <v>1382</v>
      </c>
      <c r="G1031" s="1351" t="str">
        <f>IF(T1031&lt;&gt;"",IF(Q1029="Credit Memo","J",IF(Q1029="Check","K","")),"")</f>
        <v/>
      </c>
      <c r="H1031" s="1351" t="s">
        <v>1991</v>
      </c>
      <c r="I1031" s="1307" t="str">
        <f t="shared" si="174"/>
        <v/>
      </c>
      <c r="J1031" s="1351" t="str">
        <f>IF(M1031&lt;&gt;"",IF($Q$1027="Yes",Q$1&amp;M1031,""))</f>
        <v/>
      </c>
      <c r="K1031" s="1351" t="str">
        <f t="shared" si="175"/>
        <v/>
      </c>
      <c r="L1031" s="852"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51" t="s">
        <v>1385</v>
      </c>
      <c r="G1032" s="1351" t="str">
        <f>IF(T1032&lt;&gt;"","C","")</f>
        <v/>
      </c>
      <c r="H1032" s="1351" t="s">
        <v>1991</v>
      </c>
      <c r="I1032" s="1307" t="str">
        <f t="shared" si="174"/>
        <v/>
      </c>
      <c r="J1032" s="1351"/>
      <c r="K1032" s="1351" t="str">
        <f t="shared" si="175"/>
        <v/>
      </c>
      <c r="L1032" s="852"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51" t="s">
        <v>1386</v>
      </c>
      <c r="G1033" s="1351" t="str">
        <f>IF(T1033&lt;&gt;"","D","")</f>
        <v/>
      </c>
      <c r="H1033" s="1351" t="s">
        <v>1991</v>
      </c>
      <c r="I1033" s="1307" t="str">
        <f t="shared" si="174"/>
        <v/>
      </c>
      <c r="J1033" s="1351"/>
      <c r="K1033" s="1351" t="str">
        <f t="shared" si="175"/>
        <v/>
      </c>
      <c r="L1033" s="852"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51" t="s">
        <v>1496</v>
      </c>
      <c r="G1034" s="1351" t="str">
        <f>IF(T1034&lt;&gt;"","AN","")</f>
        <v/>
      </c>
      <c r="H1034" s="1351" t="s">
        <v>1991</v>
      </c>
      <c r="I1034" s="1307" t="str">
        <f t="shared" si="174"/>
        <v/>
      </c>
      <c r="J1034" s="1351" t="str">
        <f>IF(M1034&lt;&gt;"",IF($Q$1027="Yes",Q$1&amp;M1034,""))</f>
        <v/>
      </c>
      <c r="K1034" s="1351" t="str">
        <f t="shared" si="175"/>
        <v/>
      </c>
      <c r="L1034" s="852" t="s">
        <v>1496</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51" t="s">
        <v>1493</v>
      </c>
      <c r="G1035" s="1351" t="str">
        <f>IF(T1035&lt;&gt;"","AL","")</f>
        <v/>
      </c>
      <c r="H1035" s="1351" t="s">
        <v>1991</v>
      </c>
      <c r="I1035" s="1307" t="str">
        <f t="shared" si="174"/>
        <v/>
      </c>
      <c r="J1035" s="1351" t="str">
        <f>IF(M1035&lt;&gt;"",IF($Q$1027="Yes",Q$1&amp;M1035,""))</f>
        <v/>
      </c>
      <c r="K1035" s="1351" t="str">
        <f t="shared" si="175"/>
        <v/>
      </c>
      <c r="L1035" s="852" t="s">
        <v>1493</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390" t="s">
        <v>1396</v>
      </c>
      <c r="G1036" s="1390" t="str">
        <f>IF(T1036&lt;&gt;"","S","")</f>
        <v/>
      </c>
      <c r="H1036" s="1390" t="s">
        <v>1991</v>
      </c>
      <c r="I1036" s="1307" t="str">
        <f t="shared" si="174"/>
        <v/>
      </c>
      <c r="J1036" s="1351" t="str">
        <f>IF(M1036&lt;&gt;"",IF($Q$1027="Yes",Q$1&amp;M1036,""))</f>
        <v/>
      </c>
      <c r="K1036" s="1351" t="str">
        <f t="shared" si="175"/>
        <v/>
      </c>
      <c r="L1036" s="852"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51" t="s">
        <v>1492</v>
      </c>
      <c r="G1037" s="1351" t="str">
        <f>IF(T1037&lt;&gt;"","A","")</f>
        <v/>
      </c>
      <c r="H1037" s="1351" t="s">
        <v>1991</v>
      </c>
      <c r="I1037" s="1307" t="str">
        <f t="shared" si="174"/>
        <v/>
      </c>
      <c r="J1037" s="1351"/>
      <c r="K1037" s="1351" t="str">
        <f t="shared" si="175"/>
        <v/>
      </c>
      <c r="L1037" s="852" t="s">
        <v>1492</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51"/>
      <c r="G1038" s="1351"/>
      <c r="H1038" s="1351"/>
      <c r="I1038" s="1307" t="str">
        <f t="shared" si="174"/>
        <v/>
      </c>
      <c r="J1038" s="1351" t="str">
        <f t="shared" ref="J1038:J1049" si="176">IF(M1038&lt;&gt;"",IF($Q$1038="Yes",Q$1&amp;M1038,""))</f>
        <v/>
      </c>
      <c r="K1038" s="1351" t="str">
        <f t="shared" si="175"/>
        <v/>
      </c>
      <c r="L1038" s="852" t="s">
        <v>1706</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51" t="s">
        <v>1383</v>
      </c>
      <c r="G1039" s="1351" t="str">
        <f>IF(T1039&lt;&gt;"","B","")</f>
        <v/>
      </c>
      <c r="H1039" s="1351" t="s">
        <v>1991</v>
      </c>
      <c r="I1039" s="1307" t="str">
        <f t="shared" si="174"/>
        <v/>
      </c>
      <c r="J1039" s="1351"/>
      <c r="K1039" s="1351" t="str">
        <f t="shared" si="175"/>
        <v/>
      </c>
      <c r="L1039" s="852"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51" t="s">
        <v>1993</v>
      </c>
      <c r="G1040" s="1351" t="str">
        <f>IF(T1040&lt;&gt;"","I","")</f>
        <v/>
      </c>
      <c r="H1040" s="1351" t="s">
        <v>1991</v>
      </c>
      <c r="I1040" s="1307" t="str">
        <f t="shared" si="174"/>
        <v/>
      </c>
      <c r="J1040" s="1351" t="str">
        <f t="shared" si="176"/>
        <v/>
      </c>
      <c r="K1040" s="1351" t="str">
        <f t="shared" si="175"/>
        <v/>
      </c>
      <c r="L1040" s="852"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6" t="s">
        <v>1397</v>
      </c>
      <c r="B1041" s="852" t="str">
        <f t="shared" ca="1" si="178"/>
        <v>L367</v>
      </c>
      <c r="C1041" s="852" t="str">
        <f t="shared" ca="1" si="179"/>
        <v>L368</v>
      </c>
      <c r="D1041" s="852" t="s">
        <v>1350</v>
      </c>
      <c r="E1041" s="852" t="s">
        <v>1517</v>
      </c>
      <c r="F1041" s="1351" t="s">
        <v>1994</v>
      </c>
      <c r="G1041" s="1351" t="str">
        <f>IF(T1041&lt;&gt;"","H","")</f>
        <v/>
      </c>
      <c r="H1041" s="1351" t="s">
        <v>1991</v>
      </c>
      <c r="I1041" s="1307" t="str">
        <f t="shared" si="174"/>
        <v/>
      </c>
      <c r="J1041" s="1351" t="str">
        <f t="shared" si="176"/>
        <v/>
      </c>
      <c r="K1041" s="1351" t="str">
        <f t="shared" si="175"/>
        <v/>
      </c>
      <c r="L1041" s="852" t="s">
        <v>1397</v>
      </c>
      <c r="M1041" s="1366">
        <v>1024</v>
      </c>
      <c r="N1041" s="1351"/>
      <c r="O1041" s="1348" t="s">
        <v>1654</v>
      </c>
      <c r="P1041" s="1348"/>
      <c r="Q1041" s="1348"/>
      <c r="R1041" s="1351" t="s">
        <v>1136</v>
      </c>
      <c r="S1041" s="1348"/>
      <c r="T1041" s="1351" t="str">
        <f t="shared" si="177"/>
        <v/>
      </c>
      <c r="U1041" s="1348"/>
      <c r="V1041" s="1348"/>
      <c r="W1041" s="1348"/>
      <c r="X1041" s="1348"/>
      <c r="Y1041" s="1348"/>
      <c r="Z1041" s="1348"/>
    </row>
    <row r="1042" spans="1:26" x14ac:dyDescent="0.25">
      <c r="A1042" s="876" t="s">
        <v>1382</v>
      </c>
      <c r="B1042" s="852" t="str">
        <f t="shared" ca="1" si="178"/>
        <v>N367</v>
      </c>
      <c r="C1042" s="852" t="str">
        <f t="shared" ca="1" si="179"/>
        <v>N368</v>
      </c>
      <c r="D1042" s="852" t="s">
        <v>1350</v>
      </c>
      <c r="E1042" s="852" t="s">
        <v>1517</v>
      </c>
      <c r="F1042" s="1351" t="s">
        <v>1382</v>
      </c>
      <c r="G1042" s="1351" t="str">
        <f>IF(T1042&lt;&gt;"",IF(Q1040="Credit Memo","J",IF(Q1040="Check","K","")),"")</f>
        <v/>
      </c>
      <c r="H1042" s="1351" t="s">
        <v>1991</v>
      </c>
      <c r="I1042" s="1307" t="str">
        <f t="shared" si="174"/>
        <v/>
      </c>
      <c r="J1042" s="1351" t="str">
        <f t="shared" si="176"/>
        <v/>
      </c>
      <c r="K1042" s="1351" t="str">
        <f t="shared" si="175"/>
        <v/>
      </c>
      <c r="L1042" s="852"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6" t="s">
        <v>1487</v>
      </c>
      <c r="B1043" s="852" t="str">
        <f t="shared" ca="1" si="178"/>
        <v>P367</v>
      </c>
      <c r="C1043" s="852" t="str">
        <f t="shared" ca="1" si="179"/>
        <v>P368</v>
      </c>
      <c r="D1043" s="852" t="s">
        <v>1350</v>
      </c>
      <c r="E1043" s="852" t="s">
        <v>1517</v>
      </c>
      <c r="F1043" s="1351" t="s">
        <v>1995</v>
      </c>
      <c r="G1043" s="1351" t="str">
        <f>IF(T1043&lt;&gt;"","F","")</f>
        <v/>
      </c>
      <c r="H1043" s="1351" t="s">
        <v>1991</v>
      </c>
      <c r="I1043" s="1307" t="str">
        <f t="shared" si="174"/>
        <v/>
      </c>
      <c r="J1043" s="1351" t="str">
        <f t="shared" si="176"/>
        <v/>
      </c>
      <c r="K1043" s="1351" t="str">
        <f t="shared" si="175"/>
        <v/>
      </c>
      <c r="L1043" s="852" t="s">
        <v>1487</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6" t="s">
        <v>1488</v>
      </c>
      <c r="B1044" s="852" t="str">
        <f t="shared" ca="1" si="178"/>
        <v>R367</v>
      </c>
      <c r="C1044" s="852" t="str">
        <f t="shared" ca="1" si="179"/>
        <v>R368</v>
      </c>
      <c r="D1044" s="852" t="s">
        <v>1350</v>
      </c>
      <c r="E1044" s="852" t="s">
        <v>1517</v>
      </c>
      <c r="F1044" s="1351" t="s">
        <v>1996</v>
      </c>
      <c r="G1044" s="1351" t="str">
        <f>IF(T1044&lt;&gt;"","G","")</f>
        <v/>
      </c>
      <c r="H1044" s="1351" t="s">
        <v>1991</v>
      </c>
      <c r="I1044" s="1307" t="str">
        <f t="shared" si="174"/>
        <v/>
      </c>
      <c r="J1044" s="1351" t="str">
        <f t="shared" si="176"/>
        <v/>
      </c>
      <c r="K1044" s="1351" t="str">
        <f t="shared" si="175"/>
        <v/>
      </c>
      <c r="L1044" s="852" t="s">
        <v>1488</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6" t="s">
        <v>1489</v>
      </c>
      <c r="B1045" s="852" t="str">
        <f t="shared" ca="1" si="178"/>
        <v>T367</v>
      </c>
      <c r="C1045" s="852" t="str">
        <f t="shared" ca="1" si="179"/>
        <v>T368</v>
      </c>
      <c r="D1045" s="852" t="s">
        <v>1350</v>
      </c>
      <c r="E1045" s="852" t="s">
        <v>1517</v>
      </c>
      <c r="F1045" s="867" t="s">
        <v>1489</v>
      </c>
      <c r="G1045" s="1351" t="str">
        <f>IF(T1045&lt;&gt;"","AW","")</f>
        <v/>
      </c>
      <c r="H1045" s="1351" t="s">
        <v>1991</v>
      </c>
      <c r="I1045" s="1307" t="str">
        <f t="shared" si="174"/>
        <v/>
      </c>
      <c r="J1045" s="1351" t="str">
        <f t="shared" si="176"/>
        <v/>
      </c>
      <c r="K1045" s="1351" t="str">
        <f t="shared" si="175"/>
        <v/>
      </c>
      <c r="L1045" s="852" t="s">
        <v>1489</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51" t="s">
        <v>1385</v>
      </c>
      <c r="G1046" s="1351" t="str">
        <f>IF(T1046&lt;&gt;"","C","")</f>
        <v/>
      </c>
      <c r="H1046" s="1351" t="s">
        <v>1991</v>
      </c>
      <c r="I1046" s="1307" t="str">
        <f t="shared" si="174"/>
        <v/>
      </c>
      <c r="J1046" s="1351"/>
      <c r="K1046" s="1351" t="str">
        <f t="shared" si="175"/>
        <v/>
      </c>
      <c r="L1046" s="852"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51" t="s">
        <v>1386</v>
      </c>
      <c r="G1047" s="1351" t="str">
        <f>IF(T1047&lt;&gt;"","D","")</f>
        <v/>
      </c>
      <c r="H1047" s="1351" t="s">
        <v>1991</v>
      </c>
      <c r="I1047" s="1307" t="str">
        <f t="shared" si="174"/>
        <v/>
      </c>
      <c r="J1047" s="1351"/>
      <c r="K1047" s="1351" t="str">
        <f t="shared" si="175"/>
        <v/>
      </c>
      <c r="L1047" s="852"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51" t="s">
        <v>1496</v>
      </c>
      <c r="G1048" s="1351" t="str">
        <f>IF(T1048&lt;&gt;"","AN","")</f>
        <v/>
      </c>
      <c r="H1048" s="1351" t="s">
        <v>1991</v>
      </c>
      <c r="I1048" s="1307" t="str">
        <f t="shared" si="174"/>
        <v/>
      </c>
      <c r="J1048" s="1351" t="str">
        <f t="shared" si="176"/>
        <v/>
      </c>
      <c r="K1048" s="1351" t="str">
        <f t="shared" si="175"/>
        <v/>
      </c>
      <c r="L1048" s="852" t="s">
        <v>1496</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51" t="s">
        <v>1493</v>
      </c>
      <c r="G1049" s="1351" t="str">
        <f>IF(T1049&lt;&gt;"","AL","")</f>
        <v/>
      </c>
      <c r="H1049" s="1351" t="s">
        <v>1991</v>
      </c>
      <c r="I1049" s="1307" t="str">
        <f t="shared" si="174"/>
        <v/>
      </c>
      <c r="J1049" s="1351" t="str">
        <f t="shared" si="176"/>
        <v/>
      </c>
      <c r="K1049" s="1351" t="str">
        <f t="shared" si="175"/>
        <v/>
      </c>
      <c r="L1049" s="852" t="s">
        <v>1493</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51" t="s">
        <v>1913</v>
      </c>
      <c r="G1050" s="1351" t="str">
        <f>IF(T1050&lt;&gt;"","O","")</f>
        <v/>
      </c>
      <c r="H1050" s="1351" t="s">
        <v>1991</v>
      </c>
      <c r="I1050" s="1307" t="str">
        <f t="shared" si="174"/>
        <v/>
      </c>
      <c r="J1050" s="1351"/>
      <c r="K1050" s="1351" t="str">
        <f t="shared" si="175"/>
        <v/>
      </c>
      <c r="L1050" s="852"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51" t="s">
        <v>1492</v>
      </c>
      <c r="G1051" s="1351" t="str">
        <f>IF(T1051&lt;&gt;"","A","")</f>
        <v/>
      </c>
      <c r="H1051" s="1351" t="s">
        <v>1991</v>
      </c>
      <c r="I1051" s="1307" t="str">
        <f t="shared" si="174"/>
        <v/>
      </c>
      <c r="J1051" s="1351"/>
      <c r="K1051" s="1351" t="str">
        <f t="shared" si="175"/>
        <v/>
      </c>
      <c r="L1051" s="852" t="s">
        <v>1492</v>
      </c>
      <c r="M1051" s="1366">
        <v>1034</v>
      </c>
      <c r="N1051" s="1351"/>
      <c r="O1051" s="1348" t="s">
        <v>725</v>
      </c>
      <c r="P1051" s="18"/>
      <c r="Q1051" s="1348"/>
      <c r="R1051" s="1351" t="s">
        <v>1701</v>
      </c>
      <c r="S1051" s="1348"/>
      <c r="T1051" s="1351" t="str">
        <f>IF(Q$1052="Yes",27,"")</f>
        <v/>
      </c>
      <c r="U1051" s="1348"/>
      <c r="V1051" s="1348"/>
      <c r="W1051" s="1348"/>
      <c r="X1051" s="1348"/>
      <c r="Y1051" s="1348"/>
      <c r="Z1051" s="134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51"/>
      <c r="G1052" s="1351"/>
      <c r="H1052" s="1351"/>
      <c r="I1052" s="1307" t="str">
        <f t="shared" si="174"/>
        <v/>
      </c>
      <c r="J1052" s="1351" t="str">
        <f t="shared" ref="J1052:J1067" si="182">IF(M1052&lt;&gt;"",IF($Q$1052="Yes",Q$1&amp;M1052,""))</f>
        <v/>
      </c>
      <c r="K1052" s="1351" t="str">
        <f t="shared" si="175"/>
        <v/>
      </c>
      <c r="L1052" s="852" t="s">
        <v>1706</v>
      </c>
      <c r="M1052" s="1366">
        <v>1035</v>
      </c>
      <c r="N1052" s="1351"/>
      <c r="O1052" s="1348">
        <f>'Configurable Tab'!H29</f>
        <v>379</v>
      </c>
      <c r="P1052" s="18" t="str">
        <f>'Configurable Tab'!J29</f>
        <v>No</v>
      </c>
      <c r="Q1052" s="1388" t="s">
        <v>648</v>
      </c>
      <c r="R1052" s="1351" t="s">
        <v>1701</v>
      </c>
      <c r="S1052" s="1348"/>
      <c r="T1052" s="1351" t="str">
        <f t="shared" ref="T1052:T1057" si="183">IF(Q$1052="Yes",27,"")</f>
        <v/>
      </c>
      <c r="U1052" s="1348"/>
      <c r="V1052" s="1348"/>
      <c r="W1052" s="1348"/>
      <c r="X1052" s="1348"/>
      <c r="Y1052" s="1348"/>
      <c r="Z1052" s="134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51" t="s">
        <v>1383</v>
      </c>
      <c r="G1053" s="1351" t="str">
        <f>IF(T1053&lt;&gt;"","B","")</f>
        <v/>
      </c>
      <c r="H1053" s="1351" t="s">
        <v>1991</v>
      </c>
      <c r="I1053" s="1307" t="str">
        <f t="shared" si="174"/>
        <v/>
      </c>
      <c r="J1053" s="1351"/>
      <c r="K1053" s="1351" t="str">
        <f t="shared" si="175"/>
        <v/>
      </c>
      <c r="L1053" s="852" t="s">
        <v>1383</v>
      </c>
      <c r="M1053" s="1366">
        <v>1036</v>
      </c>
      <c r="N1053" s="1351"/>
      <c r="O1053" s="1348" t="s">
        <v>726</v>
      </c>
      <c r="P1053" s="1348"/>
      <c r="Q1053" s="1348"/>
      <c r="R1053" s="1351" t="s">
        <v>1701</v>
      </c>
      <c r="S1053" s="1348"/>
      <c r="T1053" s="1351" t="str">
        <f t="shared" si="183"/>
        <v/>
      </c>
      <c r="U1053" s="1348"/>
      <c r="V1053" s="1348"/>
      <c r="W1053" s="1348"/>
      <c r="X1053" s="1348"/>
      <c r="Y1053" s="1348"/>
      <c r="Z1053" s="134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51" t="s">
        <v>1993</v>
      </c>
      <c r="G1054" s="1351" t="str">
        <f>IF(T1054&lt;&gt;"","I","")</f>
        <v/>
      </c>
      <c r="H1054" s="1351" t="s">
        <v>1991</v>
      </c>
      <c r="I1054" s="1307" t="str">
        <f t="shared" si="174"/>
        <v/>
      </c>
      <c r="J1054" s="1351" t="str">
        <f t="shared" si="182"/>
        <v/>
      </c>
      <c r="K1054" s="1351" t="str">
        <f t="shared" si="175"/>
        <v/>
      </c>
      <c r="L1054" s="852" t="s">
        <v>1381</v>
      </c>
      <c r="M1054" s="1366">
        <v>1037</v>
      </c>
      <c r="N1054" s="1351"/>
      <c r="O1054" s="1348">
        <f>'Configurable Tab'!I29</f>
        <v>392</v>
      </c>
      <c r="P1054" s="1348"/>
      <c r="Q1054" s="1348" t="s">
        <v>482</v>
      </c>
      <c r="R1054" s="1351" t="s">
        <v>1701</v>
      </c>
      <c r="S1054" s="1348"/>
      <c r="T1054" s="1351" t="str">
        <f t="shared" si="183"/>
        <v/>
      </c>
      <c r="U1054" s="1348"/>
      <c r="V1054" s="1348"/>
      <c r="W1054" s="1348"/>
      <c r="X1054" s="1348"/>
      <c r="Y1054" s="1348"/>
      <c r="Z1054" s="134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51" t="s">
        <v>1382</v>
      </c>
      <c r="G1055" s="1351" t="str">
        <f>IF(T1055&lt;&gt;"",IF(Q1054="Credit Memo","J",IF(Q1054="Check","K","")),"")</f>
        <v/>
      </c>
      <c r="H1055" s="1351" t="s">
        <v>1991</v>
      </c>
      <c r="I1055" s="1307" t="str">
        <f t="shared" si="174"/>
        <v/>
      </c>
      <c r="J1055" s="1351" t="str">
        <f t="shared" si="182"/>
        <v/>
      </c>
      <c r="K1055" s="1351" t="str">
        <f t="shared" si="175"/>
        <v/>
      </c>
      <c r="L1055" s="852" t="s">
        <v>1382</v>
      </c>
      <c r="M1055" s="1366">
        <v>1038</v>
      </c>
      <c r="N1055" s="1351"/>
      <c r="O1055" s="1348" t="s">
        <v>1655</v>
      </c>
      <c r="P1055" s="1348"/>
      <c r="Q1055" s="1348"/>
      <c r="R1055" s="1351" t="s">
        <v>1701</v>
      </c>
      <c r="S1055" s="1348"/>
      <c r="T1055" s="1351" t="str">
        <f t="shared" si="183"/>
        <v/>
      </c>
      <c r="U1055" s="1348"/>
      <c r="V1055" s="1348"/>
      <c r="W1055" s="1348"/>
      <c r="X1055" s="1348"/>
      <c r="Y1055" s="1348"/>
      <c r="Z1055" s="134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51" t="s">
        <v>1385</v>
      </c>
      <c r="G1056" s="1351" t="str">
        <f>IF(T1056&lt;&gt;"","C","")</f>
        <v/>
      </c>
      <c r="H1056" s="1351" t="s">
        <v>1991</v>
      </c>
      <c r="I1056" s="1307" t="str">
        <f t="shared" si="174"/>
        <v/>
      </c>
      <c r="J1056" s="1351"/>
      <c r="K1056" s="1351" t="str">
        <f t="shared" si="175"/>
        <v/>
      </c>
      <c r="L1056" s="852" t="s">
        <v>1385</v>
      </c>
      <c r="M1056" s="1366">
        <v>1039</v>
      </c>
      <c r="N1056" s="1351"/>
      <c r="O1056" s="1348"/>
      <c r="P1056" s="1348"/>
      <c r="Q1056" s="1348"/>
      <c r="R1056" s="1351" t="s">
        <v>1701</v>
      </c>
      <c r="S1056" s="1348"/>
      <c r="T1056" s="1351" t="str">
        <f t="shared" si="183"/>
        <v/>
      </c>
      <c r="U1056" s="1348"/>
      <c r="V1056" s="1348"/>
      <c r="W1056" s="1348"/>
      <c r="X1056" s="1348"/>
      <c r="Y1056" s="1348"/>
      <c r="Z1056" s="134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51" t="s">
        <v>1386</v>
      </c>
      <c r="G1057" s="1351" t="str">
        <f>IF(T1057&lt;&gt;"","D","")</f>
        <v/>
      </c>
      <c r="H1057" s="1351" t="s">
        <v>1991</v>
      </c>
      <c r="I1057" s="1307" t="str">
        <f t="shared" si="174"/>
        <v/>
      </c>
      <c r="J1057" s="1351"/>
      <c r="K1057" s="1351" t="str">
        <f t="shared" si="175"/>
        <v/>
      </c>
      <c r="L1057" s="852" t="s">
        <v>1386</v>
      </c>
      <c r="M1057" s="1366">
        <v>1040</v>
      </c>
      <c r="N1057" s="1351"/>
      <c r="O1057" s="1348"/>
      <c r="P1057" s="1348"/>
      <c r="Q1057" s="1348"/>
      <c r="R1057" s="1351" t="s">
        <v>1701</v>
      </c>
      <c r="S1057" s="1348"/>
      <c r="T1057" s="1351" t="str">
        <f t="shared" si="183"/>
        <v/>
      </c>
      <c r="U1057" s="1348"/>
      <c r="V1057" s="1348"/>
      <c r="W1057" s="1348"/>
      <c r="X1057" s="1348"/>
      <c r="Y1057" s="1348"/>
      <c r="Z1057" s="134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51" t="s">
        <v>1496</v>
      </c>
      <c r="G1058" s="1351" t="str">
        <f>IF(T1058&lt;&gt;"","AN","")</f>
        <v/>
      </c>
      <c r="H1058" s="1351" t="s">
        <v>1991</v>
      </c>
      <c r="I1058" s="1307" t="str">
        <f t="shared" si="174"/>
        <v/>
      </c>
      <c r="J1058" s="1351" t="str">
        <f t="shared" si="182"/>
        <v/>
      </c>
      <c r="K1058" s="1351" t="str">
        <f t="shared" si="175"/>
        <v/>
      </c>
      <c r="L1058" s="852" t="s">
        <v>1496</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1701</v>
      </c>
      <c r="S1058" s="1348"/>
      <c r="T1058" s="1351" t="str">
        <f>IF(Q$1052="Yes",27,"")</f>
        <v/>
      </c>
      <c r="U1058" s="1348"/>
      <c r="V1058" s="1348"/>
      <c r="W1058" s="1348"/>
      <c r="X1058" s="1348"/>
      <c r="Y1058" s="1348"/>
      <c r="Z1058" s="134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51" t="s">
        <v>1493</v>
      </c>
      <c r="G1059" s="1351" t="str">
        <f>IF(T1059&lt;&gt;"","AL","")</f>
        <v/>
      </c>
      <c r="H1059" s="1351" t="s">
        <v>1991</v>
      </c>
      <c r="I1059" s="1307" t="str">
        <f t="shared" si="174"/>
        <v/>
      </c>
      <c r="J1059" s="1351" t="str">
        <f t="shared" si="182"/>
        <v/>
      </c>
      <c r="K1059" s="1351" t="str">
        <f t="shared" si="175"/>
        <v/>
      </c>
      <c r="L1059" s="852" t="s">
        <v>1493</v>
      </c>
      <c r="M1059" s="1366">
        <v>1042</v>
      </c>
      <c r="N1059" s="1351"/>
      <c r="O1059" s="1348"/>
      <c r="P1059" s="1348"/>
      <c r="Q1059" s="1348"/>
      <c r="R1059" s="1351" t="s">
        <v>1701</v>
      </c>
      <c r="S1059" s="1348"/>
      <c r="T1059" s="1351" t="str">
        <f>IF(Q$1052="Yes",27,"")</f>
        <v/>
      </c>
      <c r="U1059" s="1348"/>
      <c r="V1059" s="1348"/>
      <c r="W1059" s="1348"/>
      <c r="X1059" s="1348"/>
      <c r="Y1059" s="1348"/>
      <c r="Z1059" s="134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390" t="s">
        <v>1396</v>
      </c>
      <c r="G1060" s="1390" t="str">
        <f>IF(T1060&lt;&gt;"","S","")</f>
        <v/>
      </c>
      <c r="H1060" s="1390" t="s">
        <v>1991</v>
      </c>
      <c r="I1060" s="1307" t="str">
        <f t="shared" si="174"/>
        <v/>
      </c>
      <c r="J1060" s="1351" t="str">
        <f t="shared" si="182"/>
        <v/>
      </c>
      <c r="K1060" s="1351" t="str">
        <f t="shared" si="175"/>
        <v/>
      </c>
      <c r="L1060" s="852" t="s">
        <v>1396</v>
      </c>
      <c r="M1060" s="1366">
        <v>1043</v>
      </c>
      <c r="N1060" s="1351"/>
      <c r="O1060" s="1348"/>
      <c r="P1060" s="1348"/>
      <c r="Q1060" s="1348"/>
      <c r="R1060" s="1351" t="s">
        <v>1701</v>
      </c>
      <c r="S1060" s="1348"/>
      <c r="T1060" s="1390" t="str">
        <f>IF(Q$1052="Yes",27,"")</f>
        <v/>
      </c>
      <c r="U1060" s="1348"/>
      <c r="V1060" s="1348"/>
      <c r="W1060" s="1348"/>
      <c r="X1060" s="1348"/>
      <c r="Y1060" s="1348"/>
      <c r="Z1060" s="134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51"/>
      <c r="G1061" s="1351"/>
      <c r="H1061" s="1351"/>
      <c r="I1061" s="1307" t="str">
        <f t="shared" si="174"/>
        <v/>
      </c>
      <c r="J1061" s="1351" t="str">
        <f t="shared" si="182"/>
        <v/>
      </c>
      <c r="K1061" s="1351" t="str">
        <f t="shared" si="175"/>
        <v/>
      </c>
      <c r="L1061" s="852" t="s">
        <v>1475</v>
      </c>
      <c r="M1061" s="1366">
        <v>1044</v>
      </c>
      <c r="N1061" s="1351"/>
      <c r="O1061" s="1348"/>
      <c r="P1061" s="1348"/>
      <c r="Q1061" s="1348"/>
      <c r="R1061" s="1351" t="s">
        <v>1701</v>
      </c>
      <c r="S1061" s="1348"/>
      <c r="T1061" s="1348"/>
      <c r="U1061" s="1348"/>
      <c r="V1061" s="1348"/>
      <c r="W1061" s="1348"/>
      <c r="X1061" s="1348"/>
      <c r="Y1061" s="1348"/>
      <c r="Z1061" s="1348"/>
    </row>
    <row r="1062" spans="1:26" x14ac:dyDescent="0.25">
      <c r="A1062" s="1110"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07" t="str">
        <f t="shared" si="174"/>
        <v/>
      </c>
      <c r="J1062" s="1351" t="str">
        <f t="shared" si="182"/>
        <v/>
      </c>
      <c r="K1062" s="1351" t="str">
        <f t="shared" si="175"/>
        <v/>
      </c>
      <c r="L1062" s="852" t="s">
        <v>1476</v>
      </c>
      <c r="M1062" s="1366">
        <v>1045</v>
      </c>
      <c r="N1062" s="1351"/>
      <c r="O1062" s="1348"/>
      <c r="P1062" s="1348"/>
      <c r="Q1062" s="1348"/>
      <c r="R1062" s="1351" t="s">
        <v>1701</v>
      </c>
      <c r="S1062" s="1348"/>
      <c r="T1062" s="1348"/>
      <c r="U1062" s="1348"/>
      <c r="V1062" s="1348"/>
      <c r="W1062" s="1348"/>
      <c r="X1062" s="1348"/>
      <c r="Y1062" s="1348"/>
      <c r="Z1062" s="134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51" t="s">
        <v>1480</v>
      </c>
      <c r="G1063" s="1351" t="str">
        <f>IF(T1063&lt;&gt;"","AY","")</f>
        <v/>
      </c>
      <c r="H1063" s="1351" t="s">
        <v>1991</v>
      </c>
      <c r="I1063" s="1307" t="str">
        <f t="shared" si="174"/>
        <v/>
      </c>
      <c r="J1063" s="1351" t="str">
        <f t="shared" si="182"/>
        <v/>
      </c>
      <c r="K1063" s="1351" t="str">
        <f t="shared" si="175"/>
        <v/>
      </c>
      <c r="L1063" s="853" t="s">
        <v>1480</v>
      </c>
      <c r="M1063" s="1366">
        <v>1046</v>
      </c>
      <c r="N1063" s="1351"/>
      <c r="O1063" s="1348"/>
      <c r="P1063" s="1348"/>
      <c r="Q1063" s="1348"/>
      <c r="R1063" s="1351" t="s">
        <v>1701</v>
      </c>
      <c r="S1063" s="1348"/>
      <c r="T1063" s="1351" t="str">
        <f t="shared" ref="T1063:T1065" si="184">IF(Q$1052="Yes",27,"")</f>
        <v/>
      </c>
      <c r="U1063" s="1348"/>
      <c r="V1063" s="1348"/>
      <c r="W1063" s="1348"/>
      <c r="X1063" s="1348"/>
      <c r="Y1063" s="1348"/>
      <c r="Z1063" s="134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51"/>
      <c r="G1064" s="1351"/>
      <c r="H1064" s="1351"/>
      <c r="I1064" s="1307" t="str">
        <f t="shared" si="174"/>
        <v/>
      </c>
      <c r="J1064" s="1351" t="str">
        <f t="shared" si="182"/>
        <v/>
      </c>
      <c r="K1064" s="1351" t="str">
        <f t="shared" si="175"/>
        <v/>
      </c>
      <c r="L1064" s="852" t="s">
        <v>1135</v>
      </c>
      <c r="M1064" s="1366">
        <v>1047</v>
      </c>
      <c r="N1064" s="1351"/>
      <c r="O1064" s="1348"/>
      <c r="P1064" s="1348"/>
      <c r="Q1064" s="1348"/>
      <c r="R1064" s="1351" t="s">
        <v>1701</v>
      </c>
      <c r="S1064" s="1348"/>
      <c r="T1064" s="1348"/>
      <c r="U1064" s="1348"/>
      <c r="V1064" s="1348"/>
      <c r="W1064" s="1348"/>
      <c r="X1064" s="1348"/>
      <c r="Y1064" s="1348"/>
      <c r="Z1064" s="134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0" t="s">
        <v>1402</v>
      </c>
      <c r="G1065" s="1351" t="str">
        <f>IF(T1065&lt;&gt;"","AT","")</f>
        <v/>
      </c>
      <c r="H1065" s="1351" t="s">
        <v>1991</v>
      </c>
      <c r="I1065" s="1307" t="str">
        <f t="shared" si="174"/>
        <v/>
      </c>
      <c r="J1065" s="1351" t="str">
        <f t="shared" si="182"/>
        <v/>
      </c>
      <c r="K1065" s="1351" t="str">
        <f t="shared" si="175"/>
        <v/>
      </c>
      <c r="L1065" s="852" t="s">
        <v>1402</v>
      </c>
      <c r="M1065" s="1366">
        <v>1048</v>
      </c>
      <c r="N1065" s="1351"/>
      <c r="O1065" s="1348"/>
      <c r="P1065" s="1348"/>
      <c r="Q1065" s="1348"/>
      <c r="R1065" s="1351" t="s">
        <v>1701</v>
      </c>
      <c r="S1065" s="1348"/>
      <c r="T1065" s="1351" t="str">
        <f t="shared" si="184"/>
        <v/>
      </c>
      <c r="U1065" s="1348"/>
      <c r="V1065" s="1348"/>
      <c r="W1065" s="1348"/>
      <c r="X1065" s="1348"/>
      <c r="Y1065" s="1348"/>
      <c r="Z1065" s="134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51"/>
      <c r="G1066" s="1351"/>
      <c r="H1066" s="1351"/>
      <c r="I1066" s="1307" t="str">
        <f t="shared" si="174"/>
        <v/>
      </c>
      <c r="J1066" s="1351" t="str">
        <f t="shared" si="182"/>
        <v/>
      </c>
      <c r="K1066" s="1351" t="str">
        <f t="shared" si="175"/>
        <v/>
      </c>
      <c r="L1066" s="852" t="s">
        <v>1481</v>
      </c>
      <c r="M1066" s="1366">
        <v>1049</v>
      </c>
      <c r="N1066" s="1351"/>
      <c r="O1066" s="1348"/>
      <c r="P1066" s="1348"/>
      <c r="Q1066" s="1348"/>
      <c r="R1066" s="1351" t="s">
        <v>1701</v>
      </c>
      <c r="S1066" s="1348"/>
      <c r="T1066" s="1348"/>
      <c r="U1066" s="1348"/>
      <c r="V1066" s="1348"/>
      <c r="W1066" s="1348"/>
      <c r="X1066" s="1348"/>
      <c r="Y1066" s="1348"/>
      <c r="Z1066" s="134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51"/>
      <c r="G1067" s="1351"/>
      <c r="H1067" s="1351"/>
      <c r="I1067" s="1307" t="str">
        <f t="shared" si="174"/>
        <v/>
      </c>
      <c r="J1067" s="1351" t="str">
        <f t="shared" si="182"/>
        <v/>
      </c>
      <c r="K1067" s="1351" t="str">
        <f t="shared" si="175"/>
        <v/>
      </c>
      <c r="L1067" s="852" t="s">
        <v>1134</v>
      </c>
      <c r="M1067" s="1366">
        <v>1050</v>
      </c>
      <c r="N1067" s="1351"/>
      <c r="O1067" s="1348"/>
      <c r="P1067" s="1348"/>
      <c r="Q1067" s="1348"/>
      <c r="R1067" s="1351" t="s">
        <v>1701</v>
      </c>
      <c r="S1067" s="1348"/>
      <c r="T1067" s="1348"/>
      <c r="U1067" s="1348"/>
      <c r="V1067" s="1348"/>
      <c r="W1067" s="1348"/>
      <c r="X1067" s="1348"/>
      <c r="Y1067" s="1348"/>
      <c r="Z1067" s="1348"/>
    </row>
    <row r="1068" spans="1:26" x14ac:dyDescent="0.25">
      <c r="A1068" s="1020"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51" t="s">
        <v>1492</v>
      </c>
      <c r="G1068" s="1351" t="str">
        <f>IF(T1068&lt;&gt;"","A","")</f>
        <v/>
      </c>
      <c r="H1068" s="1351" t="s">
        <v>1991</v>
      </c>
      <c r="I1068" s="1307" t="str">
        <f t="shared" si="174"/>
        <v/>
      </c>
      <c r="J1068" s="1351"/>
      <c r="K1068" s="1351" t="str">
        <f t="shared" si="175"/>
        <v/>
      </c>
      <c r="L1068" s="852" t="s">
        <v>1492</v>
      </c>
      <c r="M1068" s="1366">
        <v>1051</v>
      </c>
      <c r="N1068" s="1351"/>
      <c r="O1068" s="1348" t="s">
        <v>725</v>
      </c>
      <c r="P1068" s="18"/>
      <c r="Q1068" s="1348"/>
      <c r="R1068" s="1351" t="s">
        <v>1701</v>
      </c>
      <c r="S1068" s="1348"/>
      <c r="T1068" s="1351" t="str">
        <f>IF(Q$1069="Yes",28,"")</f>
        <v/>
      </c>
      <c r="U1068" s="1348"/>
      <c r="V1068" s="1348"/>
      <c r="W1068" s="1348"/>
      <c r="X1068" s="1348"/>
      <c r="Y1068" s="1348"/>
      <c r="Z1068" s="1348"/>
    </row>
    <row r="1069" spans="1:26" x14ac:dyDescent="0.25">
      <c r="A1069" s="1020"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51"/>
      <c r="G1069" s="1351"/>
      <c r="H1069" s="1351"/>
      <c r="I1069" s="1307" t="str">
        <f t="shared" si="174"/>
        <v/>
      </c>
      <c r="J1069" s="1351" t="str">
        <f t="shared" ref="J1069:J1083" si="185">IF(M1069&lt;&gt;"",IF($Q$1069="Yes",Q$1&amp;M1069,""))</f>
        <v/>
      </c>
      <c r="K1069" s="1351" t="str">
        <f t="shared" si="175"/>
        <v/>
      </c>
      <c r="L1069" s="852" t="s">
        <v>1706</v>
      </c>
      <c r="M1069" s="1366">
        <v>1052</v>
      </c>
      <c r="N1069" s="1351"/>
      <c r="O1069" s="1348">
        <f>'Configurable Tab'!H30</f>
        <v>393</v>
      </c>
      <c r="P1069" s="18" t="str">
        <f>'Configurable Tab'!J30</f>
        <v>No</v>
      </c>
      <c r="Q1069" s="1388" t="s">
        <v>648</v>
      </c>
      <c r="R1069" s="1351" t="s">
        <v>1701</v>
      </c>
      <c r="S1069" s="1348"/>
      <c r="T1069" s="1351" t="str">
        <f t="shared" ref="T1069:T1074" si="186">IF(Q$1069="Yes",28,"")</f>
        <v/>
      </c>
      <c r="U1069" s="1348"/>
      <c r="V1069" s="1348"/>
      <c r="W1069" s="1348"/>
      <c r="X1069" s="1348"/>
      <c r="Y1069" s="1348"/>
      <c r="Z1069" s="1348"/>
    </row>
    <row r="1070" spans="1:26" x14ac:dyDescent="0.25">
      <c r="A1070" s="1020"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51" t="s">
        <v>1383</v>
      </c>
      <c r="G1070" s="1351" t="str">
        <f>IF(T1070&lt;&gt;"","B","")</f>
        <v/>
      </c>
      <c r="H1070" s="1351" t="s">
        <v>1991</v>
      </c>
      <c r="I1070" s="1307" t="str">
        <f t="shared" si="174"/>
        <v/>
      </c>
      <c r="J1070" s="1351"/>
      <c r="K1070" s="1351" t="str">
        <f t="shared" si="175"/>
        <v/>
      </c>
      <c r="L1070" s="852" t="s">
        <v>1383</v>
      </c>
      <c r="M1070" s="1366">
        <v>1053</v>
      </c>
      <c r="N1070" s="1351"/>
      <c r="O1070" s="1348" t="s">
        <v>726</v>
      </c>
      <c r="P1070" s="1348"/>
      <c r="Q1070" s="1348"/>
      <c r="R1070" s="1351" t="s">
        <v>1701</v>
      </c>
      <c r="S1070" s="1348"/>
      <c r="T1070" s="1351" t="str">
        <f t="shared" si="186"/>
        <v/>
      </c>
      <c r="U1070" s="1348"/>
      <c r="V1070" s="1348"/>
      <c r="W1070" s="1348"/>
      <c r="X1070" s="1348"/>
      <c r="Y1070" s="1348"/>
      <c r="Z1070" s="1348"/>
    </row>
    <row r="1071" spans="1:26" x14ac:dyDescent="0.25">
      <c r="A1071" s="1020"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51" t="s">
        <v>1993</v>
      </c>
      <c r="G1071" s="1351" t="str">
        <f>IF(T1071&lt;&gt;"","I","")</f>
        <v/>
      </c>
      <c r="H1071" s="1351" t="s">
        <v>1991</v>
      </c>
      <c r="I1071" s="1307" t="str">
        <f t="shared" si="174"/>
        <v/>
      </c>
      <c r="J1071" s="1351" t="str">
        <f t="shared" si="185"/>
        <v/>
      </c>
      <c r="K1071" s="1351" t="str">
        <f t="shared" si="175"/>
        <v/>
      </c>
      <c r="L1071" s="852" t="s">
        <v>1381</v>
      </c>
      <c r="M1071" s="1366">
        <v>1054</v>
      </c>
      <c r="N1071" s="1351"/>
      <c r="O1071" s="1348">
        <f>'Configurable Tab'!I30</f>
        <v>406</v>
      </c>
      <c r="P1071" s="1348"/>
      <c r="Q1071" s="1348"/>
      <c r="R1071" s="1351" t="s">
        <v>1701</v>
      </c>
      <c r="S1071" s="1348"/>
      <c r="T1071" s="1351" t="str">
        <f t="shared" si="186"/>
        <v/>
      </c>
      <c r="U1071" s="1348"/>
      <c r="V1071" s="1348"/>
      <c r="W1071" s="1348"/>
      <c r="X1071" s="1348"/>
      <c r="Y1071" s="1348"/>
      <c r="Z1071" s="1348"/>
    </row>
    <row r="1072" spans="1:26" x14ac:dyDescent="0.25">
      <c r="A1072" s="1020"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51" t="s">
        <v>1382</v>
      </c>
      <c r="G1072" s="1351" t="str">
        <f>IF(T1072&lt;&gt;"",IF(Q1071="Credit Memo","J",IF(Q1071="Check","K","")),"")</f>
        <v/>
      </c>
      <c r="H1072" s="1351" t="s">
        <v>1991</v>
      </c>
      <c r="I1072" s="1307" t="str">
        <f t="shared" si="174"/>
        <v/>
      </c>
      <c r="J1072" s="1351" t="str">
        <f t="shared" si="185"/>
        <v/>
      </c>
      <c r="K1072" s="1351" t="str">
        <f t="shared" si="175"/>
        <v/>
      </c>
      <c r="L1072" s="852" t="s">
        <v>1382</v>
      </c>
      <c r="M1072" s="1366">
        <v>1055</v>
      </c>
      <c r="N1072" s="1351"/>
      <c r="O1072" s="1348" t="s">
        <v>1656</v>
      </c>
      <c r="P1072" s="1348"/>
      <c r="Q1072" s="1348"/>
      <c r="R1072" s="1351" t="s">
        <v>1701</v>
      </c>
      <c r="S1072" s="1348"/>
      <c r="T1072" s="1351" t="str">
        <f t="shared" si="186"/>
        <v/>
      </c>
      <c r="U1072" s="1348"/>
      <c r="V1072" s="1348"/>
      <c r="W1072" s="1348"/>
      <c r="X1072" s="1348"/>
      <c r="Y1072" s="1348"/>
      <c r="Z1072" s="1348"/>
    </row>
    <row r="1073" spans="1:26" x14ac:dyDescent="0.25">
      <c r="A1073" s="1020"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51" t="s">
        <v>1385</v>
      </c>
      <c r="G1073" s="1351" t="str">
        <f>IF(T1073&lt;&gt;"","C","")</f>
        <v/>
      </c>
      <c r="H1073" s="1351" t="s">
        <v>1991</v>
      </c>
      <c r="I1073" s="1307" t="str">
        <f t="shared" si="174"/>
        <v/>
      </c>
      <c r="J1073" s="1351"/>
      <c r="K1073" s="1351" t="str">
        <f t="shared" si="175"/>
        <v/>
      </c>
      <c r="L1073" s="852" t="s">
        <v>1385</v>
      </c>
      <c r="M1073" s="1366">
        <v>1056</v>
      </c>
      <c r="N1073" s="1351"/>
      <c r="O1073" s="1348"/>
      <c r="P1073" s="1348"/>
      <c r="Q1073" s="1348"/>
      <c r="R1073" s="1351" t="s">
        <v>1701</v>
      </c>
      <c r="S1073" s="1348"/>
      <c r="T1073" s="1351" t="str">
        <f t="shared" si="186"/>
        <v/>
      </c>
      <c r="U1073" s="1348"/>
      <c r="V1073" s="1348"/>
      <c r="W1073" s="1348"/>
      <c r="X1073" s="1348"/>
      <c r="Y1073" s="1348"/>
      <c r="Z1073" s="1348"/>
    </row>
    <row r="1074" spans="1:26" x14ac:dyDescent="0.25">
      <c r="A1074" s="1020"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51" t="s">
        <v>1386</v>
      </c>
      <c r="G1074" s="1351" t="str">
        <f>IF(T1074&lt;&gt;"","D","")</f>
        <v/>
      </c>
      <c r="H1074" s="1351" t="s">
        <v>1991</v>
      </c>
      <c r="I1074" s="1307" t="str">
        <f t="shared" si="174"/>
        <v/>
      </c>
      <c r="J1074" s="1351"/>
      <c r="K1074" s="1351" t="str">
        <f t="shared" si="175"/>
        <v/>
      </c>
      <c r="L1074" s="852" t="s">
        <v>1386</v>
      </c>
      <c r="M1074" s="1366">
        <v>1057</v>
      </c>
      <c r="N1074" s="1351"/>
      <c r="O1074" s="1348"/>
      <c r="P1074" s="1348"/>
      <c r="Q1074" s="1348"/>
      <c r="R1074" s="1351" t="s">
        <v>1701</v>
      </c>
      <c r="S1074" s="1348"/>
      <c r="T1074" s="1351" t="str">
        <f t="shared" si="186"/>
        <v/>
      </c>
      <c r="U1074" s="1348"/>
      <c r="V1074" s="1348"/>
      <c r="W1074" s="1348"/>
      <c r="X1074" s="1348"/>
      <c r="Y1074" s="1348"/>
      <c r="Z1074" s="1348"/>
    </row>
    <row r="1075" spans="1:26" x14ac:dyDescent="0.25">
      <c r="A1075" s="1020"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51" t="s">
        <v>1496</v>
      </c>
      <c r="G1075" s="1351" t="str">
        <f>IF(T1075&lt;&gt;"","AN","")</f>
        <v/>
      </c>
      <c r="H1075" s="1351" t="s">
        <v>1991</v>
      </c>
      <c r="I1075" s="1307" t="str">
        <f t="shared" si="174"/>
        <v/>
      </c>
      <c r="J1075" s="1351" t="str">
        <f t="shared" si="185"/>
        <v/>
      </c>
      <c r="K1075" s="1351" t="str">
        <f t="shared" si="175"/>
        <v/>
      </c>
      <c r="L1075" s="852" t="s">
        <v>1496</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1701</v>
      </c>
      <c r="S1075" s="1348"/>
      <c r="T1075" s="1351" t="str">
        <f>IF(Q$1069="Yes",28,"")</f>
        <v/>
      </c>
      <c r="U1075" s="1348"/>
      <c r="V1075" s="1348"/>
      <c r="W1075" s="1348"/>
      <c r="X1075" s="1348"/>
      <c r="Y1075" s="1348"/>
      <c r="Z1075" s="1348"/>
    </row>
    <row r="1076" spans="1:26" x14ac:dyDescent="0.25">
      <c r="A1076" s="1020"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51" t="s">
        <v>1493</v>
      </c>
      <c r="G1076" s="1351" t="str">
        <f>IF(T1076&lt;&gt;"","AL","")</f>
        <v/>
      </c>
      <c r="H1076" s="1351" t="s">
        <v>1991</v>
      </c>
      <c r="I1076" s="1307" t="str">
        <f t="shared" si="174"/>
        <v/>
      </c>
      <c r="J1076" s="1351" t="str">
        <f t="shared" si="185"/>
        <v/>
      </c>
      <c r="K1076" s="1351" t="str">
        <f t="shared" si="175"/>
        <v/>
      </c>
      <c r="L1076" s="852" t="s">
        <v>1493</v>
      </c>
      <c r="M1076" s="1366">
        <v>1059</v>
      </c>
      <c r="N1076" s="1351"/>
      <c r="O1076" s="1348"/>
      <c r="P1076" s="1348"/>
      <c r="Q1076" s="1348"/>
      <c r="R1076" s="1351" t="s">
        <v>1701</v>
      </c>
      <c r="S1076" s="1348"/>
      <c r="T1076" s="1351" t="str">
        <f>IF(Q$1069="Yes",28,"")</f>
        <v/>
      </c>
      <c r="U1076" s="1348"/>
      <c r="V1076" s="1348"/>
      <c r="W1076" s="1348"/>
      <c r="X1076" s="1348"/>
      <c r="Y1076" s="1348"/>
      <c r="Z1076" s="1348"/>
    </row>
    <row r="1077" spans="1:26" x14ac:dyDescent="0.25">
      <c r="A1077" s="1020"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390" t="s">
        <v>1396</v>
      </c>
      <c r="G1077" s="1390" t="str">
        <f>IF(T1077&lt;&gt;"","S","")</f>
        <v/>
      </c>
      <c r="H1077" s="1390" t="s">
        <v>1991</v>
      </c>
      <c r="I1077" s="1307" t="str">
        <f t="shared" si="174"/>
        <v/>
      </c>
      <c r="J1077" s="1351" t="str">
        <f t="shared" si="185"/>
        <v/>
      </c>
      <c r="K1077" s="1351" t="str">
        <f t="shared" si="175"/>
        <v/>
      </c>
      <c r="L1077" s="852" t="s">
        <v>1396</v>
      </c>
      <c r="M1077" s="1366">
        <v>1060</v>
      </c>
      <c r="N1077" s="1351"/>
      <c r="O1077" s="1348"/>
      <c r="P1077" s="1348"/>
      <c r="Q1077" s="1348"/>
      <c r="R1077" s="1351" t="s">
        <v>1701</v>
      </c>
      <c r="S1077" s="1348"/>
      <c r="T1077" s="1390" t="str">
        <f>IF(Q$1069="Yes",28,"")</f>
        <v/>
      </c>
      <c r="U1077" s="1348"/>
      <c r="V1077" s="1348"/>
      <c r="W1077" s="1348"/>
      <c r="X1077" s="1348"/>
      <c r="Y1077" s="1348"/>
      <c r="Z1077" s="1348"/>
    </row>
    <row r="1078" spans="1:26" x14ac:dyDescent="0.25">
      <c r="A1078" s="1020"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51"/>
      <c r="G1078" s="1351"/>
      <c r="H1078" s="1351"/>
      <c r="I1078" s="1307" t="str">
        <f t="shared" si="174"/>
        <v/>
      </c>
      <c r="J1078" s="1351" t="str">
        <f t="shared" si="185"/>
        <v/>
      </c>
      <c r="K1078" s="1351" t="str">
        <f t="shared" si="175"/>
        <v/>
      </c>
      <c r="L1078" s="852" t="s">
        <v>1475</v>
      </c>
      <c r="M1078" s="1366">
        <v>1061</v>
      </c>
      <c r="N1078" s="1351"/>
      <c r="O1078" s="1348"/>
      <c r="P1078" s="1348"/>
      <c r="Q1078" s="1348"/>
      <c r="R1078" s="1351" t="s">
        <v>1701</v>
      </c>
      <c r="S1078" s="1348"/>
      <c r="T1078" s="1348"/>
      <c r="U1078" s="1348"/>
      <c r="V1078" s="1348"/>
      <c r="W1078" s="1348"/>
      <c r="X1078" s="1348"/>
      <c r="Y1078" s="1348"/>
      <c r="Z1078" s="1348"/>
    </row>
    <row r="1079" spans="1:26" x14ac:dyDescent="0.25">
      <c r="A1079" s="1038"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51" t="s">
        <v>1480</v>
      </c>
      <c r="G1079" s="1351" t="str">
        <f>IF(T1079&lt;&gt;"","AY","")</f>
        <v/>
      </c>
      <c r="H1079" s="1351" t="s">
        <v>1991</v>
      </c>
      <c r="I1079" s="1307" t="str">
        <f t="shared" si="174"/>
        <v/>
      </c>
      <c r="J1079" s="1351" t="str">
        <f t="shared" si="185"/>
        <v/>
      </c>
      <c r="K1079" s="1351" t="str">
        <f t="shared" si="175"/>
        <v/>
      </c>
      <c r="L1079" s="853" t="s">
        <v>1480</v>
      </c>
      <c r="M1079" s="1366">
        <v>1062</v>
      </c>
      <c r="N1079" s="1351"/>
      <c r="O1079" s="1348"/>
      <c r="P1079" s="1348"/>
      <c r="Q1079" s="1348"/>
      <c r="R1079" s="1351" t="s">
        <v>1701</v>
      </c>
      <c r="S1079" s="1348"/>
      <c r="T1079" s="1351" t="str">
        <f t="shared" ref="T1079:T1081" si="187">IF(Q$1069="Yes",28,"")</f>
        <v/>
      </c>
      <c r="U1079" s="1348"/>
      <c r="V1079" s="1348"/>
      <c r="W1079" s="1348"/>
      <c r="X1079" s="1348"/>
      <c r="Y1079" s="1348"/>
      <c r="Z1079" s="1348"/>
    </row>
    <row r="1080" spans="1:26" x14ac:dyDescent="0.25">
      <c r="A1080" s="1020"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51"/>
      <c r="G1080" s="1351"/>
      <c r="H1080" s="1351"/>
      <c r="I1080" s="1307" t="str">
        <f t="shared" si="174"/>
        <v/>
      </c>
      <c r="J1080" s="1351" t="str">
        <f t="shared" si="185"/>
        <v/>
      </c>
      <c r="K1080" s="1351" t="str">
        <f t="shared" si="175"/>
        <v/>
      </c>
      <c r="L1080" s="852" t="s">
        <v>1135</v>
      </c>
      <c r="M1080" s="1366">
        <v>1063</v>
      </c>
      <c r="N1080" s="1351"/>
      <c r="O1080" s="1348"/>
      <c r="P1080" s="1348"/>
      <c r="Q1080" s="1348"/>
      <c r="R1080" s="1351" t="s">
        <v>1701</v>
      </c>
      <c r="S1080" s="1348"/>
      <c r="T1080" s="1348"/>
      <c r="U1080" s="1348"/>
      <c r="V1080" s="1348"/>
      <c r="W1080" s="1348"/>
      <c r="X1080" s="1348"/>
      <c r="Y1080" s="1348"/>
      <c r="Z1080" s="1348"/>
    </row>
    <row r="1081" spans="1:26" x14ac:dyDescent="0.25">
      <c r="A1081" s="1020"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0" t="s">
        <v>1402</v>
      </c>
      <c r="G1081" s="1351" t="str">
        <f>IF(T1081&lt;&gt;"","AT","")</f>
        <v/>
      </c>
      <c r="H1081" s="1351" t="s">
        <v>1991</v>
      </c>
      <c r="I1081" s="1307" t="str">
        <f t="shared" si="174"/>
        <v/>
      </c>
      <c r="J1081" s="1351" t="str">
        <f t="shared" si="185"/>
        <v/>
      </c>
      <c r="K1081" s="1351" t="str">
        <f t="shared" si="175"/>
        <v/>
      </c>
      <c r="L1081" s="852" t="s">
        <v>1402</v>
      </c>
      <c r="M1081" s="1366">
        <v>1064</v>
      </c>
      <c r="N1081" s="1351"/>
      <c r="O1081" s="1348"/>
      <c r="P1081" s="1348"/>
      <c r="Q1081" s="1348"/>
      <c r="R1081" s="1351" t="s">
        <v>1701</v>
      </c>
      <c r="S1081" s="1348"/>
      <c r="T1081" s="1351" t="str">
        <f t="shared" si="187"/>
        <v/>
      </c>
      <c r="U1081" s="1348"/>
      <c r="V1081" s="1348"/>
      <c r="W1081" s="1348"/>
      <c r="X1081" s="1348"/>
      <c r="Y1081" s="1348"/>
      <c r="Z1081" s="1348"/>
    </row>
    <row r="1082" spans="1:26" x14ac:dyDescent="0.25">
      <c r="A1082" s="1020"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51"/>
      <c r="G1082" s="1351"/>
      <c r="H1082" s="1351"/>
      <c r="I1082" s="1307" t="str">
        <f t="shared" si="174"/>
        <v/>
      </c>
      <c r="J1082" s="1351" t="str">
        <f t="shared" si="185"/>
        <v/>
      </c>
      <c r="K1082" s="1351" t="str">
        <f t="shared" si="175"/>
        <v/>
      </c>
      <c r="L1082" s="852" t="s">
        <v>1481</v>
      </c>
      <c r="M1082" s="1366">
        <v>1065</v>
      </c>
      <c r="N1082" s="1351"/>
      <c r="O1082" s="1348"/>
      <c r="P1082" s="1348"/>
      <c r="Q1082" s="1348"/>
      <c r="R1082" s="1351" t="s">
        <v>1701</v>
      </c>
      <c r="S1082" s="1348"/>
      <c r="T1082" s="1348"/>
      <c r="U1082" s="1348"/>
      <c r="V1082" s="1348"/>
      <c r="W1082" s="1348"/>
      <c r="X1082" s="1348"/>
      <c r="Y1082" s="1348"/>
      <c r="Z1082" s="1348"/>
    </row>
    <row r="1083" spans="1:26" x14ac:dyDescent="0.25">
      <c r="A1083" s="1020"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51"/>
      <c r="G1083" s="1351"/>
      <c r="H1083" s="1351"/>
      <c r="I1083" s="1307" t="str">
        <f t="shared" si="174"/>
        <v/>
      </c>
      <c r="J1083" s="1351" t="str">
        <f t="shared" si="185"/>
        <v/>
      </c>
      <c r="K1083" s="1351" t="str">
        <f t="shared" si="175"/>
        <v/>
      </c>
      <c r="L1083" s="852" t="s">
        <v>1134</v>
      </c>
      <c r="M1083" s="1366">
        <v>1066</v>
      </c>
      <c r="N1083" s="1351"/>
      <c r="O1083" s="1348"/>
      <c r="P1083" s="1348"/>
      <c r="Q1083" s="1348"/>
      <c r="R1083" s="1351" t="s">
        <v>1701</v>
      </c>
      <c r="S1083" s="1348"/>
      <c r="T1083" s="1348"/>
      <c r="U1083" s="1348"/>
      <c r="V1083" s="1348"/>
      <c r="W1083" s="1348"/>
      <c r="X1083" s="1348"/>
      <c r="Y1083" s="1348"/>
      <c r="Z1083" s="134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51" t="s">
        <v>1492</v>
      </c>
      <c r="G1084" s="1351" t="str">
        <f>IF(T1084&lt;&gt;"","A","")</f>
        <v/>
      </c>
      <c r="H1084" s="1351" t="s">
        <v>1991</v>
      </c>
      <c r="I1084" s="1307" t="str">
        <f t="shared" si="174"/>
        <v/>
      </c>
      <c r="J1084" s="1351"/>
      <c r="K1084" s="1351" t="str">
        <f t="shared" si="175"/>
        <v/>
      </c>
      <c r="L1084" s="852" t="s">
        <v>1492</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51"/>
      <c r="G1085" s="1351"/>
      <c r="H1085" s="1351"/>
      <c r="I1085" s="1307" t="str">
        <f t="shared" si="174"/>
        <v/>
      </c>
      <c r="J1085" s="1351" t="str">
        <f t="shared" ref="J1085:J1093" si="188">IF(M1085&lt;&gt;"",IF($Q$1085="Yes",Q$1&amp;M1085,""))</f>
        <v/>
      </c>
      <c r="K1085" s="1351" t="str">
        <f t="shared" si="175"/>
        <v/>
      </c>
      <c r="L1085" s="852" t="s">
        <v>1706</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51" t="s">
        <v>1383</v>
      </c>
      <c r="G1086" s="1351" t="str">
        <f>IF(T1086&lt;&gt;"","B","")</f>
        <v/>
      </c>
      <c r="H1086" s="1351" t="s">
        <v>1991</v>
      </c>
      <c r="I1086" s="1307" t="str">
        <f t="shared" si="174"/>
        <v/>
      </c>
      <c r="J1086" s="1351"/>
      <c r="K1086" s="1351" t="str">
        <f t="shared" si="175"/>
        <v/>
      </c>
      <c r="L1086" s="852"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51" t="s">
        <v>1993</v>
      </c>
      <c r="G1087" s="1351" t="str">
        <f>IF(T1087&lt;&gt;"","I","")</f>
        <v/>
      </c>
      <c r="H1087" s="1351" t="s">
        <v>1991</v>
      </c>
      <c r="I1087" s="1307" t="str">
        <f t="shared" si="174"/>
        <v/>
      </c>
      <c r="J1087" s="1351" t="str">
        <f t="shared" si="188"/>
        <v/>
      </c>
      <c r="K1087" s="1351" t="str">
        <f t="shared" si="175"/>
        <v/>
      </c>
      <c r="L1087" s="852"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51" t="s">
        <v>1382</v>
      </c>
      <c r="G1088" s="1351" t="str">
        <f>IF(T1088&lt;&gt;"",IF(Q1087="Credit Memo","J",IF(Q1087="Check","K","")),"")</f>
        <v/>
      </c>
      <c r="H1088" s="1351" t="s">
        <v>1991</v>
      </c>
      <c r="I1088" s="1307" t="str">
        <f t="shared" si="174"/>
        <v/>
      </c>
      <c r="J1088" s="1351" t="str">
        <f t="shared" si="188"/>
        <v/>
      </c>
      <c r="K1088" s="1351" t="str">
        <f t="shared" si="175"/>
        <v/>
      </c>
      <c r="L1088" s="852" t="s">
        <v>1382</v>
      </c>
      <c r="M1088" s="1366">
        <v>1071</v>
      </c>
      <c r="N1088" s="1351"/>
      <c r="O1088" s="1348" t="s">
        <v>1657</v>
      </c>
      <c r="P1088" s="1348"/>
      <c r="Q1088" s="1348"/>
      <c r="R1088" s="1351" t="s">
        <v>1099</v>
      </c>
      <c r="S1088" s="1348"/>
      <c r="T1088" s="1351" t="str">
        <f t="shared" si="189"/>
        <v/>
      </c>
      <c r="U1088" s="1348"/>
      <c r="V1088" s="1348"/>
      <c r="W1088" s="1348"/>
      <c r="X1088" s="1348"/>
      <c r="Y1088" s="1348"/>
      <c r="Z1088" s="134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51" t="s">
        <v>1385</v>
      </c>
      <c r="G1089" s="1351" t="str">
        <f>IF(T1089&lt;&gt;"","C","")</f>
        <v/>
      </c>
      <c r="H1089" s="1351" t="s">
        <v>1991</v>
      </c>
      <c r="I1089" s="1307" t="str">
        <f t="shared" si="174"/>
        <v/>
      </c>
      <c r="J1089" s="1351"/>
      <c r="K1089" s="1351" t="str">
        <f t="shared" si="175"/>
        <v/>
      </c>
      <c r="L1089" s="852"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51" t="s">
        <v>1386</v>
      </c>
      <c r="G1090" s="1351" t="str">
        <f>IF(T1090&lt;&gt;"","D","")</f>
        <v/>
      </c>
      <c r="H1090" s="1351" t="s">
        <v>1991</v>
      </c>
      <c r="I1090" s="1307" t="str">
        <f t="shared" si="174"/>
        <v/>
      </c>
      <c r="J1090" s="1351"/>
      <c r="K1090" s="1351" t="str">
        <f t="shared" si="175"/>
        <v/>
      </c>
      <c r="L1090" s="852"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51" t="s">
        <v>1496</v>
      </c>
      <c r="G1091" s="1351" t="str">
        <f>IF(T1091&lt;&gt;"","AN","")</f>
        <v/>
      </c>
      <c r="H1091" s="1351" t="s">
        <v>1991</v>
      </c>
      <c r="I1091" s="1307" t="str">
        <f t="shared" si="174"/>
        <v/>
      </c>
      <c r="J1091" s="1351" t="str">
        <f t="shared" si="188"/>
        <v/>
      </c>
      <c r="K1091" s="1351" t="str">
        <f t="shared" si="175"/>
        <v/>
      </c>
      <c r="L1091" s="852" t="s">
        <v>1496</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51" t="s">
        <v>1493</v>
      </c>
      <c r="G1092" s="1351" t="str">
        <f>IF(T1092&lt;&gt;"","AL","")</f>
        <v/>
      </c>
      <c r="H1092" s="1351" t="s">
        <v>1991</v>
      </c>
      <c r="I1092" s="1307" t="str">
        <f t="shared" ref="I1092:I1155" si="190">IF(J1092&lt;&gt;"",A1092,"")</f>
        <v/>
      </c>
      <c r="J1092" s="1351" t="str">
        <f t="shared" si="188"/>
        <v/>
      </c>
      <c r="K1092" s="1351" t="str">
        <f t="shared" ref="K1092:K1155" si="191">IF(J1092&lt;&gt;"",E1092,"")</f>
        <v/>
      </c>
      <c r="L1092" s="852" t="s">
        <v>1493</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390" t="s">
        <v>1396</v>
      </c>
      <c r="G1093" s="1390" t="str">
        <f>IF(T1093&lt;&gt;"","S","")</f>
        <v/>
      </c>
      <c r="H1093" s="1390" t="s">
        <v>1991</v>
      </c>
      <c r="I1093" s="1307" t="str">
        <f t="shared" si="190"/>
        <v/>
      </c>
      <c r="J1093" s="1351" t="str">
        <f t="shared" si="188"/>
        <v/>
      </c>
      <c r="K1093" s="1351" t="str">
        <f t="shared" si="191"/>
        <v/>
      </c>
      <c r="L1093" s="852"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51" t="s">
        <v>1492</v>
      </c>
      <c r="G1094" s="1351" t="str">
        <f>IF(T1094&lt;&gt;"","A","")</f>
        <v/>
      </c>
      <c r="H1094" s="1351" t="s">
        <v>1991</v>
      </c>
      <c r="I1094" s="1307" t="str">
        <f t="shared" si="190"/>
        <v/>
      </c>
      <c r="J1094" s="1351"/>
      <c r="K1094" s="1351" t="str">
        <f t="shared" si="191"/>
        <v/>
      </c>
      <c r="L1094" s="852" t="s">
        <v>1492</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51"/>
      <c r="G1095" s="1351"/>
      <c r="H1095" s="1351"/>
      <c r="I1095" s="1307" t="str">
        <f t="shared" si="190"/>
        <v/>
      </c>
      <c r="J1095" s="1351" t="str">
        <f>IF(M1095&lt;&gt;"",IF($Q$1095="Yes",Q$1&amp;M1095,""))</f>
        <v/>
      </c>
      <c r="K1095" s="1351" t="str">
        <f t="shared" si="191"/>
        <v/>
      </c>
      <c r="L1095" s="852" t="s">
        <v>1706</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51" t="s">
        <v>1383</v>
      </c>
      <c r="G1096" s="1351" t="str">
        <f>IF(T1096&lt;&gt;"","B","")</f>
        <v/>
      </c>
      <c r="H1096" s="1351" t="s">
        <v>1991</v>
      </c>
      <c r="I1096" s="1307" t="str">
        <f t="shared" si="190"/>
        <v/>
      </c>
      <c r="J1096" s="1351"/>
      <c r="K1096" s="1351" t="str">
        <f t="shared" si="191"/>
        <v/>
      </c>
      <c r="L1096" s="852"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51" t="s">
        <v>1993</v>
      </c>
      <c r="G1097" s="1351" t="str">
        <f>IF(T1097&lt;&gt;"","I","")</f>
        <v/>
      </c>
      <c r="H1097" s="1351" t="s">
        <v>1991</v>
      </c>
      <c r="I1097" s="1307" t="str">
        <f t="shared" si="190"/>
        <v/>
      </c>
      <c r="J1097" s="1390" t="str">
        <f>IF(M1097&lt;&gt;"",IF($Q$1095="Yes",Q$1&amp;M1097,""))</f>
        <v/>
      </c>
      <c r="K1097" s="1351" t="str">
        <f t="shared" si="191"/>
        <v/>
      </c>
      <c r="L1097" s="852"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51" t="s">
        <v>1382</v>
      </c>
      <c r="G1098" s="1351" t="str">
        <f>IF(T1098&lt;&gt;"",IF(Q1097="Credit Memo","J",IF(Q1097="Check","K","")),"")</f>
        <v/>
      </c>
      <c r="H1098" s="1351" t="s">
        <v>1991</v>
      </c>
      <c r="I1098" s="1307" t="str">
        <f t="shared" si="190"/>
        <v/>
      </c>
      <c r="J1098" s="1390" t="str">
        <f>IF(M1098&lt;&gt;"",IF($Q$1095="Yes",Q$1&amp;M1098,""))</f>
        <v/>
      </c>
      <c r="K1098" s="1351" t="str">
        <f t="shared" si="191"/>
        <v/>
      </c>
      <c r="L1098" s="852" t="s">
        <v>1382</v>
      </c>
      <c r="M1098" s="1366">
        <v>1081</v>
      </c>
      <c r="N1098" s="1351"/>
      <c r="O1098" s="1348" t="s">
        <v>1658</v>
      </c>
      <c r="P1098" s="1348"/>
      <c r="Q1098" s="1348"/>
      <c r="R1098" s="1351" t="s">
        <v>1099</v>
      </c>
      <c r="S1098" s="1348"/>
      <c r="T1098" s="1351" t="str">
        <f t="shared" si="192"/>
        <v/>
      </c>
      <c r="U1098" s="1348"/>
      <c r="V1098" s="1348"/>
      <c r="W1098" s="1348"/>
      <c r="X1098" s="1348"/>
      <c r="Y1098" s="1348"/>
      <c r="Z1098" s="134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51" t="s">
        <v>1385</v>
      </c>
      <c r="G1099" s="1351" t="str">
        <f>IF(T1099&lt;&gt;"","C","")</f>
        <v/>
      </c>
      <c r="H1099" s="1351" t="s">
        <v>1991</v>
      </c>
      <c r="I1099" s="1307" t="str">
        <f t="shared" si="190"/>
        <v/>
      </c>
      <c r="J1099" s="1351"/>
      <c r="K1099" s="1351" t="str">
        <f t="shared" si="191"/>
        <v/>
      </c>
      <c r="L1099" s="852"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51" t="s">
        <v>1386</v>
      </c>
      <c r="G1100" s="1351" t="str">
        <f>IF(T1100&lt;&gt;"","D","")</f>
        <v/>
      </c>
      <c r="H1100" s="1351" t="s">
        <v>1991</v>
      </c>
      <c r="I1100" s="1307" t="str">
        <f t="shared" si="190"/>
        <v/>
      </c>
      <c r="J1100" s="1351"/>
      <c r="K1100" s="1351" t="str">
        <f t="shared" si="191"/>
        <v/>
      </c>
      <c r="L1100" s="852"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51" t="s">
        <v>1496</v>
      </c>
      <c r="G1101" s="1351" t="str">
        <f>IF(T1101&lt;&gt;"","AN","")</f>
        <v/>
      </c>
      <c r="H1101" s="1351" t="s">
        <v>1991</v>
      </c>
      <c r="I1101" s="1307" t="str">
        <f t="shared" si="190"/>
        <v/>
      </c>
      <c r="J1101" s="1390" t="str">
        <f>IF(M1101&lt;&gt;"",IF($Q$1095="Yes",Q$1&amp;M1101,""))</f>
        <v/>
      </c>
      <c r="K1101" s="1351" t="str">
        <f t="shared" si="191"/>
        <v/>
      </c>
      <c r="L1101" s="852" t="s">
        <v>1496</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51" t="s">
        <v>1493</v>
      </c>
      <c r="G1102" s="1351" t="str">
        <f>IF(T1102&lt;&gt;"","AL","")</f>
        <v/>
      </c>
      <c r="H1102" s="1351" t="s">
        <v>1991</v>
      </c>
      <c r="I1102" s="1307" t="str">
        <f t="shared" si="190"/>
        <v/>
      </c>
      <c r="J1102" s="1390" t="str">
        <f>IF(M1102&lt;&gt;"",IF($Q$1095="Yes",Q$1&amp;M1102,""))</f>
        <v/>
      </c>
      <c r="K1102" s="1351" t="str">
        <f t="shared" si="191"/>
        <v/>
      </c>
      <c r="L1102" s="852" t="s">
        <v>1493</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390" t="s">
        <v>1396</v>
      </c>
      <c r="G1103" s="1390" t="str">
        <f>IF(T1103&lt;&gt;"","S","")</f>
        <v/>
      </c>
      <c r="H1103" s="1390" t="s">
        <v>1991</v>
      </c>
      <c r="I1103" s="1307" t="str">
        <f t="shared" si="190"/>
        <v/>
      </c>
      <c r="J1103" s="1390" t="str">
        <f>IF(M1103&lt;&gt;"",IF($Q$1095="Yes",Q$1&amp;M1103,""))</f>
        <v/>
      </c>
      <c r="K1103" s="1351" t="str">
        <f t="shared" si="191"/>
        <v/>
      </c>
      <c r="L1103" s="852"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51" t="s">
        <v>1492</v>
      </c>
      <c r="G1104" s="1351" t="str">
        <f>IF(T1104&lt;&gt;"","A","")</f>
        <v/>
      </c>
      <c r="H1104" s="1351" t="s">
        <v>1991</v>
      </c>
      <c r="I1104" s="1307" t="str">
        <f t="shared" si="190"/>
        <v/>
      </c>
      <c r="J1104" s="1351"/>
      <c r="K1104" s="1351" t="str">
        <f t="shared" si="191"/>
        <v/>
      </c>
      <c r="L1104" s="852" t="s">
        <v>1492</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51"/>
      <c r="G1105" s="1351"/>
      <c r="H1105" s="1351"/>
      <c r="I1105" s="1307" t="str">
        <f t="shared" si="190"/>
        <v/>
      </c>
      <c r="J1105" s="1351" t="str">
        <f t="shared" ref="J1105:J1132" si="193">IF(M1105&lt;&gt;"",IF($Q$1105="Yes",Q$1&amp;M1105,""))</f>
        <v/>
      </c>
      <c r="K1105" s="1351" t="str">
        <f t="shared" si="191"/>
        <v/>
      </c>
      <c r="L1105" s="852" t="s">
        <v>1706</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51" t="s">
        <v>1383</v>
      </c>
      <c r="G1106" s="1351" t="str">
        <f>IF(T1106&lt;&gt;"","B","")</f>
        <v/>
      </c>
      <c r="H1106" s="1351" t="s">
        <v>1991</v>
      </c>
      <c r="I1106" s="1307" t="str">
        <f t="shared" si="190"/>
        <v/>
      </c>
      <c r="J1106" s="1351"/>
      <c r="K1106" s="1351" t="str">
        <f t="shared" si="191"/>
        <v/>
      </c>
      <c r="L1106" s="852"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51" t="s">
        <v>1992</v>
      </c>
      <c r="G1107" s="1351" t="str">
        <f>IF(T1107&lt;&gt;"","E","")</f>
        <v/>
      </c>
      <c r="H1107" s="1351" t="s">
        <v>1991</v>
      </c>
      <c r="I1107" s="1307" t="str">
        <f t="shared" si="190"/>
        <v/>
      </c>
      <c r="J1107" s="1351" t="str">
        <f t="shared" si="193"/>
        <v/>
      </c>
      <c r="K1107" s="1351" t="str">
        <f t="shared" si="191"/>
        <v/>
      </c>
      <c r="L1107" s="852"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51" t="s">
        <v>1993</v>
      </c>
      <c r="G1108" s="1351" t="str">
        <f>IF(T1108&lt;&gt;"","I","")</f>
        <v/>
      </c>
      <c r="H1108" s="1351" t="s">
        <v>1991</v>
      </c>
      <c r="I1108" s="1307" t="str">
        <f t="shared" si="190"/>
        <v/>
      </c>
      <c r="J1108" s="1351" t="str">
        <f t="shared" si="193"/>
        <v/>
      </c>
      <c r="K1108" s="1351" t="str">
        <f t="shared" si="191"/>
        <v/>
      </c>
      <c r="L1108" s="852" t="s">
        <v>1381</v>
      </c>
      <c r="M1108" s="1366">
        <v>1091</v>
      </c>
      <c r="N1108" s="1351"/>
      <c r="O1108" s="1348" t="s">
        <v>1659</v>
      </c>
      <c r="P1108" s="1348"/>
      <c r="Q1108" s="1348" t="s">
        <v>482</v>
      </c>
      <c r="R1108" s="1351" t="s">
        <v>1099</v>
      </c>
      <c r="S1108" s="1348"/>
      <c r="T1108" s="1351" t="str">
        <f t="shared" si="194"/>
        <v/>
      </c>
      <c r="U1108" s="1348"/>
      <c r="V1108" s="1348"/>
      <c r="W1108" s="1348"/>
      <c r="X1108" s="1348"/>
      <c r="Y1108" s="1348"/>
      <c r="Z1108" s="134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51" t="s">
        <v>1382</v>
      </c>
      <c r="G1109" s="1351" t="str">
        <f>IF(T1109&lt;&gt;"",IF(Q1108="Credit Memo","J",IF(Q1108="Check","K","")),"")</f>
        <v/>
      </c>
      <c r="H1109" s="1351" t="s">
        <v>1991</v>
      </c>
      <c r="I1109" s="1307" t="str">
        <f t="shared" si="190"/>
        <v/>
      </c>
      <c r="J1109" s="1351" t="str">
        <f t="shared" si="193"/>
        <v/>
      </c>
      <c r="K1109" s="1351" t="str">
        <f t="shared" si="191"/>
        <v/>
      </c>
      <c r="L1109" s="852"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51" t="s">
        <v>1996</v>
      </c>
      <c r="G1110" s="1351" t="str">
        <f>IF(T1110&lt;&gt;"","G","")</f>
        <v/>
      </c>
      <c r="H1110" s="1351" t="s">
        <v>1991</v>
      </c>
      <c r="I1110" s="1307" t="str">
        <f t="shared" si="190"/>
        <v/>
      </c>
      <c r="J1110" s="1351" t="str">
        <f t="shared" si="193"/>
        <v/>
      </c>
      <c r="K1110" s="1351" t="str">
        <f t="shared" si="191"/>
        <v/>
      </c>
      <c r="L1110" s="852" t="s">
        <v>1488</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51" t="str">
        <f>IF(T1111&lt;&gt;"","AW","")</f>
        <v/>
      </c>
      <c r="H1111" s="1351" t="s">
        <v>1991</v>
      </c>
      <c r="I1111" s="1307" t="str">
        <f t="shared" si="190"/>
        <v/>
      </c>
      <c r="J1111" s="1351" t="str">
        <f t="shared" si="193"/>
        <v/>
      </c>
      <c r="K1111" s="1351" t="str">
        <f t="shared" si="191"/>
        <v/>
      </c>
      <c r="L1111" s="852" t="s">
        <v>1489</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51" t="s">
        <v>1385</v>
      </c>
      <c r="G1112" s="1351" t="str">
        <f>IF(T1112&lt;&gt;"","C","")</f>
        <v/>
      </c>
      <c r="H1112" s="1351" t="s">
        <v>1991</v>
      </c>
      <c r="I1112" s="1307" t="str">
        <f t="shared" si="190"/>
        <v/>
      </c>
      <c r="J1112" s="1351"/>
      <c r="K1112" s="1351" t="str">
        <f t="shared" si="191"/>
        <v/>
      </c>
      <c r="L1112" s="852"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51" t="s">
        <v>1386</v>
      </c>
      <c r="G1113" s="1351" t="str">
        <f>IF(T1113&lt;&gt;"","D","")</f>
        <v/>
      </c>
      <c r="H1113" s="1351" t="s">
        <v>1991</v>
      </c>
      <c r="I1113" s="1307" t="str">
        <f t="shared" si="190"/>
        <v/>
      </c>
      <c r="J1113" s="1351"/>
      <c r="K1113" s="1351" t="str">
        <f t="shared" si="191"/>
        <v/>
      </c>
      <c r="L1113" s="852"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51" t="s">
        <v>1496</v>
      </c>
      <c r="G1114" s="1351" t="str">
        <f>IF(T1114&lt;&gt;"","AN","")</f>
        <v/>
      </c>
      <c r="H1114" s="1351" t="s">
        <v>1991</v>
      </c>
      <c r="I1114" s="1307" t="str">
        <f t="shared" si="190"/>
        <v/>
      </c>
      <c r="J1114" s="1351" t="str">
        <f t="shared" si="193"/>
        <v/>
      </c>
      <c r="K1114" s="1351" t="str">
        <f t="shared" si="191"/>
        <v/>
      </c>
      <c r="L1114" s="852" t="s">
        <v>1496</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51" t="s">
        <v>1493</v>
      </c>
      <c r="G1115" s="1351" t="str">
        <f>IF(T1115&lt;&gt;"","AL","")</f>
        <v/>
      </c>
      <c r="H1115" s="1351" t="s">
        <v>1991</v>
      </c>
      <c r="I1115" s="1307" t="str">
        <f t="shared" si="190"/>
        <v/>
      </c>
      <c r="J1115" s="1351" t="str">
        <f t="shared" si="193"/>
        <v/>
      </c>
      <c r="K1115" s="1351" t="str">
        <f t="shared" si="191"/>
        <v/>
      </c>
      <c r="L1115" s="852" t="s">
        <v>1493</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51" t="s">
        <v>1913</v>
      </c>
      <c r="G1116" s="1351" t="str">
        <f>IF(T1116&lt;&gt;"","O","")</f>
        <v/>
      </c>
      <c r="H1116" s="1351" t="s">
        <v>1991</v>
      </c>
      <c r="I1116" s="1307" t="str">
        <f t="shared" si="190"/>
        <v/>
      </c>
      <c r="J1116" s="1351"/>
      <c r="K1116" s="1351" t="str">
        <f t="shared" si="191"/>
        <v/>
      </c>
      <c r="L1116" s="852"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391" t="s">
        <v>1396</v>
      </c>
      <c r="G1117" s="1391" t="str">
        <f>IF(T1117&lt;&gt;"","S","")</f>
        <v/>
      </c>
      <c r="H1117" s="1391" t="s">
        <v>1991</v>
      </c>
      <c r="I1117" s="1307" t="str">
        <f t="shared" si="190"/>
        <v/>
      </c>
      <c r="J1117" s="1351" t="str">
        <f t="shared" si="193"/>
        <v/>
      </c>
      <c r="K1117" s="1351" t="str">
        <f t="shared" si="191"/>
        <v/>
      </c>
      <c r="L1117" s="852"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0"/>
      <c r="G1118" s="852"/>
      <c r="H1118" s="852"/>
      <c r="I1118" s="1307" t="str">
        <f t="shared" si="190"/>
        <v/>
      </c>
      <c r="J1118" s="1351" t="str">
        <f t="shared" si="193"/>
        <v/>
      </c>
      <c r="K1118" s="1351" t="str">
        <f t="shared" si="191"/>
        <v/>
      </c>
      <c r="L1118" s="852" t="s">
        <v>1482</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0"/>
      <c r="G1119" s="852"/>
      <c r="H1119" s="852"/>
      <c r="I1119" s="1307" t="str">
        <f t="shared" si="190"/>
        <v/>
      </c>
      <c r="J1119" s="1351" t="str">
        <f t="shared" si="193"/>
        <v/>
      </c>
      <c r="K1119" s="1351" t="str">
        <f t="shared" si="191"/>
        <v/>
      </c>
      <c r="L1119" s="852"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0"/>
      <c r="G1120" s="852"/>
      <c r="H1120" s="852"/>
      <c r="I1120" s="1307" t="str">
        <f t="shared" si="190"/>
        <v/>
      </c>
      <c r="J1120" s="1351" t="str">
        <f t="shared" si="193"/>
        <v/>
      </c>
      <c r="K1120" s="1351" t="str">
        <f t="shared" si="191"/>
        <v/>
      </c>
      <c r="L1120" s="852" t="s">
        <v>1483</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07" t="str">
        <f t="shared" si="190"/>
        <v/>
      </c>
      <c r="J1121" s="1351" t="str">
        <f t="shared" si="193"/>
        <v/>
      </c>
      <c r="K1121" s="1351" t="str">
        <f t="shared" si="191"/>
        <v/>
      </c>
      <c r="L1121" s="852" t="s">
        <v>1482</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07" t="str">
        <f t="shared" si="190"/>
        <v/>
      </c>
      <c r="J1122" s="1351" t="str">
        <f t="shared" si="193"/>
        <v/>
      </c>
      <c r="K1122" s="1351" t="str">
        <f t="shared" si="191"/>
        <v/>
      </c>
      <c r="L1122" s="852"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07" t="str">
        <f t="shared" si="190"/>
        <v/>
      </c>
      <c r="J1123" s="1351" t="str">
        <f t="shared" si="193"/>
        <v/>
      </c>
      <c r="K1123" s="1351" t="str">
        <f t="shared" si="191"/>
        <v/>
      </c>
      <c r="L1123" s="852" t="s">
        <v>1483</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07" t="str">
        <f t="shared" si="190"/>
        <v/>
      </c>
      <c r="J1124" s="1351" t="str">
        <f t="shared" si="193"/>
        <v/>
      </c>
      <c r="K1124" s="1351" t="str">
        <f t="shared" si="191"/>
        <v/>
      </c>
      <c r="L1124" s="852" t="s">
        <v>1482</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07" t="str">
        <f t="shared" si="190"/>
        <v/>
      </c>
      <c r="J1125" s="1351" t="str">
        <f t="shared" si="193"/>
        <v/>
      </c>
      <c r="K1125" s="1351" t="str">
        <f t="shared" si="191"/>
        <v/>
      </c>
      <c r="L1125" s="852"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07" t="str">
        <f t="shared" si="190"/>
        <v/>
      </c>
      <c r="J1126" s="1351" t="str">
        <f t="shared" si="193"/>
        <v/>
      </c>
      <c r="K1126" s="1351" t="str">
        <f t="shared" si="191"/>
        <v/>
      </c>
      <c r="L1126" s="852" t="s">
        <v>1483</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07" t="str">
        <f t="shared" si="190"/>
        <v/>
      </c>
      <c r="J1127" s="1351" t="str">
        <f t="shared" si="193"/>
        <v/>
      </c>
      <c r="K1127" s="1351" t="str">
        <f t="shared" si="191"/>
        <v/>
      </c>
      <c r="L1127" s="852" t="s">
        <v>1482</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07" t="str">
        <f t="shared" si="190"/>
        <v/>
      </c>
      <c r="J1128" s="1351" t="str">
        <f t="shared" si="193"/>
        <v/>
      </c>
      <c r="K1128" s="1351" t="str">
        <f t="shared" si="191"/>
        <v/>
      </c>
      <c r="L1128" s="852"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07" t="str">
        <f t="shared" si="190"/>
        <v/>
      </c>
      <c r="J1129" s="1351" t="str">
        <f t="shared" si="193"/>
        <v/>
      </c>
      <c r="K1129" s="1351" t="str">
        <f t="shared" si="191"/>
        <v/>
      </c>
      <c r="L1129" s="852" t="s">
        <v>1483</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07" t="str">
        <f t="shared" si="190"/>
        <v/>
      </c>
      <c r="J1130" s="1351" t="str">
        <f t="shared" si="193"/>
        <v/>
      </c>
      <c r="K1130" s="1351" t="str">
        <f t="shared" si="191"/>
        <v/>
      </c>
      <c r="L1130" s="852" t="s">
        <v>1482</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07" t="str">
        <f t="shared" si="190"/>
        <v/>
      </c>
      <c r="J1131" s="1351" t="str">
        <f t="shared" si="193"/>
        <v/>
      </c>
      <c r="K1131" s="1351" t="str">
        <f t="shared" si="191"/>
        <v/>
      </c>
      <c r="L1131" s="852"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07" t="str">
        <f t="shared" si="190"/>
        <v/>
      </c>
      <c r="J1132" s="1351" t="str">
        <f t="shared" si="193"/>
        <v/>
      </c>
      <c r="K1132" s="1351" t="str">
        <f t="shared" si="191"/>
        <v/>
      </c>
      <c r="L1132" s="852" t="s">
        <v>1483</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51" t="s">
        <v>1492</v>
      </c>
      <c r="G1133" s="1351" t="str">
        <f>IF(T1133&lt;&gt;"","A","")</f>
        <v/>
      </c>
      <c r="H1133" s="1351" t="s">
        <v>1991</v>
      </c>
      <c r="I1133" s="1307" t="str">
        <f t="shared" si="190"/>
        <v/>
      </c>
      <c r="J1133" s="1351"/>
      <c r="K1133" s="1351" t="str">
        <f t="shared" si="191"/>
        <v/>
      </c>
      <c r="L1133" s="852" t="s">
        <v>1492</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51"/>
      <c r="G1134" s="1351"/>
      <c r="H1134" s="1351"/>
      <c r="I1134" s="1307" t="str">
        <f t="shared" si="190"/>
        <v/>
      </c>
      <c r="J1134" s="1351" t="str">
        <f t="shared" ref="J1134:J1161" si="198">IF(M1134&lt;&gt;"",IF($Q$1134="Yes",Q$1&amp;M1134,""))</f>
        <v/>
      </c>
      <c r="K1134" s="1351" t="str">
        <f t="shared" si="191"/>
        <v/>
      </c>
      <c r="L1134" s="852" t="s">
        <v>1706</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51" t="s">
        <v>1383</v>
      </c>
      <c r="G1135" s="1351" t="str">
        <f>IF(T1135&lt;&gt;"","B","")</f>
        <v/>
      </c>
      <c r="H1135" s="1351" t="s">
        <v>1991</v>
      </c>
      <c r="I1135" s="1307" t="str">
        <f t="shared" si="190"/>
        <v/>
      </c>
      <c r="J1135" s="1351"/>
      <c r="K1135" s="1351" t="str">
        <f t="shared" si="191"/>
        <v/>
      </c>
      <c r="L1135" s="852"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51" t="s">
        <v>1992</v>
      </c>
      <c r="G1136" s="1351" t="str">
        <f>IF(T1136&lt;&gt;"","E","")</f>
        <v/>
      </c>
      <c r="H1136" s="1351" t="s">
        <v>1991</v>
      </c>
      <c r="I1136" s="1307" t="str">
        <f t="shared" si="190"/>
        <v/>
      </c>
      <c r="J1136" s="1351" t="str">
        <f t="shared" si="198"/>
        <v/>
      </c>
      <c r="K1136" s="1351" t="str">
        <f t="shared" si="191"/>
        <v/>
      </c>
      <c r="L1136" s="852"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51" t="s">
        <v>1993</v>
      </c>
      <c r="G1137" s="1351" t="str">
        <f>IF(T1137&lt;&gt;"","I","")</f>
        <v/>
      </c>
      <c r="H1137" s="1351" t="s">
        <v>1991</v>
      </c>
      <c r="I1137" s="1307" t="str">
        <f t="shared" si="190"/>
        <v/>
      </c>
      <c r="J1137" s="1351" t="str">
        <f t="shared" si="198"/>
        <v/>
      </c>
      <c r="K1137" s="1351" t="str">
        <f t="shared" si="191"/>
        <v/>
      </c>
      <c r="L1137" s="852" t="s">
        <v>1381</v>
      </c>
      <c r="M1137" s="1366">
        <v>1120</v>
      </c>
      <c r="N1137" s="1351"/>
      <c r="O1137" s="1348" t="s">
        <v>1660</v>
      </c>
      <c r="P1137" s="1348"/>
      <c r="Q1137" s="1348"/>
      <c r="R1137" s="1351" t="s">
        <v>1099</v>
      </c>
      <c r="S1137" s="1348"/>
      <c r="T1137" s="1351" t="str">
        <f t="shared" si="199"/>
        <v/>
      </c>
      <c r="U1137" s="1348"/>
      <c r="V1137" s="1348"/>
      <c r="W1137" s="1348"/>
      <c r="X1137" s="1348"/>
      <c r="Y1137" s="1348"/>
      <c r="Z1137" s="134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51" t="s">
        <v>1382</v>
      </c>
      <c r="G1138" s="1351" t="str">
        <f>IF(T1138&lt;&gt;"",IF(Q1136="Credit Memo","J",IF(Q1136="Check","K","")),"")</f>
        <v/>
      </c>
      <c r="H1138" s="1351" t="s">
        <v>1991</v>
      </c>
      <c r="I1138" s="1307" t="str">
        <f t="shared" si="190"/>
        <v/>
      </c>
      <c r="J1138" s="1351" t="str">
        <f t="shared" si="198"/>
        <v/>
      </c>
      <c r="K1138" s="1351" t="str">
        <f t="shared" si="191"/>
        <v/>
      </c>
      <c r="L1138" s="852"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51" t="s">
        <v>1996</v>
      </c>
      <c r="G1139" s="1351" t="str">
        <f>IF(T1139&lt;&gt;"","G","")</f>
        <v/>
      </c>
      <c r="H1139" s="1351" t="s">
        <v>1991</v>
      </c>
      <c r="I1139" s="1307" t="str">
        <f t="shared" si="190"/>
        <v/>
      </c>
      <c r="J1139" s="1351" t="str">
        <f t="shared" si="198"/>
        <v/>
      </c>
      <c r="K1139" s="1351" t="str">
        <f t="shared" si="191"/>
        <v/>
      </c>
      <c r="L1139" s="852" t="s">
        <v>1488</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51" t="str">
        <f>IF(T1140&lt;&gt;"","AW","")</f>
        <v/>
      </c>
      <c r="H1140" s="1351" t="s">
        <v>1991</v>
      </c>
      <c r="I1140" s="1307" t="str">
        <f t="shared" si="190"/>
        <v/>
      </c>
      <c r="J1140" s="1351" t="str">
        <f t="shared" si="198"/>
        <v/>
      </c>
      <c r="K1140" s="1351" t="str">
        <f t="shared" si="191"/>
        <v/>
      </c>
      <c r="L1140" s="852" t="s">
        <v>1489</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51" t="s">
        <v>1385</v>
      </c>
      <c r="G1141" s="1351" t="str">
        <f>IF(T1141&lt;&gt;"","C","")</f>
        <v/>
      </c>
      <c r="H1141" s="1351" t="s">
        <v>1991</v>
      </c>
      <c r="I1141" s="1307" t="str">
        <f t="shared" si="190"/>
        <v/>
      </c>
      <c r="J1141" s="1351"/>
      <c r="K1141" s="1351" t="str">
        <f t="shared" si="191"/>
        <v/>
      </c>
      <c r="L1141" s="852"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51" t="s">
        <v>1386</v>
      </c>
      <c r="G1142" s="1351" t="str">
        <f>IF(T1142&lt;&gt;"","D","")</f>
        <v/>
      </c>
      <c r="H1142" s="1351" t="s">
        <v>1991</v>
      </c>
      <c r="I1142" s="1307" t="str">
        <f t="shared" si="190"/>
        <v/>
      </c>
      <c r="J1142" s="1351"/>
      <c r="K1142" s="1351" t="str">
        <f t="shared" si="191"/>
        <v/>
      </c>
      <c r="L1142" s="852"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51" t="s">
        <v>1496</v>
      </c>
      <c r="G1143" s="1351" t="str">
        <f>IF(T1143&lt;&gt;"","AN","")</f>
        <v/>
      </c>
      <c r="H1143" s="1351" t="s">
        <v>1991</v>
      </c>
      <c r="I1143" s="1307" t="str">
        <f t="shared" si="190"/>
        <v/>
      </c>
      <c r="J1143" s="1351" t="str">
        <f t="shared" si="198"/>
        <v/>
      </c>
      <c r="K1143" s="1351" t="str">
        <f t="shared" si="191"/>
        <v/>
      </c>
      <c r="L1143" s="852" t="s">
        <v>1496</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51" t="s">
        <v>1493</v>
      </c>
      <c r="G1144" s="1351" t="str">
        <f>IF(T1144&lt;&gt;"","AL","")</f>
        <v/>
      </c>
      <c r="H1144" s="1351" t="s">
        <v>1991</v>
      </c>
      <c r="I1144" s="1307" t="str">
        <f t="shared" si="190"/>
        <v/>
      </c>
      <c r="J1144" s="1351" t="str">
        <f t="shared" si="198"/>
        <v/>
      </c>
      <c r="K1144" s="1351" t="str">
        <f t="shared" si="191"/>
        <v/>
      </c>
      <c r="L1144" s="852" t="s">
        <v>1493</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51" t="s">
        <v>1913</v>
      </c>
      <c r="G1145" s="1351" t="str">
        <f>IF(T1145&lt;&gt;"","O","")</f>
        <v/>
      </c>
      <c r="H1145" s="1351" t="s">
        <v>1991</v>
      </c>
      <c r="I1145" s="1307" t="str">
        <f t="shared" si="190"/>
        <v/>
      </c>
      <c r="J1145" s="1351"/>
      <c r="K1145" s="1351" t="str">
        <f t="shared" si="191"/>
        <v/>
      </c>
      <c r="L1145" s="852"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391" t="s">
        <v>1396</v>
      </c>
      <c r="G1146" s="1391" t="str">
        <f>IF(T1146&lt;&gt;"","S","")</f>
        <v/>
      </c>
      <c r="H1146" s="1391" t="s">
        <v>1991</v>
      </c>
      <c r="I1146" s="1307" t="str">
        <f t="shared" si="190"/>
        <v/>
      </c>
      <c r="J1146" s="1351" t="str">
        <f t="shared" si="198"/>
        <v/>
      </c>
      <c r="K1146" s="1351" t="str">
        <f t="shared" si="191"/>
        <v/>
      </c>
      <c r="L1146" s="852"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0"/>
      <c r="G1147" s="852"/>
      <c r="H1147" s="852"/>
      <c r="I1147" s="1307" t="str">
        <f t="shared" si="190"/>
        <v/>
      </c>
      <c r="J1147" s="1351" t="str">
        <f t="shared" si="198"/>
        <v/>
      </c>
      <c r="K1147" s="1351" t="str">
        <f t="shared" si="191"/>
        <v/>
      </c>
      <c r="L1147" s="852" t="s">
        <v>1482</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0"/>
      <c r="G1148" s="852"/>
      <c r="H1148" s="852"/>
      <c r="I1148" s="1307" t="str">
        <f t="shared" si="190"/>
        <v/>
      </c>
      <c r="J1148" s="1351" t="str">
        <f t="shared" si="198"/>
        <v/>
      </c>
      <c r="K1148" s="1351" t="str">
        <f t="shared" si="191"/>
        <v/>
      </c>
      <c r="L1148" s="852"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0"/>
      <c r="G1149" s="852"/>
      <c r="H1149" s="852"/>
      <c r="I1149" s="1307" t="str">
        <f t="shared" si="190"/>
        <v/>
      </c>
      <c r="J1149" s="1351" t="str">
        <f t="shared" si="198"/>
        <v/>
      </c>
      <c r="K1149" s="1351" t="str">
        <f t="shared" si="191"/>
        <v/>
      </c>
      <c r="L1149" s="852" t="s">
        <v>1483</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07" t="str">
        <f t="shared" si="190"/>
        <v/>
      </c>
      <c r="J1150" s="1351" t="str">
        <f t="shared" si="198"/>
        <v/>
      </c>
      <c r="K1150" s="1351" t="str">
        <f t="shared" si="191"/>
        <v/>
      </c>
      <c r="L1150" s="852" t="s">
        <v>1482</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07" t="str">
        <f t="shared" si="190"/>
        <v/>
      </c>
      <c r="J1151" s="1351" t="str">
        <f t="shared" si="198"/>
        <v/>
      </c>
      <c r="K1151" s="1351" t="str">
        <f t="shared" si="191"/>
        <v/>
      </c>
      <c r="L1151" s="852"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07" t="str">
        <f t="shared" si="190"/>
        <v/>
      </c>
      <c r="J1152" s="1351" t="str">
        <f t="shared" si="198"/>
        <v/>
      </c>
      <c r="K1152" s="1351" t="str">
        <f t="shared" si="191"/>
        <v/>
      </c>
      <c r="L1152" s="852" t="s">
        <v>1483</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07" t="str">
        <f t="shared" si="190"/>
        <v/>
      </c>
      <c r="J1153" s="1351" t="str">
        <f t="shared" si="198"/>
        <v/>
      </c>
      <c r="K1153" s="1351" t="str">
        <f t="shared" si="191"/>
        <v/>
      </c>
      <c r="L1153" s="852" t="s">
        <v>1482</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07" t="str">
        <f t="shared" si="190"/>
        <v/>
      </c>
      <c r="J1154" s="1351" t="str">
        <f t="shared" si="198"/>
        <v/>
      </c>
      <c r="K1154" s="1351" t="str">
        <f t="shared" si="191"/>
        <v/>
      </c>
      <c r="L1154" s="852"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07" t="str">
        <f t="shared" si="190"/>
        <v/>
      </c>
      <c r="J1155" s="1351" t="str">
        <f t="shared" si="198"/>
        <v/>
      </c>
      <c r="K1155" s="1351" t="str">
        <f t="shared" si="191"/>
        <v/>
      </c>
      <c r="L1155" s="852" t="s">
        <v>1483</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07" t="str">
        <f t="shared" ref="I1156:I1219" si="203">IF(J1156&lt;&gt;"",A1156,"")</f>
        <v/>
      </c>
      <c r="J1156" s="1351" t="str">
        <f t="shared" si="198"/>
        <v/>
      </c>
      <c r="K1156" s="1351" t="str">
        <f t="shared" ref="K1156:K1219" si="204">IF(J1156&lt;&gt;"",E1156,"")</f>
        <v/>
      </c>
      <c r="L1156" s="852" t="s">
        <v>1482</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07" t="str">
        <f t="shared" si="203"/>
        <v/>
      </c>
      <c r="J1157" s="1351" t="str">
        <f t="shared" si="198"/>
        <v/>
      </c>
      <c r="K1157" s="1351" t="str">
        <f t="shared" si="204"/>
        <v/>
      </c>
      <c r="L1157" s="852"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07" t="str">
        <f t="shared" si="203"/>
        <v/>
      </c>
      <c r="J1158" s="1351" t="str">
        <f t="shared" si="198"/>
        <v/>
      </c>
      <c r="K1158" s="1351" t="str">
        <f t="shared" si="204"/>
        <v/>
      </c>
      <c r="L1158" s="852" t="s">
        <v>1483</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07" t="str">
        <f t="shared" si="203"/>
        <v/>
      </c>
      <c r="J1159" s="1351" t="str">
        <f t="shared" si="198"/>
        <v/>
      </c>
      <c r="K1159" s="1351" t="str">
        <f t="shared" si="204"/>
        <v/>
      </c>
      <c r="L1159" s="852" t="s">
        <v>1482</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07" t="str">
        <f t="shared" si="203"/>
        <v/>
      </c>
      <c r="J1160" s="1351" t="str">
        <f t="shared" si="198"/>
        <v/>
      </c>
      <c r="K1160" s="1351" t="str">
        <f t="shared" si="204"/>
        <v/>
      </c>
      <c r="L1160" s="852"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07" t="str">
        <f t="shared" si="203"/>
        <v/>
      </c>
      <c r="J1161" s="1351" t="str">
        <f t="shared" si="198"/>
        <v/>
      </c>
      <c r="K1161" s="1351" t="str">
        <f t="shared" si="204"/>
        <v/>
      </c>
      <c r="L1161" s="852" t="s">
        <v>1483</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51" t="s">
        <v>1492</v>
      </c>
      <c r="G1162" s="1351" t="str">
        <f>IF(T1162&lt;&gt;"","A","")</f>
        <v/>
      </c>
      <c r="H1162" s="1351" t="s">
        <v>1991</v>
      </c>
      <c r="I1162" s="1307" t="str">
        <f t="shared" si="203"/>
        <v/>
      </c>
      <c r="J1162" s="1351"/>
      <c r="K1162" s="1351" t="str">
        <f t="shared" si="204"/>
        <v/>
      </c>
      <c r="L1162" s="852" t="s">
        <v>1492</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51"/>
      <c r="G1163" s="1351"/>
      <c r="H1163" s="1351"/>
      <c r="I1163" s="1307" t="str">
        <f t="shared" si="203"/>
        <v/>
      </c>
      <c r="J1163" s="1351" t="str">
        <f t="shared" ref="J1163:J1186" si="205">IF(M1163&lt;&gt;"",IF($Q$1163="Yes",Q$1&amp;M1163,""))</f>
        <v/>
      </c>
      <c r="K1163" s="1351" t="str">
        <f t="shared" si="204"/>
        <v/>
      </c>
      <c r="L1163" s="852" t="s">
        <v>1706</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51" t="s">
        <v>1383</v>
      </c>
      <c r="G1164" s="1351" t="str">
        <f>IF(T1164&lt;&gt;"","B","")</f>
        <v/>
      </c>
      <c r="H1164" s="1351" t="s">
        <v>1991</v>
      </c>
      <c r="I1164" s="1307" t="str">
        <f t="shared" si="203"/>
        <v/>
      </c>
      <c r="J1164" s="1351"/>
      <c r="K1164" s="1351" t="str">
        <f t="shared" si="204"/>
        <v/>
      </c>
      <c r="L1164" s="852"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51" t="s">
        <v>1993</v>
      </c>
      <c r="G1165" s="1351" t="str">
        <f>IF(T1165&lt;&gt;"","I","")</f>
        <v/>
      </c>
      <c r="H1165" s="1351" t="s">
        <v>1991</v>
      </c>
      <c r="I1165" s="1307" t="str">
        <f t="shared" si="203"/>
        <v/>
      </c>
      <c r="J1165" s="1351" t="str">
        <f t="shared" si="205"/>
        <v/>
      </c>
      <c r="K1165" s="1351" t="str">
        <f t="shared" si="204"/>
        <v/>
      </c>
      <c r="L1165" s="852"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51" t="s">
        <v>1382</v>
      </c>
      <c r="G1166" s="1351" t="str">
        <f>IF(T1166&lt;&gt;"",IF(Q1165="Credit Memo","J",IF(Q1165="Check","K","")),"")</f>
        <v/>
      </c>
      <c r="H1166" s="1351" t="s">
        <v>1991</v>
      </c>
      <c r="I1166" s="1307" t="str">
        <f t="shared" si="203"/>
        <v/>
      </c>
      <c r="J1166" s="1351" t="str">
        <f t="shared" si="205"/>
        <v/>
      </c>
      <c r="K1166" s="1351" t="str">
        <f t="shared" si="204"/>
        <v/>
      </c>
      <c r="L1166" s="852" t="s">
        <v>1382</v>
      </c>
      <c r="M1166" s="1366">
        <v>1149</v>
      </c>
      <c r="N1166" s="1351"/>
      <c r="O1166" s="1348" t="s">
        <v>1661</v>
      </c>
      <c r="P1166" s="1348"/>
      <c r="Q1166" s="1348"/>
      <c r="R1166" s="1351" t="s">
        <v>1099</v>
      </c>
      <c r="S1166" s="1348"/>
      <c r="T1166" s="1351" t="str">
        <f t="shared" si="206"/>
        <v/>
      </c>
      <c r="U1166" s="1348"/>
      <c r="V1166" s="1348"/>
      <c r="W1166" s="1348"/>
      <c r="X1166" s="1348"/>
      <c r="Y1166" s="1348"/>
      <c r="Z1166" s="134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51" t="s">
        <v>1385</v>
      </c>
      <c r="G1167" s="1351" t="str">
        <f>IF(T1167&lt;&gt;"","C","")</f>
        <v/>
      </c>
      <c r="H1167" s="1351" t="s">
        <v>1991</v>
      </c>
      <c r="I1167" s="1307" t="str">
        <f t="shared" si="203"/>
        <v/>
      </c>
      <c r="J1167" s="1351"/>
      <c r="K1167" s="1351" t="str">
        <f t="shared" si="204"/>
        <v/>
      </c>
      <c r="L1167" s="852"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51" t="s">
        <v>1386</v>
      </c>
      <c r="G1168" s="1351" t="str">
        <f>IF(T1168&lt;&gt;"","D","")</f>
        <v/>
      </c>
      <c r="H1168" s="1351" t="s">
        <v>1991</v>
      </c>
      <c r="I1168" s="1307" t="str">
        <f t="shared" si="203"/>
        <v/>
      </c>
      <c r="J1168" s="1351"/>
      <c r="K1168" s="1351" t="str">
        <f t="shared" si="204"/>
        <v/>
      </c>
      <c r="L1168" s="852"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51" t="s">
        <v>1496</v>
      </c>
      <c r="G1169" s="1351" t="str">
        <f>IF(T1169&lt;&gt;"","AN","")</f>
        <v/>
      </c>
      <c r="H1169" s="1351" t="s">
        <v>1991</v>
      </c>
      <c r="I1169" s="1307" t="str">
        <f t="shared" si="203"/>
        <v/>
      </c>
      <c r="J1169" s="1351" t="str">
        <f t="shared" si="205"/>
        <v/>
      </c>
      <c r="K1169" s="1351" t="str">
        <f t="shared" si="204"/>
        <v/>
      </c>
      <c r="L1169" s="852" t="s">
        <v>1496</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51" t="s">
        <v>1493</v>
      </c>
      <c r="G1170" s="1351" t="str">
        <f>IF(T1170&lt;&gt;"","AL","")</f>
        <v/>
      </c>
      <c r="H1170" s="1351" t="s">
        <v>1991</v>
      </c>
      <c r="I1170" s="1307" t="str">
        <f t="shared" si="203"/>
        <v/>
      </c>
      <c r="J1170" s="1351" t="str">
        <f t="shared" si="205"/>
        <v/>
      </c>
      <c r="K1170" s="1351" t="str">
        <f t="shared" si="204"/>
        <v/>
      </c>
      <c r="L1170" s="852" t="s">
        <v>1493</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391" t="s">
        <v>1396</v>
      </c>
      <c r="G1171" s="1391" t="str">
        <f>IF(T1171&lt;&gt;"","S","")</f>
        <v/>
      </c>
      <c r="H1171" s="1391" t="s">
        <v>1991</v>
      </c>
      <c r="I1171" s="1307" t="str">
        <f t="shared" si="203"/>
        <v/>
      </c>
      <c r="J1171" s="1351" t="str">
        <f t="shared" si="205"/>
        <v/>
      </c>
      <c r="K1171" s="1351" t="str">
        <f t="shared" si="204"/>
        <v/>
      </c>
      <c r="L1171" s="852"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0"/>
      <c r="G1172" s="852"/>
      <c r="H1172" s="852"/>
      <c r="I1172" s="1307" t="str">
        <f t="shared" si="203"/>
        <v/>
      </c>
      <c r="J1172" s="1351" t="str">
        <f t="shared" si="205"/>
        <v/>
      </c>
      <c r="K1172" s="1351" t="str">
        <f t="shared" si="204"/>
        <v/>
      </c>
      <c r="L1172" s="852" t="s">
        <v>1482</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0"/>
      <c r="G1173" s="852"/>
      <c r="H1173" s="852"/>
      <c r="I1173" s="1307" t="str">
        <f t="shared" si="203"/>
        <v/>
      </c>
      <c r="J1173" s="1351" t="str">
        <f t="shared" si="205"/>
        <v/>
      </c>
      <c r="K1173" s="1351" t="str">
        <f t="shared" si="204"/>
        <v/>
      </c>
      <c r="L1173" s="852"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0"/>
      <c r="G1174" s="852"/>
      <c r="H1174" s="852"/>
      <c r="I1174" s="1307" t="str">
        <f t="shared" si="203"/>
        <v/>
      </c>
      <c r="J1174" s="1351" t="str">
        <f t="shared" si="205"/>
        <v/>
      </c>
      <c r="K1174" s="1351" t="str">
        <f t="shared" si="204"/>
        <v/>
      </c>
      <c r="L1174" s="852" t="s">
        <v>1622</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07" t="str">
        <f t="shared" si="203"/>
        <v/>
      </c>
      <c r="J1175" s="1351" t="str">
        <f t="shared" si="205"/>
        <v/>
      </c>
      <c r="K1175" s="1351" t="str">
        <f t="shared" si="204"/>
        <v/>
      </c>
      <c r="L1175" s="852" t="s">
        <v>1482</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0"/>
      <c r="G1176" s="852"/>
      <c r="H1176" s="852"/>
      <c r="I1176" s="1307" t="str">
        <f t="shared" si="203"/>
        <v/>
      </c>
      <c r="J1176" s="1351" t="str">
        <f t="shared" si="205"/>
        <v/>
      </c>
      <c r="K1176" s="1351" t="str">
        <f t="shared" si="204"/>
        <v/>
      </c>
      <c r="L1176" s="852"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0"/>
      <c r="G1177" s="852"/>
      <c r="H1177" s="852"/>
      <c r="I1177" s="1307" t="str">
        <f t="shared" si="203"/>
        <v/>
      </c>
      <c r="J1177" s="1351" t="str">
        <f t="shared" si="205"/>
        <v/>
      </c>
      <c r="K1177" s="1351" t="str">
        <f t="shared" si="204"/>
        <v/>
      </c>
      <c r="L1177" s="852" t="s">
        <v>1622</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0"/>
      <c r="G1178" s="852"/>
      <c r="H1178" s="852"/>
      <c r="I1178" s="1307" t="str">
        <f t="shared" si="203"/>
        <v/>
      </c>
      <c r="J1178" s="1351" t="str">
        <f t="shared" si="205"/>
        <v/>
      </c>
      <c r="K1178" s="1351" t="str">
        <f t="shared" si="204"/>
        <v/>
      </c>
      <c r="L1178" s="852" t="s">
        <v>1482</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07" t="str">
        <f t="shared" si="203"/>
        <v/>
      </c>
      <c r="J1179" s="1351" t="str">
        <f t="shared" si="205"/>
        <v/>
      </c>
      <c r="K1179" s="1351" t="str">
        <f t="shared" si="204"/>
        <v/>
      </c>
      <c r="L1179" s="852"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07" t="str">
        <f t="shared" si="203"/>
        <v/>
      </c>
      <c r="J1180" s="1351" t="str">
        <f t="shared" si="205"/>
        <v/>
      </c>
      <c r="K1180" s="1351" t="str">
        <f t="shared" si="204"/>
        <v/>
      </c>
      <c r="L1180" s="852" t="s">
        <v>1622</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07" t="str">
        <f t="shared" si="203"/>
        <v/>
      </c>
      <c r="J1181" s="1351" t="str">
        <f t="shared" si="205"/>
        <v/>
      </c>
      <c r="K1181" s="1351" t="str">
        <f t="shared" si="204"/>
        <v/>
      </c>
      <c r="L1181" s="852" t="s">
        <v>1482</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07" t="str">
        <f t="shared" si="203"/>
        <v/>
      </c>
      <c r="J1182" s="1351" t="str">
        <f t="shared" si="205"/>
        <v/>
      </c>
      <c r="K1182" s="1351" t="str">
        <f t="shared" si="204"/>
        <v/>
      </c>
      <c r="L1182" s="852"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07" t="str">
        <f t="shared" si="203"/>
        <v/>
      </c>
      <c r="J1183" s="1351" t="str">
        <f t="shared" si="205"/>
        <v/>
      </c>
      <c r="K1183" s="1351" t="str">
        <f t="shared" si="204"/>
        <v/>
      </c>
      <c r="L1183" s="852" t="s">
        <v>1622</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07" t="str">
        <f t="shared" si="203"/>
        <v/>
      </c>
      <c r="J1184" s="1351" t="str">
        <f t="shared" si="205"/>
        <v/>
      </c>
      <c r="K1184" s="1351" t="str">
        <f t="shared" si="204"/>
        <v/>
      </c>
      <c r="L1184" s="852" t="s">
        <v>1482</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07" t="str">
        <f t="shared" si="203"/>
        <v/>
      </c>
      <c r="J1185" s="1351" t="str">
        <f t="shared" si="205"/>
        <v/>
      </c>
      <c r="K1185" s="1351" t="str">
        <f t="shared" si="204"/>
        <v/>
      </c>
      <c r="L1185" s="852"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07" t="str">
        <f t="shared" si="203"/>
        <v/>
      </c>
      <c r="J1186" s="1351" t="str">
        <f t="shared" si="205"/>
        <v/>
      </c>
      <c r="K1186" s="1351" t="str">
        <f t="shared" si="204"/>
        <v/>
      </c>
      <c r="L1186" s="852" t="s">
        <v>1622</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51" t="s">
        <v>1492</v>
      </c>
      <c r="G1187" s="1351" t="str">
        <f>IF(T1187&lt;&gt;"","A","")</f>
        <v/>
      </c>
      <c r="H1187" s="1351" t="s">
        <v>1991</v>
      </c>
      <c r="I1187" s="1307" t="str">
        <f t="shared" si="203"/>
        <v/>
      </c>
      <c r="J1187" s="1351"/>
      <c r="K1187" s="1351" t="str">
        <f t="shared" si="204"/>
        <v/>
      </c>
      <c r="L1187" s="852" t="s">
        <v>1492</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51"/>
      <c r="G1188" s="1351"/>
      <c r="H1188" s="1351"/>
      <c r="I1188" s="1307" t="str">
        <f t="shared" si="203"/>
        <v/>
      </c>
      <c r="J1188" s="1351" t="str">
        <f t="shared" ref="J1188:J1211" si="208">IF(M1188&lt;&gt;"",IF($Q$1188="Yes",Q$1&amp;M1188,""))</f>
        <v/>
      </c>
      <c r="K1188" s="1351" t="str">
        <f t="shared" si="204"/>
        <v/>
      </c>
      <c r="L1188" s="852" t="s">
        <v>1706</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51" t="s">
        <v>1383</v>
      </c>
      <c r="G1189" s="1351" t="str">
        <f>IF(T1189&lt;&gt;"","B","")</f>
        <v/>
      </c>
      <c r="H1189" s="1351" t="s">
        <v>1991</v>
      </c>
      <c r="I1189" s="1307" t="str">
        <f t="shared" si="203"/>
        <v/>
      </c>
      <c r="J1189" s="1351"/>
      <c r="K1189" s="1351" t="str">
        <f t="shared" si="204"/>
        <v/>
      </c>
      <c r="L1189" s="852"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51" t="s">
        <v>1993</v>
      </c>
      <c r="G1190" s="1351" t="str">
        <f>IF(T1190&lt;&gt;"","I","")</f>
        <v/>
      </c>
      <c r="H1190" s="1351" t="s">
        <v>1991</v>
      </c>
      <c r="I1190" s="1307" t="str">
        <f t="shared" si="203"/>
        <v/>
      </c>
      <c r="J1190" s="1351" t="str">
        <f t="shared" si="208"/>
        <v/>
      </c>
      <c r="K1190" s="1351" t="str">
        <f t="shared" si="204"/>
        <v/>
      </c>
      <c r="L1190" s="852"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51" t="s">
        <v>1382</v>
      </c>
      <c r="G1191" s="1351" t="str">
        <f>IF(T1191&lt;&gt;"",IF(Q1189="Credit Memo","J",IF(Q1189="Check","K","")),"")</f>
        <v/>
      </c>
      <c r="H1191" s="1351" t="s">
        <v>1991</v>
      </c>
      <c r="I1191" s="1307" t="str">
        <f t="shared" si="203"/>
        <v/>
      </c>
      <c r="J1191" s="1351" t="str">
        <f t="shared" si="208"/>
        <v/>
      </c>
      <c r="K1191" s="1351" t="str">
        <f t="shared" si="204"/>
        <v/>
      </c>
      <c r="L1191" s="852" t="s">
        <v>1382</v>
      </c>
      <c r="M1191" s="1366">
        <v>1174</v>
      </c>
      <c r="N1191" s="1351"/>
      <c r="O1191" s="1348" t="s">
        <v>1662</v>
      </c>
      <c r="P1191" s="1348"/>
      <c r="Q1191" s="1348"/>
      <c r="R1191" s="1351" t="s">
        <v>1099</v>
      </c>
      <c r="S1191" s="1348"/>
      <c r="T1191" s="1351" t="str">
        <f t="shared" si="209"/>
        <v/>
      </c>
      <c r="U1191" s="1348"/>
      <c r="V1191" s="1348"/>
      <c r="W1191" s="1348"/>
      <c r="X1191" s="1348"/>
      <c r="Y1191" s="1348"/>
      <c r="Z1191" s="134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51" t="s">
        <v>1385</v>
      </c>
      <c r="G1192" s="1351" t="str">
        <f>IF(T1192&lt;&gt;"","C","")</f>
        <v/>
      </c>
      <c r="H1192" s="1351" t="s">
        <v>1991</v>
      </c>
      <c r="I1192" s="1307" t="str">
        <f t="shared" si="203"/>
        <v/>
      </c>
      <c r="J1192" s="1351"/>
      <c r="K1192" s="1351" t="str">
        <f t="shared" si="204"/>
        <v/>
      </c>
      <c r="L1192" s="852"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51" t="s">
        <v>1386</v>
      </c>
      <c r="G1193" s="1351" t="str">
        <f>IF(T1193&lt;&gt;"","D","")</f>
        <v/>
      </c>
      <c r="H1193" s="1351" t="s">
        <v>1991</v>
      </c>
      <c r="I1193" s="1307" t="str">
        <f t="shared" si="203"/>
        <v/>
      </c>
      <c r="J1193" s="1351"/>
      <c r="K1193" s="1351" t="str">
        <f t="shared" si="204"/>
        <v/>
      </c>
      <c r="L1193" s="852"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51" t="s">
        <v>1496</v>
      </c>
      <c r="G1194" s="1351" t="str">
        <f>IF(T1194&lt;&gt;"","AN","")</f>
        <v/>
      </c>
      <c r="H1194" s="1351" t="s">
        <v>1991</v>
      </c>
      <c r="I1194" s="1307" t="str">
        <f t="shared" si="203"/>
        <v/>
      </c>
      <c r="J1194" s="1351" t="str">
        <f t="shared" si="208"/>
        <v/>
      </c>
      <c r="K1194" s="1351" t="str">
        <f t="shared" si="204"/>
        <v/>
      </c>
      <c r="L1194" s="852" t="s">
        <v>1496</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51" t="s">
        <v>1493</v>
      </c>
      <c r="G1195" s="1351" t="str">
        <f>IF(T1195&lt;&gt;"","AL","")</f>
        <v/>
      </c>
      <c r="H1195" s="1351" t="s">
        <v>1991</v>
      </c>
      <c r="I1195" s="1307" t="str">
        <f t="shared" si="203"/>
        <v/>
      </c>
      <c r="J1195" s="1351" t="str">
        <f t="shared" si="208"/>
        <v/>
      </c>
      <c r="K1195" s="1351" t="str">
        <f t="shared" si="204"/>
        <v/>
      </c>
      <c r="L1195" s="852" t="s">
        <v>1493</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391" t="s">
        <v>1396</v>
      </c>
      <c r="G1196" s="1391" t="str">
        <f>IF(T1196&lt;&gt;"","S","")</f>
        <v/>
      </c>
      <c r="H1196" s="1391" t="s">
        <v>1991</v>
      </c>
      <c r="I1196" s="1307" t="str">
        <f t="shared" si="203"/>
        <v/>
      </c>
      <c r="J1196" s="1351" t="str">
        <f t="shared" si="208"/>
        <v/>
      </c>
      <c r="K1196" s="1351" t="str">
        <f t="shared" si="204"/>
        <v/>
      </c>
      <c r="L1196" s="852"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0"/>
      <c r="G1197" s="852"/>
      <c r="H1197" s="852"/>
      <c r="I1197" s="1307" t="str">
        <f t="shared" si="203"/>
        <v/>
      </c>
      <c r="J1197" s="1351" t="str">
        <f t="shared" si="208"/>
        <v/>
      </c>
      <c r="K1197" s="1351" t="str">
        <f t="shared" si="204"/>
        <v/>
      </c>
      <c r="L1197" s="852" t="s">
        <v>1482</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0"/>
      <c r="G1198" s="852"/>
      <c r="H1198" s="852"/>
      <c r="I1198" s="1307" t="str">
        <f t="shared" si="203"/>
        <v/>
      </c>
      <c r="J1198" s="1351" t="str">
        <f t="shared" si="208"/>
        <v/>
      </c>
      <c r="K1198" s="1351" t="str">
        <f t="shared" si="204"/>
        <v/>
      </c>
      <c r="L1198" s="852"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0"/>
      <c r="G1199" s="852"/>
      <c r="H1199" s="852"/>
      <c r="I1199" s="1307" t="str">
        <f t="shared" si="203"/>
        <v/>
      </c>
      <c r="J1199" s="1351" t="str">
        <f t="shared" si="208"/>
        <v/>
      </c>
      <c r="K1199" s="1351" t="str">
        <f t="shared" si="204"/>
        <v/>
      </c>
      <c r="L1199" s="852" t="s">
        <v>1622</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07" t="str">
        <f t="shared" si="203"/>
        <v/>
      </c>
      <c r="J1200" s="1351" t="str">
        <f t="shared" si="208"/>
        <v/>
      </c>
      <c r="K1200" s="1351" t="str">
        <f t="shared" si="204"/>
        <v/>
      </c>
      <c r="L1200" s="852" t="s">
        <v>1482</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0"/>
      <c r="G1201" s="852"/>
      <c r="H1201" s="852"/>
      <c r="I1201" s="1307" t="str">
        <f t="shared" si="203"/>
        <v/>
      </c>
      <c r="J1201" s="1351" t="str">
        <f t="shared" si="208"/>
        <v/>
      </c>
      <c r="K1201" s="1351" t="str">
        <f t="shared" si="204"/>
        <v/>
      </c>
      <c r="L1201" s="852"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0"/>
      <c r="G1202" s="852"/>
      <c r="H1202" s="852"/>
      <c r="I1202" s="1307" t="str">
        <f t="shared" si="203"/>
        <v/>
      </c>
      <c r="J1202" s="1351" t="str">
        <f t="shared" si="208"/>
        <v/>
      </c>
      <c r="K1202" s="1351" t="str">
        <f t="shared" si="204"/>
        <v/>
      </c>
      <c r="L1202" s="852" t="s">
        <v>1622</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0"/>
      <c r="G1203" s="852"/>
      <c r="H1203" s="852"/>
      <c r="I1203" s="1307" t="str">
        <f t="shared" si="203"/>
        <v/>
      </c>
      <c r="J1203" s="1351" t="str">
        <f t="shared" si="208"/>
        <v/>
      </c>
      <c r="K1203" s="1351" t="str">
        <f t="shared" si="204"/>
        <v/>
      </c>
      <c r="L1203" s="852" t="s">
        <v>1482</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07" t="str">
        <f t="shared" si="203"/>
        <v/>
      </c>
      <c r="J1204" s="1351" t="str">
        <f t="shared" si="208"/>
        <v/>
      </c>
      <c r="K1204" s="1351" t="str">
        <f t="shared" si="204"/>
        <v/>
      </c>
      <c r="L1204" s="852"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07" t="str">
        <f t="shared" si="203"/>
        <v/>
      </c>
      <c r="J1205" s="1351" t="str">
        <f t="shared" si="208"/>
        <v/>
      </c>
      <c r="K1205" s="1351" t="str">
        <f t="shared" si="204"/>
        <v/>
      </c>
      <c r="L1205" s="852" t="s">
        <v>1622</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07" t="str">
        <f t="shared" si="203"/>
        <v/>
      </c>
      <c r="J1206" s="1351" t="str">
        <f t="shared" si="208"/>
        <v/>
      </c>
      <c r="K1206" s="1351" t="str">
        <f t="shared" si="204"/>
        <v/>
      </c>
      <c r="L1206" s="852" t="s">
        <v>1482</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07" t="str">
        <f t="shared" si="203"/>
        <v/>
      </c>
      <c r="J1207" s="1351" t="str">
        <f t="shared" si="208"/>
        <v/>
      </c>
      <c r="K1207" s="1351" t="str">
        <f t="shared" si="204"/>
        <v/>
      </c>
      <c r="L1207" s="852"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07" t="str">
        <f t="shared" si="203"/>
        <v/>
      </c>
      <c r="J1208" s="1351" t="str">
        <f t="shared" si="208"/>
        <v/>
      </c>
      <c r="K1208" s="1351" t="str">
        <f t="shared" si="204"/>
        <v/>
      </c>
      <c r="L1208" s="852" t="s">
        <v>1622</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07" t="str">
        <f t="shared" si="203"/>
        <v/>
      </c>
      <c r="J1209" s="1351" t="str">
        <f t="shared" si="208"/>
        <v/>
      </c>
      <c r="K1209" s="1351" t="str">
        <f t="shared" si="204"/>
        <v/>
      </c>
      <c r="L1209" s="852" t="s">
        <v>1482</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07" t="str">
        <f t="shared" si="203"/>
        <v/>
      </c>
      <c r="J1210" s="1351" t="str">
        <f t="shared" si="208"/>
        <v/>
      </c>
      <c r="K1210" s="1351" t="str">
        <f t="shared" si="204"/>
        <v/>
      </c>
      <c r="L1210" s="852"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07" t="str">
        <f t="shared" si="203"/>
        <v/>
      </c>
      <c r="J1211" s="1351" t="str">
        <f t="shared" si="208"/>
        <v/>
      </c>
      <c r="K1211" s="1351" t="str">
        <f t="shared" si="204"/>
        <v/>
      </c>
      <c r="L1211" s="852" t="s">
        <v>1622</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51" t="s">
        <v>1492</v>
      </c>
      <c r="G1212" s="1351" t="str">
        <f>IF(T1212&lt;&gt;"","A","")</f>
        <v/>
      </c>
      <c r="H1212" s="1351" t="s">
        <v>1991</v>
      </c>
      <c r="I1212" s="1307" t="str">
        <f t="shared" si="203"/>
        <v/>
      </c>
      <c r="J1212" s="1351"/>
      <c r="K1212" s="1351" t="str">
        <f t="shared" si="204"/>
        <v/>
      </c>
      <c r="L1212" s="852" t="s">
        <v>1492</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51"/>
      <c r="G1213" s="1351"/>
      <c r="H1213" s="1351"/>
      <c r="I1213" s="1307" t="str">
        <f t="shared" si="203"/>
        <v/>
      </c>
      <c r="J1213" s="1351" t="str">
        <f t="shared" ref="J1213:J1218" si="211">IF(M1213&lt;&gt;"",IF($Q$1213="Yes",Q$1&amp;M1213,""))</f>
        <v/>
      </c>
      <c r="K1213" s="1351" t="str">
        <f t="shared" si="204"/>
        <v/>
      </c>
      <c r="L1213" s="852" t="s">
        <v>1706</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51" t="s">
        <v>1383</v>
      </c>
      <c r="G1214" s="1351" t="str">
        <f>IF(T1214&lt;&gt;"","B","")</f>
        <v/>
      </c>
      <c r="H1214" s="1351" t="s">
        <v>1991</v>
      </c>
      <c r="I1214" s="1307" t="str">
        <f t="shared" si="203"/>
        <v/>
      </c>
      <c r="J1214" s="1351"/>
      <c r="K1214" s="1351" t="str">
        <f t="shared" si="204"/>
        <v/>
      </c>
      <c r="L1214" s="852"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51" t="s">
        <v>1993</v>
      </c>
      <c r="G1215" s="1351" t="str">
        <f>IF(T1215&lt;&gt;"","I","")</f>
        <v/>
      </c>
      <c r="H1215" s="1351" t="s">
        <v>1991</v>
      </c>
      <c r="I1215" s="1307" t="str">
        <f t="shared" si="203"/>
        <v/>
      </c>
      <c r="J1215" s="1351" t="str">
        <f t="shared" si="211"/>
        <v/>
      </c>
      <c r="K1215" s="1351" t="str">
        <f t="shared" si="204"/>
        <v/>
      </c>
      <c r="L1215" s="852"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51" t="s">
        <v>1385</v>
      </c>
      <c r="G1216" s="1351" t="str">
        <f>IF(T1216&lt;&gt;"","C","")</f>
        <v/>
      </c>
      <c r="H1216" s="1351" t="s">
        <v>1991</v>
      </c>
      <c r="I1216" s="1307" t="str">
        <f t="shared" si="203"/>
        <v/>
      </c>
      <c r="J1216" s="1351"/>
      <c r="K1216" s="1351" t="str">
        <f t="shared" si="204"/>
        <v/>
      </c>
      <c r="L1216" s="852" t="s">
        <v>1385</v>
      </c>
      <c r="M1216" s="1366">
        <v>1199</v>
      </c>
      <c r="N1216" s="1351"/>
      <c r="O1216" s="1348" t="s">
        <v>1663</v>
      </c>
      <c r="P1216" s="1348"/>
      <c r="Q1216" s="1348"/>
      <c r="R1216" s="1351" t="s">
        <v>1155</v>
      </c>
      <c r="S1216" s="1348"/>
      <c r="T1216" s="1351" t="str">
        <f t="shared" si="212"/>
        <v/>
      </c>
      <c r="U1216" s="1348"/>
      <c r="V1216" s="1348"/>
      <c r="W1216" s="1348"/>
      <c r="X1216" s="1348"/>
      <c r="Y1216" s="1348"/>
      <c r="Z1216" s="134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51" t="s">
        <v>1386</v>
      </c>
      <c r="G1217" s="1351" t="str">
        <f>IF(T1217&lt;&gt;"","D","")</f>
        <v/>
      </c>
      <c r="H1217" s="1351" t="s">
        <v>1991</v>
      </c>
      <c r="I1217" s="1307" t="str">
        <f t="shared" si="203"/>
        <v/>
      </c>
      <c r="J1217" s="1351"/>
      <c r="K1217" s="1351" t="str">
        <f t="shared" si="204"/>
        <v/>
      </c>
      <c r="L1217" s="852"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51" t="s">
        <v>1496</v>
      </c>
      <c r="G1218" s="1351" t="str">
        <f>IF(T1218&lt;&gt;"","AN","")</f>
        <v/>
      </c>
      <c r="H1218" s="1351" t="s">
        <v>1991</v>
      </c>
      <c r="I1218" s="1307" t="str">
        <f t="shared" si="203"/>
        <v/>
      </c>
      <c r="J1218" s="1351" t="str">
        <f t="shared" si="211"/>
        <v/>
      </c>
      <c r="K1218" s="1351" t="str">
        <f t="shared" si="204"/>
        <v/>
      </c>
      <c r="L1218" s="852" t="s">
        <v>1496</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51" t="s">
        <v>1998</v>
      </c>
      <c r="G1219" s="1351" t="str">
        <f>IF(T1219&lt;&gt;"","T","")</f>
        <v/>
      </c>
      <c r="H1219" s="1351" t="s">
        <v>1991</v>
      </c>
      <c r="I1219" s="1307" t="str">
        <f t="shared" si="203"/>
        <v/>
      </c>
      <c r="J1219" s="1351"/>
      <c r="K1219" s="1351" t="str">
        <f t="shared" si="204"/>
        <v/>
      </c>
      <c r="L1219" s="852"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1774</v>
      </c>
      <c r="B1220" s="1307" t="str">
        <f>IFERROR(_xlfn.CONCAT("C",MATCH(A1220,Welcome!C$1:C$60,0)),"")</f>
        <v>C12</v>
      </c>
      <c r="C1220" s="1307" t="str">
        <f>IFERROR(_xlfn.CONCAT("D",MATCH(A1220,Welcome!C$1:C$61,0)),"")</f>
        <v>D12</v>
      </c>
      <c r="D1220" s="817" t="s">
        <v>1350</v>
      </c>
      <c r="E1220" s="817" t="s">
        <v>1374</v>
      </c>
      <c r="F1220" s="1351"/>
      <c r="G1220" s="1351"/>
      <c r="H1220" s="1351"/>
      <c r="I1220" s="1351" t="s">
        <v>1774</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1" t="s">
        <v>1357</v>
      </c>
      <c r="E1221" s="817"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8" t="s">
        <v>1178</v>
      </c>
      <c r="B1222" s="817" t="str">
        <f ca="1">_xlfn.IFNA(_xlfn.CONCAT(SUBSTITUTE(ADDRESS(1,MATCH(A1222,INDIRECT("'"&amp;E1222&amp;"'"&amp;"!A5:Z5"),0),4),1,""),7),"")</f>
        <v>G7</v>
      </c>
      <c r="C1222" s="817" t="str">
        <f t="shared" ca="1" si="214"/>
        <v>G</v>
      </c>
      <c r="D1222" s="1351" t="s">
        <v>1357</v>
      </c>
      <c r="E1222" s="817"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70" t="s">
        <v>1178</v>
      </c>
      <c r="B1223" s="817" t="str">
        <f ca="1">_xlfn.IFNA(_xlfn.CONCAT(SUBSTITUTE(ADDRESS(1,MATCH(A1223,INDIRECT("'"&amp;E1223&amp;"'"&amp;"!A5:Z5"),0),4),1,""),8),"")</f>
        <v>G8</v>
      </c>
      <c r="C1223" s="817" t="str">
        <f t="shared" ca="1" si="214"/>
        <v>G</v>
      </c>
      <c r="D1223" s="1351" t="s">
        <v>1357</v>
      </c>
      <c r="E1223" s="817"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8" t="s">
        <v>1178</v>
      </c>
      <c r="B1224" s="817" t="str">
        <f ca="1">_xlfn.IFNA(_xlfn.CONCAT(SUBSTITUTE(ADDRESS(1,MATCH(A1224,INDIRECT("'"&amp;E1224&amp;"'"&amp;"!A5:Z5"),0),4),1,""),9),"")</f>
        <v>G9</v>
      </c>
      <c r="C1224" s="817" t="str">
        <f t="shared" ca="1" si="214"/>
        <v>G</v>
      </c>
      <c r="D1224" s="1351" t="s">
        <v>1357</v>
      </c>
      <c r="E1224" s="817"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70" t="s">
        <v>1178</v>
      </c>
      <c r="B1225" s="817" t="str">
        <f ca="1">_xlfn.IFNA(_xlfn.CONCAT(SUBSTITUTE(ADDRESS(1,MATCH(A1225,INDIRECT("'"&amp;E1225&amp;"'"&amp;"!A5:Z5"),0),4),1,""),10),"")</f>
        <v>G10</v>
      </c>
      <c r="C1225" s="817" t="str">
        <f t="shared" ca="1" si="214"/>
        <v>G</v>
      </c>
      <c r="D1225" s="1351" t="s">
        <v>1357</v>
      </c>
      <c r="E1225" s="817"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8" t="s">
        <v>1178</v>
      </c>
      <c r="B1226" s="817" t="str">
        <f ca="1">_xlfn.IFNA(_xlfn.CONCAT(SUBSTITUTE(ADDRESS(1,MATCH(A1226,INDIRECT("'"&amp;E1226&amp;"'"&amp;"!A5:Z5"),0),4),1,""),11),"")</f>
        <v>G11</v>
      </c>
      <c r="C1226" s="817" t="str">
        <f t="shared" ca="1" si="214"/>
        <v>G</v>
      </c>
      <c r="D1226" s="1351" t="s">
        <v>1357</v>
      </c>
      <c r="E1226" s="817"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70" t="s">
        <v>1178</v>
      </c>
      <c r="B1227" s="817" t="str">
        <f ca="1">_xlfn.IFNA(_xlfn.CONCAT(SUBSTITUTE(ADDRESS(1,MATCH(A1227,INDIRECT("'"&amp;E1227&amp;"'"&amp;"!A5:Z5"),0),4),1,""),12),"")</f>
        <v>G12</v>
      </c>
      <c r="C1227" s="817" t="str">
        <f t="shared" ca="1" si="214"/>
        <v>G</v>
      </c>
      <c r="D1227" s="1351" t="s">
        <v>1357</v>
      </c>
      <c r="E1227" s="817"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8" t="s">
        <v>1178</v>
      </c>
      <c r="B1228" s="817" t="str">
        <f ca="1">_xlfn.IFNA(_xlfn.CONCAT(SUBSTITUTE(ADDRESS(1,MATCH(A1228,INDIRECT("'"&amp;E1228&amp;"'"&amp;"!A5:Z5"),0),4),1,""),13),"")</f>
        <v>G13</v>
      </c>
      <c r="C1228" s="817" t="str">
        <f t="shared" ca="1" si="214"/>
        <v>G</v>
      </c>
      <c r="D1228" s="1351" t="s">
        <v>1357</v>
      </c>
      <c r="E1228" s="817"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70" t="s">
        <v>1178</v>
      </c>
      <c r="B1229" s="817" t="str">
        <f ca="1">_xlfn.IFNA(_xlfn.CONCAT(SUBSTITUTE(ADDRESS(1,MATCH(A1229,INDIRECT("'"&amp;E1229&amp;"'"&amp;"!A5:Z5"),0),4),1,""),14),"")</f>
        <v>G14</v>
      </c>
      <c r="C1229" s="817" t="str">
        <f t="shared" ca="1" si="214"/>
        <v>G</v>
      </c>
      <c r="D1229" s="1351" t="s">
        <v>1357</v>
      </c>
      <c r="E1229" s="817"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8" t="s">
        <v>1178</v>
      </c>
      <c r="B1230" s="817" t="str">
        <f ca="1">_xlfn.IFNA(_xlfn.CONCAT(SUBSTITUTE(ADDRESS(1,MATCH(A1230,INDIRECT("'"&amp;E1230&amp;"'"&amp;"!A5:Z5"),0),4),1,""),15),"")</f>
        <v>G15</v>
      </c>
      <c r="C1230" s="817" t="str">
        <f t="shared" ca="1" si="214"/>
        <v>G</v>
      </c>
      <c r="D1230" s="1351" t="s">
        <v>1357</v>
      </c>
      <c r="E1230" s="817"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1" t="s">
        <v>204</v>
      </c>
      <c r="B1231" s="817" t="str">
        <f ca="1">_xlfn.IFNA(_xlfn.CONCAT(SUBSTITUTE(ADDRESS(1,MATCH(A1231,INDIRECT("'"&amp;E1231&amp;"'"&amp;"!A5:Z5"),0),4),1,""),6),"")</f>
        <v>S6</v>
      </c>
      <c r="C1231" s="817" t="str">
        <f t="shared" ca="1" si="214"/>
        <v>S</v>
      </c>
      <c r="D1231" s="1351" t="s">
        <v>1357</v>
      </c>
      <c r="E1231" s="817"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8" t="s">
        <v>204</v>
      </c>
      <c r="B1232" s="817" t="str">
        <f ca="1">_xlfn.IFNA(_xlfn.CONCAT(SUBSTITUTE(ADDRESS(1,MATCH(A1232,INDIRECT("'"&amp;E1232&amp;"'"&amp;"!A5:Z5"),0),4),1,""),7),"")</f>
        <v>S7</v>
      </c>
      <c r="C1232" s="817" t="str">
        <f t="shared" ca="1" si="214"/>
        <v>S</v>
      </c>
      <c r="D1232" s="1351" t="s">
        <v>1357</v>
      </c>
      <c r="E1232" s="817"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1" t="s">
        <v>204</v>
      </c>
      <c r="B1233" s="817" t="str">
        <f ca="1">_xlfn.IFNA(_xlfn.CONCAT(SUBSTITUTE(ADDRESS(1,MATCH(A1233,INDIRECT("'"&amp;E1233&amp;"'"&amp;"!A5:Z5"),0),4),1,""),8),"")</f>
        <v>S8</v>
      </c>
      <c r="C1233" s="817" t="str">
        <f t="shared" ca="1" si="214"/>
        <v>S</v>
      </c>
      <c r="D1233" s="1351" t="s">
        <v>1357</v>
      </c>
      <c r="E1233" s="817"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8" t="s">
        <v>204</v>
      </c>
      <c r="B1234" s="817" t="str">
        <f ca="1">_xlfn.IFNA(_xlfn.CONCAT(SUBSTITUTE(ADDRESS(1,MATCH(A1234,INDIRECT("'"&amp;E1234&amp;"'"&amp;"!A5:Z5"),0),4),1,""),9),"")</f>
        <v>S9</v>
      </c>
      <c r="C1234" s="817" t="str">
        <f t="shared" ca="1" si="214"/>
        <v>S</v>
      </c>
      <c r="D1234" s="1351" t="s">
        <v>1357</v>
      </c>
      <c r="E1234" s="817"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1" t="s">
        <v>204</v>
      </c>
      <c r="B1235" s="817" t="str">
        <f ca="1">_xlfn.IFNA(_xlfn.CONCAT(SUBSTITUTE(ADDRESS(1,MATCH(A1235,INDIRECT("'"&amp;E1235&amp;"'"&amp;"!A5:Z5"),0),4),1,""),10),"")</f>
        <v>S10</v>
      </c>
      <c r="C1235" s="817" t="str">
        <f t="shared" ca="1" si="214"/>
        <v>S</v>
      </c>
      <c r="D1235" s="1351" t="s">
        <v>1357</v>
      </c>
      <c r="E1235" s="817"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8" t="s">
        <v>204</v>
      </c>
      <c r="B1236" s="817" t="str">
        <f ca="1">_xlfn.IFNA(_xlfn.CONCAT(SUBSTITUTE(ADDRESS(1,MATCH(A1236,INDIRECT("'"&amp;E1236&amp;"'"&amp;"!A5:Z5"),0),4),1,""),11),"")</f>
        <v>S11</v>
      </c>
      <c r="C1236" s="817" t="str">
        <f t="shared" ca="1" si="214"/>
        <v>S</v>
      </c>
      <c r="D1236" s="1351" t="s">
        <v>1357</v>
      </c>
      <c r="E1236" s="817"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1" t="s">
        <v>204</v>
      </c>
      <c r="B1237" s="817" t="str">
        <f ca="1">_xlfn.IFNA(_xlfn.CONCAT(SUBSTITUTE(ADDRESS(1,MATCH(A1237,INDIRECT("'"&amp;E1237&amp;"'"&amp;"!A5:Z5"),0),4),1,""),12),"")</f>
        <v>S12</v>
      </c>
      <c r="C1237" s="817" t="str">
        <f t="shared" ca="1" si="214"/>
        <v>S</v>
      </c>
      <c r="D1237" s="1351" t="s">
        <v>1357</v>
      </c>
      <c r="E1237" s="817"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8" t="s">
        <v>204</v>
      </c>
      <c r="B1238" s="817" t="str">
        <f ca="1">_xlfn.IFNA(_xlfn.CONCAT(SUBSTITUTE(ADDRESS(1,MATCH(A1238,INDIRECT("'"&amp;E1238&amp;"'"&amp;"!A5:Z5"),0),4),1,""),13),"")</f>
        <v>S13</v>
      </c>
      <c r="C1238" s="817" t="str">
        <f t="shared" ca="1" si="214"/>
        <v>S</v>
      </c>
      <c r="D1238" s="1351" t="s">
        <v>1357</v>
      </c>
      <c r="E1238" s="817"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1" t="s">
        <v>204</v>
      </c>
      <c r="B1239" s="817" t="str">
        <f ca="1">_xlfn.IFNA(_xlfn.CONCAT(SUBSTITUTE(ADDRESS(1,MATCH(A1239,INDIRECT("'"&amp;E1239&amp;"'"&amp;"!A5:Z5"),0),4),1,""),14),"")</f>
        <v>S14</v>
      </c>
      <c r="C1239" s="817" t="str">
        <f t="shared" ca="1" si="214"/>
        <v>S</v>
      </c>
      <c r="D1239" s="1351" t="s">
        <v>1357</v>
      </c>
      <c r="E1239" s="817"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8" t="s">
        <v>204</v>
      </c>
      <c r="B1240" s="817" t="str">
        <f t="shared" ref="B1240" ca="1" si="216">_xlfn.IFNA(_xlfn.CONCAT(SUBSTITUTE(ADDRESS(1,MATCH(A1240,INDIRECT("'"&amp;E1240&amp;"'"&amp;"!A5:Z5"),0),4),1,""),15),"")</f>
        <v>S15</v>
      </c>
      <c r="C1240" s="817" t="str">
        <f t="shared" ca="1" si="214"/>
        <v>S</v>
      </c>
      <c r="D1240" s="1351" t="s">
        <v>1357</v>
      </c>
      <c r="E1240" s="817"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3" t="s">
        <v>1246</v>
      </c>
      <c r="B1241" s="1307" t="str">
        <f ca="1">_xlfn.CONCAT(IFERROR(SUBSTITUTE(ADDRESS(1,MATCH(A1241,INDIRECT("'"&amp;E1241&amp;"'"&amp;"!A9:Z9"),0),4),1,""),""),10)</f>
        <v>D10</v>
      </c>
      <c r="C1241" s="1307" t="str">
        <f ca="1">_xlfn.CONCAT(IFERROR(SUBSTITUTE(ADDRESS(1,MATCH(A1241,INDIRECT("'"&amp;E1241&amp;"'"&amp;"!A9:Z9"),0),4),1,""),""))</f>
        <v>D</v>
      </c>
      <c r="D1241" s="1351" t="s">
        <v>1357</v>
      </c>
      <c r="E1241" s="817"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6"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7"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3" t="s">
        <v>1246</v>
      </c>
      <c r="B1243" s="1307" t="str">
        <f ca="1">_xlfn.CONCAT(IFERROR(SUBSTITUTE(ADDRESS(1,MATCH(A1243,INDIRECT("'"&amp;E1243&amp;"'"&amp;"!A9:Z9"),0),4),1,""),""),12)</f>
        <v>D12</v>
      </c>
      <c r="C1243" s="1307" t="str">
        <f t="shared" ca="1" si="217"/>
        <v>D</v>
      </c>
      <c r="D1243" s="1351" t="s">
        <v>1357</v>
      </c>
      <c r="E1243" s="817"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6" t="s">
        <v>1246</v>
      </c>
      <c r="B1244" s="1307" t="str">
        <f ca="1">_xlfn.CONCAT(IFERROR(SUBSTITUTE(ADDRESS(1,MATCH(A1244,INDIRECT("'"&amp;E1244&amp;"'"&amp;"!A9:Z9"),0),4),1,""),""),13)</f>
        <v>D13</v>
      </c>
      <c r="C1244" s="1307" t="str">
        <f t="shared" ca="1" si="217"/>
        <v>D</v>
      </c>
      <c r="D1244" s="1351" t="s">
        <v>1357</v>
      </c>
      <c r="E1244" s="817"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3" t="s">
        <v>1246</v>
      </c>
      <c r="B1245" s="1307" t="str">
        <f ca="1">_xlfn.CONCAT(IFERROR(SUBSTITUTE(ADDRESS(1,MATCH(A1245,INDIRECT("'"&amp;E1245&amp;"'"&amp;"!A9:Z9"),0),4),1,""),""),14)</f>
        <v>D14</v>
      </c>
      <c r="C1245" s="1307" t="str">
        <f t="shared" ca="1" si="217"/>
        <v>D</v>
      </c>
      <c r="D1245" s="1351" t="s">
        <v>1357</v>
      </c>
      <c r="E1245" s="817"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6" t="s">
        <v>1246</v>
      </c>
      <c r="B1246" s="1307" t="str">
        <f ca="1">_xlfn.CONCAT(IFERROR(SUBSTITUTE(ADDRESS(1,MATCH(A1246,INDIRECT("'"&amp;E1246&amp;"'"&amp;"!A9:Z9"),0),4),1,""),""),15)</f>
        <v>D15</v>
      </c>
      <c r="C1246" s="1307" t="str">
        <f t="shared" ca="1" si="217"/>
        <v>D</v>
      </c>
      <c r="D1246" s="1351" t="s">
        <v>1357</v>
      </c>
      <c r="E1246" s="817"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3" t="s">
        <v>1246</v>
      </c>
      <c r="B1247" s="1307" t="str">
        <f ca="1">_xlfn.CONCAT(IFERROR(SUBSTITUTE(ADDRESS(1,MATCH(A1247,INDIRECT("'"&amp;E1247&amp;"'"&amp;"!A9:Z9"),0),4),1,""),""),16)</f>
        <v>D16</v>
      </c>
      <c r="C1247" s="1307" t="str">
        <f t="shared" ca="1" si="217"/>
        <v>D</v>
      </c>
      <c r="D1247" s="1351" t="s">
        <v>1357</v>
      </c>
      <c r="E1247" s="817"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6" t="s">
        <v>1246</v>
      </c>
      <c r="B1248" s="1307" t="str">
        <f ca="1">_xlfn.CONCAT(IFERROR(SUBSTITUTE(ADDRESS(1,MATCH(A1248,INDIRECT("'"&amp;E1248&amp;"'"&amp;"!A9:Z9"),0),4),1,""),""),17)</f>
        <v>D17</v>
      </c>
      <c r="C1248" s="1307" t="str">
        <f t="shared" ca="1" si="217"/>
        <v>D</v>
      </c>
      <c r="D1248" s="1351" t="s">
        <v>1357</v>
      </c>
      <c r="E1248" s="817"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3" t="s">
        <v>1246</v>
      </c>
      <c r="B1249" s="1307" t="str">
        <f ca="1">_xlfn.CONCAT(IFERROR(SUBSTITUTE(ADDRESS(1,MATCH(A1249,INDIRECT("'"&amp;E1249&amp;"'"&amp;"!A9:Z9"),0),4),1,""),""),18)</f>
        <v>D18</v>
      </c>
      <c r="C1249" s="1307" t="str">
        <f t="shared" ca="1" si="217"/>
        <v>D</v>
      </c>
      <c r="D1249" s="1351" t="s">
        <v>1357</v>
      </c>
      <c r="E1249" s="817"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6" t="s">
        <v>1246</v>
      </c>
      <c r="B1250" s="1307" t="str">
        <f ca="1">_xlfn.CONCAT(IFERROR(SUBSTITUTE(ADDRESS(1,MATCH(A1250,INDIRECT("'"&amp;E1250&amp;"'"&amp;"!A9:Z9"),0),4),1,""),""),19)</f>
        <v>D19</v>
      </c>
      <c r="C1250" s="1307" t="str">
        <f t="shared" ca="1" si="217"/>
        <v>D</v>
      </c>
      <c r="D1250" s="1351" t="s">
        <v>1357</v>
      </c>
      <c r="E1250" s="817"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3" t="s">
        <v>1246</v>
      </c>
      <c r="B1251" s="1307" t="str">
        <f ca="1">_xlfn.CONCAT(IFERROR(SUBSTITUTE(ADDRESS(1,MATCH(A1251,INDIRECT("'"&amp;E1251&amp;"'"&amp;"!A9:Z9"),0),4),1,""),""),20)</f>
        <v>D20</v>
      </c>
      <c r="C1251" s="1307" t="str">
        <f t="shared" ca="1" si="217"/>
        <v>D</v>
      </c>
      <c r="D1251" s="1351" t="s">
        <v>1357</v>
      </c>
      <c r="E1251" s="817"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6" t="s">
        <v>1246</v>
      </c>
      <c r="B1252" s="1307" t="str">
        <f ca="1">_xlfn.CONCAT(IFERROR(SUBSTITUTE(ADDRESS(1,MATCH(A1252,INDIRECT("'"&amp;E1252&amp;"'"&amp;"!A9:Z9"),0),4),1,""),""),21)</f>
        <v>D21</v>
      </c>
      <c r="C1252" s="1307" t="str">
        <f t="shared" ca="1" si="217"/>
        <v>D</v>
      </c>
      <c r="D1252" s="1351" t="s">
        <v>1357</v>
      </c>
      <c r="E1252" s="817"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3" t="s">
        <v>1246</v>
      </c>
      <c r="B1253" s="1307" t="str">
        <f ca="1">_xlfn.CONCAT(IFERROR(SUBSTITUTE(ADDRESS(1,MATCH(A1253,INDIRECT("'"&amp;E1253&amp;"'"&amp;"!A9:Z9"),0),4),1,""),""),22)</f>
        <v>D22</v>
      </c>
      <c r="C1253" s="1307" t="str">
        <f t="shared" ca="1" si="217"/>
        <v>D</v>
      </c>
      <c r="D1253" s="1351" t="s">
        <v>1357</v>
      </c>
      <c r="E1253" s="817"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6" t="s">
        <v>1246</v>
      </c>
      <c r="B1254" s="1307" t="str">
        <f ca="1">_xlfn.CONCAT(IFERROR(SUBSTITUTE(ADDRESS(1,MATCH(A1254,INDIRECT("'"&amp;E1254&amp;"'"&amp;"!A9:Z9"),0),4),1,""),""),23)</f>
        <v>D23</v>
      </c>
      <c r="C1254" s="1307" t="str">
        <f t="shared" ca="1" si="217"/>
        <v>D</v>
      </c>
      <c r="D1254" s="1351" t="s">
        <v>1357</v>
      </c>
      <c r="E1254" s="817"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3" t="s">
        <v>1246</v>
      </c>
      <c r="B1255" s="1307" t="str">
        <f ca="1">_xlfn.CONCAT(IFERROR(SUBSTITUTE(ADDRESS(1,MATCH(A1255,INDIRECT("'"&amp;E1255&amp;"'"&amp;"!A9:Z9"),0),4),1,""),""),24)</f>
        <v>D24</v>
      </c>
      <c r="C1255" s="1307" t="str">
        <f t="shared" ca="1" si="217"/>
        <v>D</v>
      </c>
      <c r="D1255" s="1351" t="s">
        <v>1357</v>
      </c>
      <c r="E1255" s="817"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6" t="s">
        <v>1246</v>
      </c>
      <c r="B1256" s="1307" t="str">
        <f ca="1">_xlfn.CONCAT(IFERROR(SUBSTITUTE(ADDRESS(1,MATCH(A1256,INDIRECT("'"&amp;E1256&amp;"'"&amp;"!A9:Z9"),0),4),1,""),""),25)</f>
        <v>D25</v>
      </c>
      <c r="C1256" s="1307" t="str">
        <f t="shared" ca="1" si="217"/>
        <v>D</v>
      </c>
      <c r="D1256" s="1351" t="s">
        <v>1357</v>
      </c>
      <c r="E1256" s="817"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3" t="s">
        <v>1246</v>
      </c>
      <c r="B1257" s="1307" t="str">
        <f ca="1">_xlfn.CONCAT(IFERROR(SUBSTITUTE(ADDRESS(1,MATCH(A1257,INDIRECT("'"&amp;E1257&amp;"'"&amp;"!A9:Z9"),0),4),1,""),""),26)</f>
        <v>D26</v>
      </c>
      <c r="C1257" s="1307" t="str">
        <f t="shared" ca="1" si="217"/>
        <v>D</v>
      </c>
      <c r="D1257" s="1351" t="s">
        <v>1357</v>
      </c>
      <c r="E1257" s="817"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6" t="s">
        <v>1246</v>
      </c>
      <c r="B1258" s="1307" t="str">
        <f ca="1">_xlfn.CONCAT(IFERROR(SUBSTITUTE(ADDRESS(1,MATCH(A1258,INDIRECT("'"&amp;E1258&amp;"'"&amp;"!A9:Z9"),0),4),1,""),""),27)</f>
        <v>D27</v>
      </c>
      <c r="C1258" s="1307" t="str">
        <f t="shared" ca="1" si="217"/>
        <v>D</v>
      </c>
      <c r="D1258" s="1351" t="s">
        <v>1357</v>
      </c>
      <c r="E1258" s="817"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3" t="s">
        <v>1246</v>
      </c>
      <c r="B1259" s="1307" t="str">
        <f ca="1">_xlfn.CONCAT(IFERROR(SUBSTITUTE(ADDRESS(1,MATCH(A1259,INDIRECT("'"&amp;E1259&amp;"'"&amp;"!A9:Z9"),0),4),1,""),""),28)</f>
        <v>D28</v>
      </c>
      <c r="C1259" s="1307" t="str">
        <f t="shared" ca="1" si="217"/>
        <v>D</v>
      </c>
      <c r="D1259" s="1351" t="s">
        <v>1357</v>
      </c>
      <c r="E1259" s="817"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6" t="s">
        <v>1246</v>
      </c>
      <c r="B1260" s="1307" t="str">
        <f ca="1">_xlfn.CONCAT(IFERROR(SUBSTITUTE(ADDRESS(1,MATCH(A1260,INDIRECT("'"&amp;E1260&amp;"'"&amp;"!A9:Z9"),0),4),1,""),""),29)</f>
        <v>D29</v>
      </c>
      <c r="C1260" s="1307" t="str">
        <f t="shared" ca="1" si="217"/>
        <v>D</v>
      </c>
      <c r="D1260" s="1351" t="s">
        <v>1357</v>
      </c>
      <c r="E1260" s="817"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3" t="s">
        <v>1246</v>
      </c>
      <c r="B1261" s="1307" t="str">
        <f ca="1">_xlfn.CONCAT(IFERROR(SUBSTITUTE(ADDRESS(1,MATCH(A1261,INDIRECT("'"&amp;E1261&amp;"'"&amp;"!A9:Z9"),0),4),1,""),""),30)</f>
        <v>D30</v>
      </c>
      <c r="C1261" s="1307" t="str">
        <f t="shared" ca="1" si="217"/>
        <v>D</v>
      </c>
      <c r="D1261" s="1351" t="s">
        <v>1357</v>
      </c>
      <c r="E1261" s="817"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3" t="s">
        <v>225</v>
      </c>
      <c r="B1262" s="1307" t="str">
        <f ca="1">_xlfn.CONCAT(IFERROR(SUBSTITUTE(ADDRESS(1,MATCH(A1262,INDIRECT("'"&amp;E1262&amp;"'"&amp;"!A9:Z9"),0),4),1,""),""),10)</f>
        <v>K10</v>
      </c>
      <c r="C1262" s="1307" t="str">
        <f ca="1">_xlfn.CONCAT(IFERROR(SUBSTITUTE(ADDRESS(1,MATCH(A1262,INDIRECT("'"&amp;E1262&amp;"'"&amp;"!A9:Z9"),0),4),1,""),""))</f>
        <v>K</v>
      </c>
      <c r="D1262" s="1351" t="s">
        <v>1357</v>
      </c>
      <c r="E1262" s="817"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6"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7"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3" t="s">
        <v>225</v>
      </c>
      <c r="B1264" s="1307" t="str">
        <f ca="1">_xlfn.CONCAT(IFERROR(SUBSTITUTE(ADDRESS(1,MATCH(A1264,INDIRECT("'"&amp;E1264&amp;"'"&amp;"!A9:Z9"),0),4),1,""),""),12)</f>
        <v>K12</v>
      </c>
      <c r="C1264" s="1307" t="str">
        <f t="shared" ca="1" si="218"/>
        <v>K</v>
      </c>
      <c r="D1264" s="1351" t="s">
        <v>1357</v>
      </c>
      <c r="E1264" s="817"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6" t="s">
        <v>225</v>
      </c>
      <c r="B1265" s="1307" t="str">
        <f ca="1">_xlfn.CONCAT(IFERROR(SUBSTITUTE(ADDRESS(1,MATCH(A1265,INDIRECT("'"&amp;E1265&amp;"'"&amp;"!A9:Z9"),0),4),1,""),""),13)</f>
        <v>K13</v>
      </c>
      <c r="C1265" s="1307" t="str">
        <f t="shared" ca="1" si="218"/>
        <v>K</v>
      </c>
      <c r="D1265" s="1351" t="s">
        <v>1357</v>
      </c>
      <c r="E1265" s="817"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3" t="s">
        <v>225</v>
      </c>
      <c r="B1266" s="1307" t="str">
        <f ca="1">_xlfn.CONCAT(IFERROR(SUBSTITUTE(ADDRESS(1,MATCH(A1266,INDIRECT("'"&amp;E1266&amp;"'"&amp;"!A9:Z9"),0),4),1,""),""),14)</f>
        <v>K14</v>
      </c>
      <c r="C1266" s="1307" t="str">
        <f t="shared" ca="1" si="218"/>
        <v>K</v>
      </c>
      <c r="D1266" s="1351" t="s">
        <v>1357</v>
      </c>
      <c r="E1266" s="817"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6" t="s">
        <v>225</v>
      </c>
      <c r="B1267" s="1307" t="str">
        <f ca="1">_xlfn.CONCAT(IFERROR(SUBSTITUTE(ADDRESS(1,MATCH(A1267,INDIRECT("'"&amp;E1267&amp;"'"&amp;"!A9:Z9"),0),4),1,""),""),15)</f>
        <v>K15</v>
      </c>
      <c r="C1267" s="1307" t="str">
        <f t="shared" ca="1" si="218"/>
        <v>K</v>
      </c>
      <c r="D1267" s="1351" t="s">
        <v>1357</v>
      </c>
      <c r="E1267" s="817"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3" t="s">
        <v>225</v>
      </c>
      <c r="B1268" s="1307" t="str">
        <f ca="1">_xlfn.CONCAT(IFERROR(SUBSTITUTE(ADDRESS(1,MATCH(A1268,INDIRECT("'"&amp;E1268&amp;"'"&amp;"!A9:Z9"),0),4),1,""),""),16)</f>
        <v>K16</v>
      </c>
      <c r="C1268" s="1307" t="str">
        <f t="shared" ca="1" si="218"/>
        <v>K</v>
      </c>
      <c r="D1268" s="1351" t="s">
        <v>1357</v>
      </c>
      <c r="E1268" s="817"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6" t="s">
        <v>225</v>
      </c>
      <c r="B1269" s="1307" t="str">
        <f ca="1">_xlfn.CONCAT(IFERROR(SUBSTITUTE(ADDRESS(1,MATCH(A1269,INDIRECT("'"&amp;E1269&amp;"'"&amp;"!A9:Z9"),0),4),1,""),""),17)</f>
        <v>K17</v>
      </c>
      <c r="C1269" s="1307" t="str">
        <f t="shared" ca="1" si="218"/>
        <v>K</v>
      </c>
      <c r="D1269" s="1351" t="s">
        <v>1357</v>
      </c>
      <c r="E1269" s="817"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3" t="s">
        <v>225</v>
      </c>
      <c r="B1270" s="1307" t="str">
        <f ca="1">_xlfn.CONCAT(IFERROR(SUBSTITUTE(ADDRESS(1,MATCH(A1270,INDIRECT("'"&amp;E1270&amp;"'"&amp;"!A9:Z9"),0),4),1,""),""),18)</f>
        <v>K18</v>
      </c>
      <c r="C1270" s="1307" t="str">
        <f t="shared" ca="1" si="218"/>
        <v>K</v>
      </c>
      <c r="D1270" s="1351" t="s">
        <v>1357</v>
      </c>
      <c r="E1270" s="817"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6" t="s">
        <v>225</v>
      </c>
      <c r="B1271" s="1307" t="str">
        <f ca="1">_xlfn.CONCAT(IFERROR(SUBSTITUTE(ADDRESS(1,MATCH(A1271,INDIRECT("'"&amp;E1271&amp;"'"&amp;"!A9:Z9"),0),4),1,""),""),19)</f>
        <v>K19</v>
      </c>
      <c r="C1271" s="1307" t="str">
        <f t="shared" ca="1" si="218"/>
        <v>K</v>
      </c>
      <c r="D1271" s="1351" t="s">
        <v>1357</v>
      </c>
      <c r="E1271" s="817"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3" t="s">
        <v>225</v>
      </c>
      <c r="B1272" s="1307" t="str">
        <f ca="1">_xlfn.CONCAT(IFERROR(SUBSTITUTE(ADDRESS(1,MATCH(A1272,INDIRECT("'"&amp;E1272&amp;"'"&amp;"!A9:Z9"),0),4),1,""),""),20)</f>
        <v>K20</v>
      </c>
      <c r="C1272" s="1307" t="str">
        <f t="shared" ca="1" si="218"/>
        <v>K</v>
      </c>
      <c r="D1272" s="1351" t="s">
        <v>1357</v>
      </c>
      <c r="E1272" s="817"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6" t="s">
        <v>225</v>
      </c>
      <c r="B1273" s="1307" t="str">
        <f ca="1">_xlfn.CONCAT(IFERROR(SUBSTITUTE(ADDRESS(1,MATCH(A1273,INDIRECT("'"&amp;E1273&amp;"'"&amp;"!A9:Z9"),0),4),1,""),""),21)</f>
        <v>K21</v>
      </c>
      <c r="C1273" s="1307" t="str">
        <f t="shared" ca="1" si="218"/>
        <v>K</v>
      </c>
      <c r="D1273" s="1351" t="s">
        <v>1357</v>
      </c>
      <c r="E1273" s="817"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3" t="s">
        <v>225</v>
      </c>
      <c r="B1274" s="1307" t="str">
        <f ca="1">_xlfn.CONCAT(IFERROR(SUBSTITUTE(ADDRESS(1,MATCH(A1274,INDIRECT("'"&amp;E1274&amp;"'"&amp;"!A9:Z9"),0),4),1,""),""),22)</f>
        <v>K22</v>
      </c>
      <c r="C1274" s="1307" t="str">
        <f t="shared" ca="1" si="218"/>
        <v>K</v>
      </c>
      <c r="D1274" s="1351" t="s">
        <v>1357</v>
      </c>
      <c r="E1274" s="817"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6" t="s">
        <v>225</v>
      </c>
      <c r="B1275" s="1307" t="str">
        <f ca="1">_xlfn.CONCAT(IFERROR(SUBSTITUTE(ADDRESS(1,MATCH(A1275,INDIRECT("'"&amp;E1275&amp;"'"&amp;"!A9:Z9"),0),4),1,""),""),23)</f>
        <v>K23</v>
      </c>
      <c r="C1275" s="1307" t="str">
        <f t="shared" ca="1" si="218"/>
        <v>K</v>
      </c>
      <c r="D1275" s="1351" t="s">
        <v>1357</v>
      </c>
      <c r="E1275" s="817"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3" t="s">
        <v>225</v>
      </c>
      <c r="B1276" s="1307" t="str">
        <f ca="1">_xlfn.CONCAT(IFERROR(SUBSTITUTE(ADDRESS(1,MATCH(A1276,INDIRECT("'"&amp;E1276&amp;"'"&amp;"!A9:Z9"),0),4),1,""),""),24)</f>
        <v>K24</v>
      </c>
      <c r="C1276" s="1307" t="str">
        <f t="shared" ca="1" si="218"/>
        <v>K</v>
      </c>
      <c r="D1276" s="1351" t="s">
        <v>1357</v>
      </c>
      <c r="E1276" s="817"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6" t="s">
        <v>225</v>
      </c>
      <c r="B1277" s="1307" t="str">
        <f ca="1">_xlfn.CONCAT(IFERROR(SUBSTITUTE(ADDRESS(1,MATCH(A1277,INDIRECT("'"&amp;E1277&amp;"'"&amp;"!A9:Z9"),0),4),1,""),""),25)</f>
        <v>K25</v>
      </c>
      <c r="C1277" s="1307" t="str">
        <f t="shared" ca="1" si="218"/>
        <v>K</v>
      </c>
      <c r="D1277" s="1351" t="s">
        <v>1357</v>
      </c>
      <c r="E1277" s="817"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3" t="s">
        <v>225</v>
      </c>
      <c r="B1278" s="1307" t="str">
        <f ca="1">_xlfn.CONCAT(IFERROR(SUBSTITUTE(ADDRESS(1,MATCH(A1278,INDIRECT("'"&amp;E1278&amp;"'"&amp;"!A9:Z9"),0),4),1,""),""),26)</f>
        <v>K26</v>
      </c>
      <c r="C1278" s="1307" t="str">
        <f t="shared" ca="1" si="218"/>
        <v>K</v>
      </c>
      <c r="D1278" s="1351" t="s">
        <v>1357</v>
      </c>
      <c r="E1278" s="817"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6" t="s">
        <v>225</v>
      </c>
      <c r="B1279" s="1307" t="str">
        <f ca="1">_xlfn.CONCAT(IFERROR(SUBSTITUTE(ADDRESS(1,MATCH(A1279,INDIRECT("'"&amp;E1279&amp;"'"&amp;"!A9:Z9"),0),4),1,""),""),27)</f>
        <v>K27</v>
      </c>
      <c r="C1279" s="1307" t="str">
        <f t="shared" ca="1" si="218"/>
        <v>K</v>
      </c>
      <c r="D1279" s="1351" t="s">
        <v>1357</v>
      </c>
      <c r="E1279" s="817"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3" t="s">
        <v>225</v>
      </c>
      <c r="B1280" s="1307" t="str">
        <f ca="1">_xlfn.CONCAT(IFERROR(SUBSTITUTE(ADDRESS(1,MATCH(A1280,INDIRECT("'"&amp;E1280&amp;"'"&amp;"!A9:Z9"),0),4),1,""),""),28)</f>
        <v>K28</v>
      </c>
      <c r="C1280" s="1307" t="str">
        <f t="shared" ca="1" si="218"/>
        <v>K</v>
      </c>
      <c r="D1280" s="1351" t="s">
        <v>1357</v>
      </c>
      <c r="E1280" s="817"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6" t="s">
        <v>225</v>
      </c>
      <c r="B1281" s="1307" t="str">
        <f ca="1">_xlfn.CONCAT(IFERROR(SUBSTITUTE(ADDRESS(1,MATCH(A1281,INDIRECT("'"&amp;E1281&amp;"'"&amp;"!A9:Z9"),0),4),1,""),""),29)</f>
        <v>K29</v>
      </c>
      <c r="C1281" s="1307" t="str">
        <f t="shared" ca="1" si="218"/>
        <v>K</v>
      </c>
      <c r="D1281" s="1351" t="s">
        <v>1357</v>
      </c>
      <c r="E1281" s="817"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3" t="s">
        <v>225</v>
      </c>
      <c r="B1282" s="1307" t="str">
        <f ca="1">_xlfn.CONCAT(IFERROR(SUBSTITUTE(ADDRESS(1,MATCH(A1282,INDIRECT("'"&amp;E1282&amp;"'"&amp;"!A9:Z9"),0),4),1,""),""),30)</f>
        <v>K30</v>
      </c>
      <c r="C1282" s="1307" t="str">
        <f t="shared" ca="1" si="218"/>
        <v>K</v>
      </c>
      <c r="D1282" s="1351" t="s">
        <v>1357</v>
      </c>
      <c r="E1282" s="817"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51" t="s">
        <v>2054</v>
      </c>
      <c r="J1283" s="1351" t="str">
        <f>IFERROR(Q$1&amp;M1283,"")</f>
        <v>F1203</v>
      </c>
      <c r="K1283" s="1351" t="str">
        <f t="shared" si="213"/>
        <v>Incentives</v>
      </c>
      <c r="L1283" s="1351" t="s">
        <v>1769</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51" t="s">
        <v>2036</v>
      </c>
      <c r="J1284" s="1351" t="str">
        <f>IFERROR(Q$1&amp;M1284,"")</f>
        <v>F1204</v>
      </c>
      <c r="K1284" s="1351" t="str">
        <f t="shared" ref="K1284:K1348" si="219">IF(J1284&lt;&gt;"",E1284,"")</f>
        <v>Incentives</v>
      </c>
      <c r="L1284" s="1351" t="s">
        <v>2053</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1777</v>
      </c>
      <c r="B1285" s="1307" t="str">
        <f>IFERROR(_xlfn.CONCAT("D",MATCH(A1285,Incentives!D$1:D$60,0)),"")</f>
        <v>D8</v>
      </c>
      <c r="C1285" s="1307" t="str">
        <f>IFERROR(_xlfn.CONCAT("E",MATCH(A1285,Incentives!D$1:D$60,0)),"")</f>
        <v>E8</v>
      </c>
      <c r="D1285" s="1351" t="s">
        <v>1350</v>
      </c>
      <c r="E1285" s="817" t="s">
        <v>1743</v>
      </c>
      <c r="F1285" s="1351" t="s">
        <v>1927</v>
      </c>
      <c r="G1285" s="1351" t="s">
        <v>239</v>
      </c>
      <c r="H1285" s="1351" t="s">
        <v>1238</v>
      </c>
      <c r="I1285" s="1351" t="s">
        <v>1744</v>
      </c>
      <c r="J1285" s="1351" t="str">
        <f>IFERROR(Q$1&amp;M1285,"")</f>
        <v>F1308</v>
      </c>
      <c r="K1285" s="1351" t="str">
        <f t="shared" si="219"/>
        <v>Incentives</v>
      </c>
      <c r="L1285" s="1504" t="s">
        <v>1927</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7" t="s">
        <v>1743</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1745</v>
      </c>
      <c r="P1286" s="1348" t="str">
        <f>'Configurable Tab'!E3</f>
        <v>Yes</v>
      </c>
      <c r="Q1286" s="1307" t="str">
        <f>IFERROR(_xlfn.CONCAT("C",('Configurable Tab'!$C3+1)),"")</f>
        <v>C13</v>
      </c>
      <c r="R1286" s="1351" t="s">
        <v>851</v>
      </c>
      <c r="S1286" s="1351" t="s">
        <v>1746</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7" t="s">
        <v>1743</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1746</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7" t="s">
        <v>1743</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1746</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7" t="s">
        <v>1743</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1746</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7" t="s">
        <v>1743</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1746</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7" t="s">
        <v>1743</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1746</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7" t="s">
        <v>1743</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1746</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7" t="s">
        <v>1743</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1746</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7" t="s">
        <v>1743</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7" t="s">
        <v>1743</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7" t="s">
        <v>1743</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7" t="s">
        <v>1743</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7" t="s">
        <v>1743</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7" t="s">
        <v>1743</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1746</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7" t="s">
        <v>1743</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7" t="s">
        <v>1743</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7" t="s">
        <v>1743</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7" t="s">
        <v>1743</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3" t="s">
        <v>523</v>
      </c>
      <c r="B1304" s="1307" t="str">
        <f>IFERROR(_xlfn.CONCAT("D",('Configurable Tab'!$C$4+1)),"")</f>
        <v>D27</v>
      </c>
      <c r="C1304" s="1307" t="str">
        <f>IFERROR(_xlfn.CONCAT("E",('Configurable Tab'!$C$4+1)),"")</f>
        <v>E27</v>
      </c>
      <c r="D1304" s="1351" t="s">
        <v>1350</v>
      </c>
      <c r="E1304" s="817" t="s">
        <v>1743</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1747</v>
      </c>
      <c r="P1304" s="1446" t="str">
        <f>'Configurable Tab'!E4</f>
        <v>Yes</v>
      </c>
      <c r="Q1304" s="1307" t="str">
        <f>IFERROR(_xlfn.CONCAT("C",('Configurable Tab'!$C4+1)),"")</f>
        <v>C27</v>
      </c>
      <c r="R1304" s="1351" t="s">
        <v>851</v>
      </c>
      <c r="S1304" s="1351" t="s">
        <v>1748</v>
      </c>
      <c r="T1304" s="1351">
        <f>IF(Q$570="Yes",IF(Q$589="Yes",2,1),0)</f>
        <v>0</v>
      </c>
      <c r="U1304" s="1351" t="str">
        <f>IF(Q$570="Yes",M570,"")</f>
        <v/>
      </c>
      <c r="V1304" s="1351" t="str">
        <f>IF(Q$589="Yes",M589,"")</f>
        <v/>
      </c>
      <c r="W1304" s="1348"/>
      <c r="X1304" s="1348"/>
      <c r="Y1304" s="1348"/>
      <c r="Z1304" s="1348"/>
    </row>
    <row r="1305" spans="1:26" x14ac:dyDescent="0.25">
      <c r="A1305" s="868" t="s">
        <v>1383</v>
      </c>
      <c r="B1305" s="1307" t="str">
        <f>IFERROR(_xlfn.CONCAT("D",('Configurable Tab'!$C$4+2)),"")</f>
        <v>D28</v>
      </c>
      <c r="C1305" s="1307" t="str">
        <f>IFERROR(_xlfn.CONCAT("E",('Configurable Tab'!$C$4+2)),"")</f>
        <v>E28</v>
      </c>
      <c r="D1305" s="1351" t="s">
        <v>1350</v>
      </c>
      <c r="E1305" s="817" t="s">
        <v>1743</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1748</v>
      </c>
      <c r="T1305" s="1348"/>
      <c r="U1305" s="1351" t="str">
        <f>IF(Q$570="Yes",M571,"")</f>
        <v/>
      </c>
      <c r="V1305" s="1351" t="str">
        <f>IF(Q$589="Yes",M590,"")</f>
        <v/>
      </c>
      <c r="W1305" s="1348"/>
      <c r="X1305" s="1348"/>
      <c r="Y1305" s="1348"/>
      <c r="Z1305" s="1348"/>
    </row>
    <row r="1306" spans="1:26" x14ac:dyDescent="0.25">
      <c r="A1306" s="868" t="s">
        <v>1385</v>
      </c>
      <c r="B1306" s="1307" t="str">
        <f>IFERROR(_xlfn.CONCAT("D",('Configurable Tab'!$C$4+4)),"")</f>
        <v>D30</v>
      </c>
      <c r="C1306" s="1307" t="str">
        <f>IFERROR(_xlfn.CONCAT("E",('Configurable Tab'!$C$4+4)),"")</f>
        <v>E30</v>
      </c>
      <c r="D1306" s="1351" t="s">
        <v>1350</v>
      </c>
      <c r="E1306" s="817" t="s">
        <v>1743</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1748</v>
      </c>
      <c r="T1306" s="1348"/>
      <c r="U1306" s="1351" t="str">
        <f>IF(Q$570="Yes",M579,"")</f>
        <v/>
      </c>
      <c r="V1306" s="1351" t="str">
        <f>IF(Q$589="Yes",M598,"")</f>
        <v/>
      </c>
      <c r="W1306" s="1348"/>
      <c r="X1306" s="1348"/>
      <c r="Y1306" s="1348"/>
      <c r="Z1306" s="1348"/>
    </row>
    <row r="1307" spans="1:26" x14ac:dyDescent="0.25">
      <c r="A1307" s="868" t="s">
        <v>1386</v>
      </c>
      <c r="B1307" s="1307" t="str">
        <f>IFERROR(_xlfn.CONCAT("D",('Configurable Tab'!$C$4+5)),"")</f>
        <v>D31</v>
      </c>
      <c r="C1307" s="1307" t="str">
        <f>IFERROR(_xlfn.CONCAT("E",('Configurable Tab'!$C$4+5)),"")</f>
        <v>E31</v>
      </c>
      <c r="D1307" s="1351" t="s">
        <v>1350</v>
      </c>
      <c r="E1307" s="817" t="s">
        <v>1743</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1748</v>
      </c>
      <c r="T1307" s="1348"/>
      <c r="U1307" s="1351" t="str">
        <f>IF(Q$570="Yes",M580,"")</f>
        <v/>
      </c>
      <c r="V1307" s="1351" t="str">
        <f>IF(Q$589="Yes",M599,"")</f>
        <v/>
      </c>
      <c r="W1307" s="1348"/>
      <c r="X1307" s="1348"/>
      <c r="Y1307" s="1348"/>
      <c r="Z1307" s="1348"/>
    </row>
    <row r="1308" spans="1:26" x14ac:dyDescent="0.25">
      <c r="A1308" s="868" t="s">
        <v>1380</v>
      </c>
      <c r="B1308" s="1307" t="str">
        <f>IFERROR(_xlfn.CONCAT("G",('Configurable Tab'!$C$4+1)),"")</f>
        <v>G27</v>
      </c>
      <c r="C1308" s="1307" t="str">
        <f>IFERROR(_xlfn.CONCAT("G",('Configurable Tab'!$C$4+2)),"")</f>
        <v>G28</v>
      </c>
      <c r="D1308" s="1351" t="s">
        <v>1350</v>
      </c>
      <c r="E1308" s="817" t="s">
        <v>1743</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1748</v>
      </c>
      <c r="T1308" s="1348"/>
      <c r="U1308" s="1351" t="str">
        <f>IF(Q$570="Yes",M572,"")</f>
        <v/>
      </c>
      <c r="V1308" s="1351" t="str">
        <f>IF(Q$589="Yes",M591,"")</f>
        <v/>
      </c>
      <c r="W1308" s="1348"/>
      <c r="X1308" s="1348"/>
      <c r="Y1308" s="1348"/>
      <c r="Z1308" s="1348"/>
    </row>
    <row r="1309" spans="1:26" x14ac:dyDescent="0.25">
      <c r="A1309" s="868" t="s">
        <v>1381</v>
      </c>
      <c r="B1309" s="1307" t="str">
        <f>IFERROR(_xlfn.CONCAT("I",('Configurable Tab'!$C$4+1)),"")</f>
        <v>I27</v>
      </c>
      <c r="C1309" s="1307" t="str">
        <f>IFERROR(_xlfn.CONCAT("I",('Configurable Tab'!$C$4+2)),"")</f>
        <v>I28</v>
      </c>
      <c r="D1309" s="1351" t="s">
        <v>1350</v>
      </c>
      <c r="E1309" s="817" t="s">
        <v>1743</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1748</v>
      </c>
      <c r="T1309" s="1348"/>
      <c r="U1309" s="1351" t="str">
        <f>IF(Q$570="Yes",M573,"")</f>
        <v/>
      </c>
      <c r="V1309" s="1351" t="str">
        <f>IF(Q$589="Yes",M592,"")</f>
        <v/>
      </c>
      <c r="W1309" s="1348"/>
      <c r="X1309" s="1348"/>
      <c r="Y1309" s="1348"/>
      <c r="Z1309" s="1348"/>
    </row>
    <row r="1310" spans="1:26" x14ac:dyDescent="0.25">
      <c r="A1310" s="868" t="s">
        <v>833</v>
      </c>
      <c r="B1310" s="1307" t="str">
        <f>IFERROR(_xlfn.CONCAT("K",('Configurable Tab'!$C$4+1)),"")</f>
        <v>K27</v>
      </c>
      <c r="C1310" s="1307" t="str">
        <f>IFERROR(_xlfn.CONCAT("K",('Configurable Tab'!$C$4+2)),"")</f>
        <v>K28</v>
      </c>
      <c r="D1310" s="1351" t="s">
        <v>1350</v>
      </c>
      <c r="E1310" s="817" t="s">
        <v>1743</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1748</v>
      </c>
      <c r="T1310" s="1348"/>
      <c r="U1310" s="1351" t="str">
        <f>IF(Q$570="Yes",M574,"")</f>
        <v/>
      </c>
      <c r="V1310" s="1351" t="str">
        <f>IF(Q$589="Yes",M593,"")</f>
        <v/>
      </c>
      <c r="W1310" s="1348"/>
      <c r="X1310" s="1348"/>
      <c r="Y1310" s="1348"/>
      <c r="Z1310" s="1348"/>
    </row>
    <row r="1311" spans="1:26" x14ac:dyDescent="0.25">
      <c r="A1311" s="868" t="s">
        <v>1382</v>
      </c>
      <c r="B1311" s="1307" t="str">
        <f>IFERROR(_xlfn.CONCAT("M",('Configurable Tab'!$C$4+1)),"")</f>
        <v>M27</v>
      </c>
      <c r="C1311" s="1307" t="str">
        <f>IFERROR(_xlfn.CONCAT("M",('Configurable Tab'!$C$4+2)),"")</f>
        <v>M28</v>
      </c>
      <c r="D1311" s="1351" t="s">
        <v>1350</v>
      </c>
      <c r="E1311" s="817" t="s">
        <v>1743</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1748</v>
      </c>
      <c r="T1311" s="1348"/>
      <c r="U1311" s="1351" t="str">
        <f>IF(Q$570="Yes",M575,"")</f>
        <v/>
      </c>
      <c r="V1311" s="1351" t="str">
        <f>IF(Q$589="Yes",M594,"")</f>
        <v/>
      </c>
      <c r="W1311" s="1348"/>
      <c r="X1311" s="1348"/>
      <c r="Y1311" s="1348"/>
      <c r="Z1311" s="1348"/>
    </row>
    <row r="1312" spans="1:26" x14ac:dyDescent="0.25">
      <c r="A1312" s="868" t="s">
        <v>1387</v>
      </c>
      <c r="B1312" s="1307" t="str">
        <f>IFERROR(_xlfn.CONCAT("G",('Configurable Tab'!$C$4+6)),"")</f>
        <v>G32</v>
      </c>
      <c r="C1312" s="1307" t="str">
        <f>IFERROR(_xlfn.CONCAT("G",('Configurable Tab'!$C$4+7)),"")</f>
        <v>G33</v>
      </c>
      <c r="D1312" s="1351" t="s">
        <v>1350</v>
      </c>
      <c r="E1312" s="817" t="s">
        <v>1743</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1748</v>
      </c>
      <c r="T1312" s="1348"/>
      <c r="U1312" s="1351" t="str">
        <f>IF(Q$570="Yes",M584,"")</f>
        <v/>
      </c>
      <c r="V1312" s="1351" t="str">
        <f>IF(Q$589="Yes",M603,"")</f>
        <v/>
      </c>
      <c r="W1312" s="1348"/>
      <c r="X1312" s="1348"/>
      <c r="Y1312" s="1348"/>
      <c r="Z1312" s="1348"/>
    </row>
    <row r="1313" spans="1:26" x14ac:dyDescent="0.25">
      <c r="A1313" s="868" t="s">
        <v>1387</v>
      </c>
      <c r="B1313" s="1307" t="str">
        <f>IFERROR(_xlfn.CONCAT("G",('Configurable Tab'!$C$4+6)),"")</f>
        <v>G32</v>
      </c>
      <c r="C1313" s="1307" t="str">
        <f>IFERROR(_xlfn.CONCAT("G",('Configurable Tab'!$C$4+8)),"")</f>
        <v>G34</v>
      </c>
      <c r="D1313" s="1351" t="s">
        <v>1350</v>
      </c>
      <c r="E1313" s="817" t="s">
        <v>1743</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8" t="s">
        <v>1387</v>
      </c>
      <c r="B1314" s="1307" t="str">
        <f>IFERROR(_xlfn.CONCAT("G",('Configurable Tab'!$C$4+6)),"")</f>
        <v>G32</v>
      </c>
      <c r="C1314" s="1307" t="str">
        <f>IFERROR(_xlfn.CONCAT("G",('Configurable Tab'!$C$4+9)),"")</f>
        <v>G35</v>
      </c>
      <c r="D1314" s="1351" t="s">
        <v>1350</v>
      </c>
      <c r="E1314" s="817" t="s">
        <v>1743</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8" t="s">
        <v>1387</v>
      </c>
      <c r="B1315" s="1307" t="str">
        <f>IFERROR(_xlfn.CONCAT("G",('Configurable Tab'!$C$4+6)),"")</f>
        <v>G32</v>
      </c>
      <c r="C1315" s="1307" t="str">
        <f>IFERROR(_xlfn.CONCAT("G",('Configurable Tab'!$C$4+10)),"")</f>
        <v>G36</v>
      </c>
      <c r="D1315" s="1351" t="s">
        <v>1350</v>
      </c>
      <c r="E1315" s="817" t="s">
        <v>1743</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8" t="s">
        <v>1387</v>
      </c>
      <c r="B1316" s="1307" t="str">
        <f>IFERROR(_xlfn.CONCAT("G",('Configurable Tab'!$C$4+6)),"")</f>
        <v>G32</v>
      </c>
      <c r="C1316" s="1307" t="str">
        <f>IFERROR(_xlfn.CONCAT("G",('Configurable Tab'!$C$4+11)),"")</f>
        <v>G37</v>
      </c>
      <c r="D1316" s="1351" t="s">
        <v>1350</v>
      </c>
      <c r="E1316" s="817" t="s">
        <v>1743</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8" t="s">
        <v>1389</v>
      </c>
      <c r="B1317" s="1307" t="str">
        <f>IFERROR(_xlfn.CONCAT("K",('Configurable Tab'!$C$4+6)),"")</f>
        <v>K32</v>
      </c>
      <c r="C1317" s="1307" t="str">
        <f>IFERROR(_xlfn.CONCAT("K",('Configurable Tab'!$C$4+7)),"")</f>
        <v>K33</v>
      </c>
      <c r="D1317" s="1351" t="s">
        <v>1350</v>
      </c>
      <c r="E1317" s="817" t="s">
        <v>1743</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1748</v>
      </c>
      <c r="T1317" s="1348"/>
      <c r="U1317" s="1351" t="str">
        <f>IF(Q$570="Yes",M586,"")</f>
        <v/>
      </c>
      <c r="V1317" s="1351" t="str">
        <f>IF(Q$589="Yes",M605,"")</f>
        <v/>
      </c>
      <c r="W1317" s="1348"/>
      <c r="X1317" s="1348"/>
      <c r="Y1317" s="1348"/>
      <c r="Z1317" s="1348"/>
    </row>
    <row r="1318" spans="1:26" x14ac:dyDescent="0.25">
      <c r="A1318" s="868" t="s">
        <v>1389</v>
      </c>
      <c r="B1318" s="1307" t="str">
        <f>IFERROR(_xlfn.CONCAT("K",('Configurable Tab'!$C$4+6)),"")</f>
        <v>K32</v>
      </c>
      <c r="C1318" s="1307" t="str">
        <f>IFERROR(_xlfn.CONCAT("K",('Configurable Tab'!$C$4+8)),"")</f>
        <v>K34</v>
      </c>
      <c r="D1318" s="1351" t="s">
        <v>1350</v>
      </c>
      <c r="E1318" s="817" t="s">
        <v>1743</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8" t="s">
        <v>1389</v>
      </c>
      <c r="B1319" s="1307" t="str">
        <f>IFERROR(_xlfn.CONCAT("K",('Configurable Tab'!$C$4+6)),"")</f>
        <v>K32</v>
      </c>
      <c r="C1319" s="1307" t="str">
        <f>IFERROR(_xlfn.CONCAT("K",('Configurable Tab'!$C$4+9)),"")</f>
        <v>K35</v>
      </c>
      <c r="D1319" s="1351" t="s">
        <v>1350</v>
      </c>
      <c r="E1319" s="817" t="s">
        <v>1743</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8" t="s">
        <v>1389</v>
      </c>
      <c r="B1320" s="1307" t="str">
        <f>IFERROR(_xlfn.CONCAT("K",('Configurable Tab'!$C$4+6)),"")</f>
        <v>K32</v>
      </c>
      <c r="C1320" s="1307" t="str">
        <f>IFERROR(_xlfn.CONCAT("K",('Configurable Tab'!$C$4+10)),"")</f>
        <v>K36</v>
      </c>
      <c r="D1320" s="1351" t="s">
        <v>1350</v>
      </c>
      <c r="E1320" s="817" t="s">
        <v>1743</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8" t="s">
        <v>1389</v>
      </c>
      <c r="B1321" s="1307" t="str">
        <f>IFERROR(_xlfn.CONCAT("K",('Configurable Tab'!$C$4+6)),"")</f>
        <v>K32</v>
      </c>
      <c r="C1321" s="1307" t="str">
        <f>IFERROR(_xlfn.CONCAT("K",('Configurable Tab'!$C$4+11)),"")</f>
        <v>K37</v>
      </c>
      <c r="D1321" s="1351" t="s">
        <v>1350</v>
      </c>
      <c r="E1321" s="817" t="s">
        <v>1743</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7" t="s">
        <v>1743</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1749</v>
      </c>
      <c r="P1322" s="1446" t="str">
        <f>'Configurable Tab'!E5</f>
        <v>Yes</v>
      </c>
      <c r="Q1322" s="1307" t="str">
        <f>IFERROR(_xlfn.CONCAT("C",('Configurable Tab'!$C5+1)),"")</f>
        <v>C41</v>
      </c>
      <c r="R1322" s="1351" t="s">
        <v>851</v>
      </c>
      <c r="S1322" s="1353" t="s">
        <v>1750</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7" t="s">
        <v>1743</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1750</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7" t="s">
        <v>1743</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1750</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7" t="s">
        <v>1743</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1750</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7" t="s">
        <v>1743</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1750</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7" t="s">
        <v>1743</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1750</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7" t="s">
        <v>1743</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1750</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7" t="s">
        <v>1743</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1750</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7" t="s">
        <v>1743</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1750</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7" t="s">
        <v>1743</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1750</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7" t="s">
        <v>1743</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1750</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7" t="s">
        <v>1743</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1750</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7" t="s">
        <v>1743</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1750</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7" t="s">
        <v>1743</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1750</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7" t="s">
        <v>1743</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1750</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7" t="s">
        <v>1743</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1750</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7" t="s">
        <v>1743</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1750</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7" t="s">
        <v>1743</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1750</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7" t="s">
        <v>1743</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1688</v>
      </c>
      <c r="P1340" s="1446" t="str">
        <f>'Configurable Tab'!E6</f>
        <v>Yes</v>
      </c>
      <c r="Q1340" s="1307" t="str">
        <f>IFERROR(_xlfn.CONCAT("C",('Configurable Tab'!$C6+1)),"")</f>
        <v>C55</v>
      </c>
      <c r="R1340" s="1351" t="s">
        <v>1526</v>
      </c>
      <c r="S1340" s="1353" t="s">
        <v>1751</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7" t="s">
        <v>1743</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1526</v>
      </c>
      <c r="S1341" s="1353" t="s">
        <v>1751</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7" t="s">
        <v>1743</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1526</v>
      </c>
      <c r="S1342" s="1353" t="s">
        <v>1751</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7" t="s">
        <v>1743</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1526</v>
      </c>
      <c r="S1343" s="1353" t="s">
        <v>1751</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7" t="s">
        <v>1743</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1526</v>
      </c>
      <c r="S1344" s="1353" t="s">
        <v>1751</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7" t="s">
        <v>1743</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1526</v>
      </c>
      <c r="S1345" s="1353" t="s">
        <v>1751</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7" t="s">
        <v>1743</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1526</v>
      </c>
      <c r="S1346" s="1353" t="s">
        <v>1751</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7" t="s">
        <v>1743</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1526</v>
      </c>
      <c r="S1347" s="1353" t="s">
        <v>1751</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7" t="s">
        <v>1743</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1526</v>
      </c>
      <c r="S1348" s="1353" t="s">
        <v>1751</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7" t="s">
        <v>1743</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1526</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7" t="s">
        <v>1743</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1526</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7" t="s">
        <v>1743</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1526</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7" t="s">
        <v>1743</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1526</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7" t="s">
        <v>1743</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1526</v>
      </c>
      <c r="S1353" s="1353" t="s">
        <v>1751</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7" t="s">
        <v>1743</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1526</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7" t="s">
        <v>1743</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1526</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7" t="s">
        <v>1743</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1526</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7" t="s">
        <v>1743</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1526</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7" t="s">
        <v>1743</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1689</v>
      </c>
      <c r="P1358" s="1446" t="str">
        <f>'Configurable Tab'!E7</f>
        <v>Yes</v>
      </c>
      <c r="Q1358" s="1307" t="str">
        <f>IFERROR(_xlfn.CONCAT("C",('Configurable Tab'!$C7+1)),"")</f>
        <v>C69</v>
      </c>
      <c r="R1358" s="1351" t="s">
        <v>1526</v>
      </c>
      <c r="S1358" s="1353" t="s">
        <v>1752</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7" t="s">
        <v>1743</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1526</v>
      </c>
      <c r="S1359" s="1353" t="s">
        <v>1752</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7" t="s">
        <v>1743</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1526</v>
      </c>
      <c r="S1360" s="1353" t="s">
        <v>1752</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7" t="s">
        <v>1743</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1526</v>
      </c>
      <c r="S1361" s="1353" t="s">
        <v>1752</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7" t="s">
        <v>1743</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1526</v>
      </c>
      <c r="S1362" s="1353" t="s">
        <v>1752</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7" t="s">
        <v>1743</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1526</v>
      </c>
      <c r="S1363" s="1353" t="s">
        <v>1752</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7" t="s">
        <v>1743</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1526</v>
      </c>
      <c r="S1364" s="1353" t="s">
        <v>1752</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7" t="s">
        <v>1743</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1526</v>
      </c>
      <c r="S1365" s="1353" t="s">
        <v>1752</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7" t="s">
        <v>1743</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1526</v>
      </c>
      <c r="S1366" s="1353" t="s">
        <v>1752</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7" t="s">
        <v>1743</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1526</v>
      </c>
      <c r="S1367" s="1353" t="s">
        <v>1752</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7" t="s">
        <v>1743</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1526</v>
      </c>
      <c r="S1368" s="1353" t="s">
        <v>1752</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7" t="s">
        <v>1743</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1526</v>
      </c>
      <c r="S1369" s="1353" t="s">
        <v>1752</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7" t="s">
        <v>1743</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1526</v>
      </c>
      <c r="S1370" s="1353" t="s">
        <v>1752</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7" t="s">
        <v>1743</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1526</v>
      </c>
      <c r="S1371" s="1353" t="s">
        <v>1752</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7" t="s">
        <v>1743</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1526</v>
      </c>
      <c r="S1372" s="1353" t="s">
        <v>1752</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7" t="s">
        <v>1743</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1526</v>
      </c>
      <c r="S1373" s="1353" t="s">
        <v>1752</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7" t="s">
        <v>1743</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1526</v>
      </c>
      <c r="S1374" s="1353" t="s">
        <v>1752</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7" t="s">
        <v>1743</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1526</v>
      </c>
      <c r="S1375" s="1353" t="s">
        <v>1752</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7" t="s">
        <v>1743</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1690</v>
      </c>
      <c r="P1376" s="1446" t="str">
        <f>'Configurable Tab'!E8</f>
        <v>Yes</v>
      </c>
      <c r="Q1376" s="1307" t="str">
        <f>IFERROR(_xlfn.CONCAT("C",('Configurable Tab'!$C8+1)),"")</f>
        <v>C83</v>
      </c>
      <c r="R1376" s="1351" t="s">
        <v>1532</v>
      </c>
      <c r="S1376" s="1353" t="s">
        <v>1753</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7" t="s">
        <v>1743</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1532</v>
      </c>
      <c r="S1377" s="1353" t="s">
        <v>1753</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7" t="s">
        <v>1743</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1532</v>
      </c>
      <c r="S1378" s="1353" t="s">
        <v>1753</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7" t="s">
        <v>1743</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1532</v>
      </c>
      <c r="S1379" s="1353" t="s">
        <v>1753</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7" t="s">
        <v>1743</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1532</v>
      </c>
      <c r="S1380" s="1353" t="s">
        <v>1753</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7" t="s">
        <v>1743</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1532</v>
      </c>
      <c r="S1381" s="1353" t="s">
        <v>1753</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7" t="s">
        <v>1743</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1532</v>
      </c>
      <c r="S1382" s="1353" t="s">
        <v>1753</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7" t="s">
        <v>1743</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1532</v>
      </c>
      <c r="S1383" s="1353" t="s">
        <v>1753</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7" t="s">
        <v>1743</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1532</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7" t="s">
        <v>1743</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1532</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7" t="s">
        <v>1743</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1532</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7" t="s">
        <v>1743</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1532</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7" t="s">
        <v>1743</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1532</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7" t="s">
        <v>1743</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1532</v>
      </c>
      <c r="S1389" s="1530" t="s">
        <v>1753</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7" t="s">
        <v>1743</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1532</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7" t="s">
        <v>1743</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1532</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7" t="s">
        <v>1743</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1532</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7" t="s">
        <v>1743</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1532</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7" t="s">
        <v>1743</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1691</v>
      </c>
      <c r="P1394" s="1446" t="str">
        <f>'Configurable Tab'!E9</f>
        <v>Yes</v>
      </c>
      <c r="Q1394" s="1307" t="str">
        <f>IFERROR(_xlfn.CONCAT("C",('Configurable Tab'!$C9+1)),"")</f>
        <v>C97</v>
      </c>
      <c r="R1394" s="1351" t="s">
        <v>1532</v>
      </c>
      <c r="S1394" s="1353" t="s">
        <v>1754</v>
      </c>
      <c r="T1394" s="1351">
        <f>IF(Q$796="Yes",IF(Q$814="Yes",2,1),0)</f>
        <v>0</v>
      </c>
      <c r="U1394" s="1351" t="str">
        <f>IF(Q$796="Yes",M796,"")</f>
        <v/>
      </c>
      <c r="V1394" s="1351" t="str">
        <f>IF(Q$814="Yes",M814,"")</f>
        <v/>
      </c>
      <c r="W1394" s="1353" t="s">
        <v>1755</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7" t="s">
        <v>1743</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1532</v>
      </c>
      <c r="S1395" s="1353" t="s">
        <v>1754</v>
      </c>
      <c r="T1395" s="1348"/>
      <c r="U1395" s="1351" t="str">
        <f>IF(Q$796="Yes",M797,"")</f>
        <v/>
      </c>
      <c r="V1395" s="1351" t="str">
        <f>IF(Q$814="Yes",M815,"")</f>
        <v/>
      </c>
      <c r="W1395" s="1353" t="s">
        <v>1755</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7" t="s">
        <v>1743</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1532</v>
      </c>
      <c r="S1396" s="1353" t="s">
        <v>1754</v>
      </c>
      <c r="T1396" s="1348"/>
      <c r="U1396" s="1351" t="str">
        <f>IF(Q$796="Yes",M805,"")</f>
        <v/>
      </c>
      <c r="V1396" s="1351" t="str">
        <f>IF(Q$814="Yes",M823,"")</f>
        <v/>
      </c>
      <c r="W1396" s="1353" t="s">
        <v>1755</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7" t="s">
        <v>1743</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1532</v>
      </c>
      <c r="S1397" s="1353" t="s">
        <v>1754</v>
      </c>
      <c r="T1397" s="1348"/>
      <c r="U1397" s="1351" t="str">
        <f>IF(Q$796="Yes",M806,"")</f>
        <v/>
      </c>
      <c r="V1397" s="1351" t="str">
        <f>IF(Q$814="Yes",M824,"")</f>
        <v/>
      </c>
      <c r="W1397" s="1353" t="s">
        <v>1755</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7" t="s">
        <v>1743</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1532</v>
      </c>
      <c r="S1398" s="1353" t="s">
        <v>1754</v>
      </c>
      <c r="T1398" s="1348"/>
      <c r="U1398" s="1351" t="str">
        <f>IF(Q$796="Yes",M798,"")</f>
        <v/>
      </c>
      <c r="V1398" s="1351" t="str">
        <f>IF(Q$814="Yes",M816,"")</f>
        <v/>
      </c>
      <c r="W1398" s="1353" t="s">
        <v>1755</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7" t="s">
        <v>1743</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1532</v>
      </c>
      <c r="S1399" s="1353" t="s">
        <v>1754</v>
      </c>
      <c r="T1399" s="1348"/>
      <c r="U1399" s="1351" t="str">
        <f>IF(Q$796="Yes",M799,"")</f>
        <v/>
      </c>
      <c r="V1399" s="1351" t="str">
        <f>IF(Q$814="Yes",M817,"")</f>
        <v/>
      </c>
      <c r="W1399" s="1353" t="s">
        <v>1755</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7" t="s">
        <v>1743</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1532</v>
      </c>
      <c r="S1400" s="1353" t="s">
        <v>1754</v>
      </c>
      <c r="T1400" s="1348"/>
      <c r="U1400" s="1351" t="str">
        <f>IF(Q$796="Yes",M800,"")</f>
        <v/>
      </c>
      <c r="V1400" s="1351" t="str">
        <f>IF(Q$814="Yes",M818,"")</f>
        <v/>
      </c>
      <c r="W1400" s="1353" t="s">
        <v>1755</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7" t="s">
        <v>1743</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1532</v>
      </c>
      <c r="S1401" s="1353" t="s">
        <v>1754</v>
      </c>
      <c r="T1401" s="1348"/>
      <c r="U1401" s="1351" t="str">
        <f>IF(Q$796="Yes",M801,"")</f>
        <v/>
      </c>
      <c r="V1401" s="1351" t="str">
        <f>IF(Q$814="Yes",M819,"")</f>
        <v/>
      </c>
      <c r="W1401" s="1353" t="s">
        <v>1755</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7" t="s">
        <v>1743</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1532</v>
      </c>
      <c r="S1402" s="1353" t="s">
        <v>1754</v>
      </c>
      <c r="T1402" s="1348"/>
      <c r="U1402" s="1351" t="str">
        <f>IF(Q$796="Yes",M810,"")</f>
        <v/>
      </c>
      <c r="V1402" s="1351" t="str">
        <f>IF(Q$814="Yes",M828,"")</f>
        <v/>
      </c>
      <c r="W1402" s="1353" t="s">
        <v>1755</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7" t="s">
        <v>1743</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1532</v>
      </c>
      <c r="S1403" s="1348"/>
      <c r="T1403" s="1348"/>
      <c r="U1403" s="1348"/>
      <c r="V1403" s="1348"/>
      <c r="W1403" s="1351" t="s">
        <v>1755</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7" t="s">
        <v>1743</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1532</v>
      </c>
      <c r="S1404" s="1348"/>
      <c r="T1404" s="1348"/>
      <c r="U1404" s="1348"/>
      <c r="V1404" s="1348"/>
      <c r="W1404" s="1351" t="s">
        <v>1755</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7" t="s">
        <v>1743</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1532</v>
      </c>
      <c r="S1405" s="1348"/>
      <c r="T1405" s="1348"/>
      <c r="U1405" s="1348"/>
      <c r="V1405" s="1348"/>
      <c r="W1405" s="1351" t="s">
        <v>1755</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7" t="s">
        <v>1743</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1532</v>
      </c>
      <c r="S1406" s="1348"/>
      <c r="T1406" s="1348"/>
      <c r="U1406" s="1348"/>
      <c r="V1406" s="1348"/>
      <c r="W1406" s="1351" t="s">
        <v>1755</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7" t="s">
        <v>1743</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1532</v>
      </c>
      <c r="S1407" s="1353" t="s">
        <v>1754</v>
      </c>
      <c r="T1407" s="1348"/>
      <c r="U1407" s="1351" t="str">
        <f>IF(Q$796="Yes",M812,"")</f>
        <v/>
      </c>
      <c r="V1407" s="1351" t="str">
        <f>IF(Q$814="Yes",M830,"")</f>
        <v/>
      </c>
      <c r="W1407" s="1351" t="s">
        <v>1755</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7" t="s">
        <v>1743</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1532</v>
      </c>
      <c r="S1408" s="1348"/>
      <c r="T1408" s="1348"/>
      <c r="U1408" s="1348"/>
      <c r="V1408" s="1348"/>
      <c r="W1408" s="1351" t="s">
        <v>1755</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7" t="s">
        <v>1743</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1532</v>
      </c>
      <c r="S1409" s="1348"/>
      <c r="T1409" s="1348"/>
      <c r="U1409" s="1348"/>
      <c r="V1409" s="1348"/>
      <c r="W1409" s="1351" t="s">
        <v>1755</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7" t="s">
        <v>1743</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1532</v>
      </c>
      <c r="S1410" s="1348"/>
      <c r="T1410" s="1348"/>
      <c r="U1410" s="1348"/>
      <c r="V1410" s="1348"/>
      <c r="W1410" s="1351" t="s">
        <v>1755</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7" t="s">
        <v>1743</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1532</v>
      </c>
      <c r="S1411" s="1348"/>
      <c r="T1411" s="1348"/>
      <c r="U1411" s="1348"/>
      <c r="V1411" s="1348"/>
      <c r="W1411" s="1351" t="s">
        <v>1755</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7" t="s">
        <v>1743</v>
      </c>
      <c r="F1412" s="1351"/>
      <c r="G1412" s="1351"/>
      <c r="H1412" s="1351"/>
      <c r="I1412" s="1307" t="str">
        <f t="shared" si="226"/>
        <v>Offer this Incentive?</v>
      </c>
      <c r="J1412" s="1351" t="str">
        <f>$Q$1&amp;T1412</f>
        <v>F</v>
      </c>
      <c r="K1412" s="1351" t="str">
        <f t="shared" si="225"/>
        <v>Incentives</v>
      </c>
      <c r="L1412" s="1351"/>
      <c r="M1412" s="1351"/>
      <c r="N1412" s="1351"/>
      <c r="O1412" s="1348" t="s">
        <v>1756</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7" t="s">
        <v>1743</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7" t="s">
        <v>1743</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7" t="s">
        <v>1743</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7" t="s">
        <v>1743</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7" t="s">
        <v>1743</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7" t="s">
        <v>1743</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7" t="s">
        <v>1743</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7" t="s">
        <v>1743</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7" t="s">
        <v>1743</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7" t="s">
        <v>1743</v>
      </c>
      <c r="F1422" s="1351"/>
      <c r="G1422" s="1351"/>
      <c r="H1422" s="1351"/>
      <c r="I1422" s="1307" t="str">
        <f t="shared" si="232"/>
        <v>Offer this Incentive?</v>
      </c>
      <c r="J1422" s="1351" t="str">
        <f t="shared" si="230"/>
        <v>F</v>
      </c>
      <c r="K1422" s="1351" t="str">
        <f t="shared" si="231"/>
        <v>Incentives</v>
      </c>
      <c r="L1422" s="1351"/>
      <c r="M1422" s="1351"/>
      <c r="N1422" s="1351"/>
      <c r="O1422" s="1348" t="s">
        <v>1757</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7" t="s">
        <v>1743</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7" t="s">
        <v>1743</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7" t="s">
        <v>1743</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7" t="s">
        <v>1743</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7" t="s">
        <v>1743</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7" t="s">
        <v>1743</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7" t="s">
        <v>1743</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7" t="s">
        <v>1743</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7" t="s">
        <v>1743</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7" t="s">
        <v>1743</v>
      </c>
      <c r="F1432" s="1351"/>
      <c r="G1432" s="1351"/>
      <c r="H1432" s="1351"/>
      <c r="I1432" s="1307" t="str">
        <f t="shared" si="232"/>
        <v>Offer this Incentive?</v>
      </c>
      <c r="J1432" s="1351" t="str">
        <f t="shared" si="230"/>
        <v>F</v>
      </c>
      <c r="K1432" s="1351" t="str">
        <f t="shared" si="231"/>
        <v>Incentives</v>
      </c>
      <c r="L1432" s="1351"/>
      <c r="M1432" s="1351"/>
      <c r="N1432" s="1351"/>
      <c r="O1432" s="1348" t="s">
        <v>1758</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7" t="s">
        <v>1743</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7" t="s">
        <v>1743</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7" t="s">
        <v>1743</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7" t="s">
        <v>1743</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7" t="s">
        <v>1743</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7" t="s">
        <v>1743</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7" t="s">
        <v>1743</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7" t="s">
        <v>1743</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7" t="s">
        <v>1743</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7" t="s">
        <v>1743</v>
      </c>
      <c r="F1442" s="1351"/>
      <c r="G1442" s="1351"/>
      <c r="H1442" s="1351"/>
      <c r="I1442" s="1307" t="str">
        <f t="shared" si="232"/>
        <v>Offer this Incentive?</v>
      </c>
      <c r="J1442" s="1351" t="str">
        <f t="shared" si="230"/>
        <v>F</v>
      </c>
      <c r="K1442" s="1351" t="str">
        <f t="shared" si="231"/>
        <v>Incentives</v>
      </c>
      <c r="L1442" s="1351"/>
      <c r="M1442" s="1351"/>
      <c r="N1442" s="1351"/>
      <c r="O1442" s="1348" t="s">
        <v>1759</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7" t="s">
        <v>1743</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7" t="s">
        <v>1743</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7" t="s">
        <v>1743</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7" t="s">
        <v>1743</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7" t="s">
        <v>1743</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7" t="s">
        <v>1743</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7" t="s">
        <v>1743</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7" t="s">
        <v>1743</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7" t="s">
        <v>1743</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7" t="s">
        <v>1743</v>
      </c>
      <c r="F1452" s="1351"/>
      <c r="G1452" s="1351"/>
      <c r="H1452" s="1351"/>
      <c r="I1452" s="1307" t="str">
        <f t="shared" si="232"/>
        <v>Offer this Incentive?</v>
      </c>
      <c r="J1452" s="1351" t="str">
        <f t="shared" si="230"/>
        <v>F</v>
      </c>
      <c r="K1452" s="1351" t="str">
        <f t="shared" si="231"/>
        <v>Incentives</v>
      </c>
      <c r="L1452" s="1351"/>
      <c r="M1452" s="1351"/>
      <c r="N1452" s="1351"/>
      <c r="O1452" s="1348" t="s">
        <v>1760</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7" t="s">
        <v>1743</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7" t="s">
        <v>1743</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7" t="s">
        <v>1743</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7" t="s">
        <v>1743</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7" t="s">
        <v>1743</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7" t="s">
        <v>1743</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7" t="s">
        <v>1743</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7" t="s">
        <v>1743</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7" t="s">
        <v>1743</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7" t="s">
        <v>1743</v>
      </c>
      <c r="F1462" s="1351"/>
      <c r="G1462" s="1351"/>
      <c r="H1462" s="1351"/>
      <c r="I1462" s="1307" t="str">
        <f t="shared" si="232"/>
        <v>Offer this Incentive?</v>
      </c>
      <c r="J1462" s="1351" t="str">
        <f>$Q$1&amp;T1462</f>
        <v>F</v>
      </c>
      <c r="K1462" s="1351" t="str">
        <f t="shared" si="231"/>
        <v>Incentives</v>
      </c>
      <c r="L1462" s="1351"/>
      <c r="M1462" s="1351"/>
      <c r="N1462" s="1351"/>
      <c r="O1462" s="1348" t="s">
        <v>1697</v>
      </c>
      <c r="P1462" s="1446" t="str">
        <f>'Configurable Tab'!E15</f>
        <v>Yes</v>
      </c>
      <c r="Q1462" s="1307" t="str">
        <f>IFERROR(_xlfn.CONCAT("C",('Configurable Tab'!$C15+1)),"")</f>
        <v>C151</v>
      </c>
      <c r="R1462" s="1351" t="s">
        <v>1697</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7" t="s">
        <v>1743</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1697</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7" t="s">
        <v>1743</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1697</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7" t="s">
        <v>1743</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1697</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7" t="s">
        <v>1743</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1697</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7" t="s">
        <v>1743</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1697</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7" t="s">
        <v>1743</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1697</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7" t="s">
        <v>1743</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1697</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7" t="s">
        <v>1743</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1697</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7" t="s">
        <v>1743</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1697</v>
      </c>
      <c r="S1471" s="1348"/>
      <c r="T1471" s="1351" t="str">
        <f>IF(Q$987="Yes",M1003,"")</f>
        <v/>
      </c>
      <c r="U1471" s="1348"/>
      <c r="V1471" s="1348"/>
      <c r="W1471" s="1348"/>
      <c r="X1471" s="1348"/>
      <c r="Y1471" s="1348"/>
      <c r="Z1471" s="1348"/>
    </row>
    <row r="1472" spans="1:26" x14ac:dyDescent="0.25">
      <c r="A1472" s="873" t="s">
        <v>523</v>
      </c>
      <c r="B1472" s="1307" t="str">
        <f>IFERROR(_xlfn.CONCAT("D",('Configurable Tab'!$C$16+1)),"")</f>
        <v>D159</v>
      </c>
      <c r="C1472" s="1307" t="str">
        <f>IFERROR(_xlfn.CONCAT("E",('Configurable Tab'!$C$16+1)),"")</f>
        <v>E159</v>
      </c>
      <c r="D1472" s="1351" t="s">
        <v>1350</v>
      </c>
      <c r="E1472" s="817" t="s">
        <v>1743</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1761</v>
      </c>
      <c r="P1472" s="1446" t="str">
        <f>'Configurable Tab'!E16</f>
        <v>No</v>
      </c>
      <c r="Q1472" s="1307" t="str">
        <f>IFERROR(_xlfn.CONCAT("C",('Configurable Tab'!$C16+1)),"")</f>
        <v>C159</v>
      </c>
      <c r="R1472" s="1351" t="s">
        <v>481</v>
      </c>
      <c r="S1472" s="1351" t="s">
        <v>1761</v>
      </c>
      <c r="T1472" s="1351">
        <f>IF(Q1005="Yes",IF(Q1016="Yes",2,1),0)</f>
        <v>0</v>
      </c>
      <c r="U1472" s="1351" t="str">
        <f>IF(Q$1005="Yes",M1005,"")</f>
        <v/>
      </c>
      <c r="V1472" s="1351" t="str">
        <f>IF(Q$1016="Yes",M1016,"")</f>
        <v/>
      </c>
      <c r="W1472" s="1348"/>
      <c r="X1472" s="1348"/>
      <c r="Y1472" s="1348"/>
      <c r="Z1472" s="1348"/>
    </row>
    <row r="1473" spans="1:26" x14ac:dyDescent="0.25">
      <c r="A1473" s="868" t="s">
        <v>1383</v>
      </c>
      <c r="B1473" s="1307" t="str">
        <f>IFERROR(_xlfn.CONCAT("D",('Configurable Tab'!$C$16+2)),"")</f>
        <v>D160</v>
      </c>
      <c r="C1473" s="1307" t="str">
        <f>IFERROR(_xlfn.CONCAT("E",('Configurable Tab'!$C$16+2)),"")</f>
        <v>E160</v>
      </c>
      <c r="D1473" s="1351" t="s">
        <v>1350</v>
      </c>
      <c r="E1473" s="817" t="s">
        <v>1743</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1761</v>
      </c>
      <c r="T1473" s="1348"/>
      <c r="U1473" s="1351" t="str">
        <f>IF(Q$1005="Yes",M1006,"")</f>
        <v/>
      </c>
      <c r="V1473" s="1351" t="str">
        <f>IF(Q$1016="Yes",M1017,"")</f>
        <v/>
      </c>
      <c r="W1473" s="1348"/>
      <c r="X1473" s="1348"/>
      <c r="Y1473" s="1348"/>
      <c r="Z1473" s="1348"/>
    </row>
    <row r="1474" spans="1:26" x14ac:dyDescent="0.25">
      <c r="A1474" s="868" t="s">
        <v>1385</v>
      </c>
      <c r="B1474" s="1307" t="str">
        <f>IFERROR(_xlfn.CONCAT("D",('Configurable Tab'!$C$16+4)),"")</f>
        <v>D162</v>
      </c>
      <c r="C1474" s="1307" t="str">
        <f>IFERROR(_xlfn.CONCAT("E",('Configurable Tab'!$C$16+4)),"")</f>
        <v>E162</v>
      </c>
      <c r="D1474" s="1351" t="s">
        <v>1350</v>
      </c>
      <c r="E1474" s="817" t="s">
        <v>1743</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1761</v>
      </c>
      <c r="T1474" s="1348"/>
      <c r="U1474" s="1351" t="str">
        <f>IF(Q$1005="Yes",M1010,"")</f>
        <v/>
      </c>
      <c r="V1474" s="1351" t="str">
        <f>IF(Q$1016="Yes",M1021,"")</f>
        <v/>
      </c>
      <c r="W1474" s="1348"/>
      <c r="X1474" s="1348"/>
      <c r="Y1474" s="1348"/>
      <c r="Z1474" s="1348"/>
    </row>
    <row r="1475" spans="1:26" x14ac:dyDescent="0.25">
      <c r="A1475" s="868" t="s">
        <v>1386</v>
      </c>
      <c r="B1475" s="1307" t="str">
        <f>IFERROR(_xlfn.CONCAT("D",('Configurable Tab'!$C$16+5)),"")</f>
        <v>D163</v>
      </c>
      <c r="C1475" s="1307" t="str">
        <f>IFERROR(_xlfn.CONCAT("E",('Configurable Tab'!$C$16+5)),"")</f>
        <v>E163</v>
      </c>
      <c r="D1475" s="1351" t="s">
        <v>1350</v>
      </c>
      <c r="E1475" s="817" t="s">
        <v>1743</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1761</v>
      </c>
      <c r="T1475" s="1348"/>
      <c r="U1475" s="1351" t="str">
        <f>IF(Q$1005="Yes",M1011,"")</f>
        <v/>
      </c>
      <c r="V1475" s="1351" t="str">
        <f>IF(Q$1016="Yes",M1022,"")</f>
        <v/>
      </c>
      <c r="W1475" s="1348"/>
      <c r="X1475" s="1348"/>
      <c r="Y1475" s="1348"/>
      <c r="Z1475" s="1348"/>
    </row>
    <row r="1476" spans="1:26" x14ac:dyDescent="0.25">
      <c r="A1476" s="868" t="s">
        <v>1396</v>
      </c>
      <c r="B1476" s="1307" t="str">
        <f>IFERROR(_xlfn.CONCAT("G",('Configurable Tab'!$C$16+4)),"")</f>
        <v>G162</v>
      </c>
      <c r="C1476" s="1307" t="str">
        <f>IFERROR(_xlfn.CONCAT("G",('Configurable Tab'!$C$16+5)),"")</f>
        <v>G163</v>
      </c>
      <c r="D1476" s="1351" t="s">
        <v>1350</v>
      </c>
      <c r="E1476" s="817" t="s">
        <v>1743</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1761</v>
      </c>
      <c r="T1476" s="1348"/>
      <c r="U1476" s="1351" t="str">
        <f>IF(Q$1005="Yes",M1014,"")</f>
        <v/>
      </c>
      <c r="V1476" s="1351" t="str">
        <f>IF(Q$1016="Yes",M1025,"")</f>
        <v/>
      </c>
      <c r="W1476" s="1348"/>
      <c r="X1476" s="1348"/>
      <c r="Y1476" s="1348"/>
      <c r="Z1476" s="1348"/>
    </row>
    <row r="1477" spans="1:26" x14ac:dyDescent="0.25">
      <c r="A1477" s="868" t="s">
        <v>1381</v>
      </c>
      <c r="B1477" s="1307" t="str">
        <f>IFERROR(_xlfn.CONCAT("I",('Configurable Tab'!$C$16+1)),"")</f>
        <v>I159</v>
      </c>
      <c r="C1477" s="1307" t="str">
        <f>IFERROR(_xlfn.CONCAT("I",('Configurable Tab'!$C$16+2)),"")</f>
        <v>I160</v>
      </c>
      <c r="D1477" s="1351" t="s">
        <v>1350</v>
      </c>
      <c r="E1477" s="817" t="s">
        <v>1743</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1761</v>
      </c>
      <c r="T1477" s="1348"/>
      <c r="U1477" s="1351" t="str">
        <f>IF(Q$1005="Yes",M1007,"")</f>
        <v/>
      </c>
      <c r="V1477" s="1351" t="str">
        <f>IF(Q$1016="Yes",M1018,"")</f>
        <v/>
      </c>
      <c r="W1477" s="1348"/>
      <c r="X1477" s="1348"/>
      <c r="Y1477" s="1348"/>
      <c r="Z1477" s="1348"/>
    </row>
    <row r="1478" spans="1:26" x14ac:dyDescent="0.25">
      <c r="A1478" s="868" t="s">
        <v>1382</v>
      </c>
      <c r="B1478" s="1307" t="str">
        <f>IFERROR(_xlfn.CONCAT("M",('Configurable Tab'!$C$16+1)),"")</f>
        <v>M159</v>
      </c>
      <c r="C1478" s="1307" t="str">
        <f>IFERROR(_xlfn.CONCAT("M",('Configurable Tab'!$C$16+2)),"")</f>
        <v>M160</v>
      </c>
      <c r="D1478" s="1351" t="s">
        <v>1350</v>
      </c>
      <c r="E1478" s="817" t="s">
        <v>1743</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1761</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7" t="s">
        <v>1743</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1761</v>
      </c>
      <c r="P1479" s="1446" t="str">
        <f>'Configurable Tab'!E17</f>
        <v>No</v>
      </c>
      <c r="Q1479" s="1307" t="str">
        <f>IFERROR(_xlfn.CONCAT("C",('Configurable Tab'!$C17+1)),"")</f>
        <v>C167</v>
      </c>
      <c r="R1479" s="1351" t="s">
        <v>481</v>
      </c>
      <c r="S1479" s="1351" t="s">
        <v>1762</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7" t="s">
        <v>1743</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1762</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7" t="s">
        <v>1743</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1762</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7" t="s">
        <v>1743</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1762</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7" t="s">
        <v>1743</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1762</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7" t="s">
        <v>1743</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1762</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7" t="s">
        <v>1743</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1762</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7" t="s">
        <v>1743</v>
      </c>
      <c r="F1486" s="1351"/>
      <c r="G1486" s="1351"/>
      <c r="H1486" s="1351"/>
      <c r="I1486" s="1307" t="str">
        <f t="shared" si="236"/>
        <v>Offer this Incentive?</v>
      </c>
      <c r="J1486" s="1351" t="str">
        <f>$Q$1&amp;T1486</f>
        <v>F</v>
      </c>
      <c r="K1486" s="1351" t="str">
        <f t="shared" si="235"/>
        <v>Incentives</v>
      </c>
      <c r="L1486" s="1351"/>
      <c r="M1486" s="1351"/>
      <c r="N1486" s="1351"/>
      <c r="O1486" s="1348" t="s">
        <v>1763</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7" t="s">
        <v>1743</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7" t="s">
        <v>1743</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7" t="s">
        <v>1743</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7" t="s">
        <v>1743</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7" t="s">
        <v>1743</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7" t="s">
        <v>1743</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7" t="s">
        <v>1743</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7" t="s">
        <v>1743</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7" t="s">
        <v>1743</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1701</v>
      </c>
      <c r="P1495" s="1446" t="str">
        <f>'Configurable Tab'!E19</f>
        <v>No</v>
      </c>
      <c r="Q1495" s="1307" t="str">
        <f>IFERROR(_xlfn.CONCAT("C",('Configurable Tab'!$C19+1)),"")</f>
        <v>C183</v>
      </c>
      <c r="R1495" s="1351" t="s">
        <v>1701</v>
      </c>
      <c r="S1495" s="1351" t="s">
        <v>1133</v>
      </c>
      <c r="T1495" s="1351" t="str">
        <f>IF(Q$1052="Yes",M1052,"")</f>
        <v/>
      </c>
      <c r="U1495" s="1351" t="s">
        <v>1764</v>
      </c>
      <c r="V1495" s="1351" t="str">
        <f>IF(Q$1069="Yes",M1069,"")</f>
        <v/>
      </c>
      <c r="W1495" s="1348"/>
      <c r="X1495" s="1348"/>
      <c r="Y1495" s="1348"/>
      <c r="Z1495" s="1348"/>
    </row>
    <row r="1496" spans="1:26" x14ac:dyDescent="0.25">
      <c r="A1496" s="816" t="s">
        <v>1383</v>
      </c>
      <c r="B1496" s="1307" t="str">
        <f>IFERROR(_xlfn.CONCAT("D",('Configurable Tab'!$C$19+2)),"")</f>
        <v>D184</v>
      </c>
      <c r="C1496" s="1307" t="str">
        <f>IFERROR(_xlfn.CONCAT("E",('Configurable Tab'!$C$19+2)),"")</f>
        <v>E184</v>
      </c>
      <c r="D1496" s="1351" t="s">
        <v>1350</v>
      </c>
      <c r="E1496" s="817" t="s">
        <v>1743</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1701</v>
      </c>
      <c r="S1496" s="1351" t="s">
        <v>1133</v>
      </c>
      <c r="T1496" s="1351" t="str">
        <f>IF(Q$1052="Yes",M1053,"")</f>
        <v/>
      </c>
      <c r="U1496" s="1351" t="s">
        <v>1764</v>
      </c>
      <c r="V1496" s="1351" t="str">
        <f>IF(Q$1069="Yes",M1070,"")</f>
        <v/>
      </c>
      <c r="W1496" s="1348"/>
      <c r="X1496" s="1348"/>
      <c r="Y1496" s="1348"/>
      <c r="Z1496" s="1348"/>
    </row>
    <row r="1497" spans="1:26" x14ac:dyDescent="0.25">
      <c r="A1497" s="816" t="s">
        <v>1385</v>
      </c>
      <c r="B1497" s="1307" t="str">
        <f>IFERROR(_xlfn.CONCAT("D",('Configurable Tab'!$C$19+4)),"")</f>
        <v>D186</v>
      </c>
      <c r="C1497" s="1307" t="str">
        <f>IFERROR(_xlfn.CONCAT("E",('Configurable Tab'!$C$19+4)),"")</f>
        <v>E186</v>
      </c>
      <c r="D1497" s="1351" t="s">
        <v>1350</v>
      </c>
      <c r="E1497" s="817" t="s">
        <v>1743</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1701</v>
      </c>
      <c r="S1497" s="1351" t="s">
        <v>1133</v>
      </c>
      <c r="T1497" s="1351" t="str">
        <f>IF(Q$1052="Yes",M1056,"")</f>
        <v/>
      </c>
      <c r="U1497" s="1351" t="s">
        <v>1764</v>
      </c>
      <c r="V1497" s="1351" t="str">
        <f>IF(Q$1069="Yes",M1073,"")</f>
        <v/>
      </c>
      <c r="W1497" s="1348"/>
      <c r="X1497" s="1348"/>
      <c r="Y1497" s="1348"/>
      <c r="Z1497" s="1348"/>
    </row>
    <row r="1498" spans="1:26" x14ac:dyDescent="0.25">
      <c r="A1498" s="816" t="s">
        <v>1386</v>
      </c>
      <c r="B1498" s="1307" t="str">
        <f>IFERROR(_xlfn.CONCAT("D",('Configurable Tab'!$C$19+5)),"")</f>
        <v>D187</v>
      </c>
      <c r="C1498" s="1307" t="str">
        <f>IFERROR(_xlfn.CONCAT("E",('Configurable Tab'!$C$19+5)),"")</f>
        <v>E187</v>
      </c>
      <c r="D1498" s="1351" t="s">
        <v>1350</v>
      </c>
      <c r="E1498" s="817" t="s">
        <v>1743</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1701</v>
      </c>
      <c r="S1498" s="1351" t="s">
        <v>1133</v>
      </c>
      <c r="T1498" s="1351" t="str">
        <f>IF(Q$1052="Yes",M1057,"")</f>
        <v/>
      </c>
      <c r="U1498" s="1351" t="s">
        <v>1764</v>
      </c>
      <c r="V1498" s="1351" t="str">
        <f>IF(Q$1069="Yes",M1074,"")</f>
        <v/>
      </c>
      <c r="W1498" s="1348"/>
      <c r="X1498" s="1348"/>
      <c r="Y1498" s="1348"/>
      <c r="Z1498" s="1348"/>
    </row>
    <row r="1499" spans="1:26" x14ac:dyDescent="0.25">
      <c r="A1499" s="816" t="s">
        <v>1381</v>
      </c>
      <c r="B1499" s="1307" t="str">
        <f>IFERROR(_xlfn.CONCAT("I",('Configurable Tab'!$C$19+1)),"")</f>
        <v>I183</v>
      </c>
      <c r="C1499" s="1307" t="str">
        <f>IFERROR(_xlfn.CONCAT("I",('Configurable Tab'!$C$19+2)),"")</f>
        <v>I184</v>
      </c>
      <c r="D1499" s="1351" t="s">
        <v>1350</v>
      </c>
      <c r="E1499" s="817" t="s">
        <v>1743</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1701</v>
      </c>
      <c r="S1499" s="1351" t="s">
        <v>1133</v>
      </c>
      <c r="T1499" s="1351" t="str">
        <f>IF(Q$1052="Yes",M1054,"")</f>
        <v/>
      </c>
      <c r="U1499" s="1351" t="s">
        <v>1764</v>
      </c>
      <c r="V1499" s="1351" t="str">
        <f>IF(Q$1069="Yes",M1071,"")</f>
        <v/>
      </c>
      <c r="W1499" s="1348"/>
      <c r="X1499" s="1348"/>
      <c r="Y1499" s="1348"/>
      <c r="Z1499" s="1348"/>
    </row>
    <row r="1500" spans="1:26" x14ac:dyDescent="0.25">
      <c r="A1500" s="816" t="s">
        <v>1382</v>
      </c>
      <c r="B1500" s="1307" t="str">
        <f>IFERROR(_xlfn.CONCAT("M",('Configurable Tab'!$C$19+1)),"")</f>
        <v>M183</v>
      </c>
      <c r="C1500" s="1307" t="str">
        <f>IFERROR(_xlfn.CONCAT("M",('Configurable Tab'!$C$19+2)),"")</f>
        <v>M184</v>
      </c>
      <c r="D1500" s="1351" t="s">
        <v>1350</v>
      </c>
      <c r="E1500" s="817" t="s">
        <v>1743</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1701</v>
      </c>
      <c r="S1500" s="1351" t="s">
        <v>1133</v>
      </c>
      <c r="T1500" s="1351" t="str">
        <f>IF(Q$1052="Yes",M1055,"")</f>
        <v/>
      </c>
      <c r="U1500" s="1351" t="s">
        <v>1764</v>
      </c>
      <c r="V1500" s="1351" t="str">
        <f>IF(Q$1069="Yes",M1072,"")</f>
        <v/>
      </c>
      <c r="W1500" s="1348"/>
      <c r="X1500" s="1348"/>
      <c r="Y1500" s="1348"/>
      <c r="Z1500" s="1348"/>
    </row>
    <row r="1501" spans="1:26" x14ac:dyDescent="0.25">
      <c r="A1501" s="816" t="s">
        <v>1396</v>
      </c>
      <c r="B1501" s="1307" t="str">
        <f>IFERROR(_xlfn.CONCAT("G",('Configurable Tab'!$C$19+4)),"")</f>
        <v>G186</v>
      </c>
      <c r="C1501" s="1307" t="str">
        <f>IFERROR(_xlfn.CONCAT("G",('Configurable Tab'!$C$19+5)),"")</f>
        <v>G187</v>
      </c>
      <c r="D1501" s="1351" t="s">
        <v>1350</v>
      </c>
      <c r="E1501" s="817" t="s">
        <v>1743</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1701</v>
      </c>
      <c r="S1501" s="1351" t="s">
        <v>1133</v>
      </c>
      <c r="T1501" s="1351" t="str">
        <f>IF(Q$1052="Yes",M1060,"")</f>
        <v/>
      </c>
      <c r="U1501" s="1351" t="s">
        <v>1764</v>
      </c>
      <c r="V1501" s="1351" t="str">
        <f>IF(Q$1069="Yes",M1077,"")</f>
        <v/>
      </c>
      <c r="W1501" s="1348"/>
      <c r="X1501" s="1348"/>
      <c r="Y1501" s="1348"/>
      <c r="Z1501" s="1348"/>
    </row>
    <row r="1502" spans="1:26" x14ac:dyDescent="0.25">
      <c r="A1502" s="816" t="s">
        <v>1475</v>
      </c>
      <c r="B1502" s="1307" t="str">
        <f>IFERROR(_xlfn.CONCAT("I",('Configurable Tab'!$C$19+4)),"")</f>
        <v>I186</v>
      </c>
      <c r="C1502" s="1307" t="str">
        <f>IFERROR(_xlfn.CONCAT("I",('Configurable Tab'!$C$19+5)),"")</f>
        <v>I187</v>
      </c>
      <c r="D1502" s="1351" t="s">
        <v>1350</v>
      </c>
      <c r="E1502" s="817" t="s">
        <v>1743</v>
      </c>
      <c r="F1502" s="1347"/>
      <c r="G1502" s="999"/>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1701</v>
      </c>
      <c r="S1502" s="1351" t="s">
        <v>1133</v>
      </c>
      <c r="T1502" s="1351" t="str">
        <f>IF(Q$1052="Yes",M1061,"")</f>
        <v/>
      </c>
      <c r="U1502" s="1351" t="s">
        <v>1764</v>
      </c>
      <c r="V1502" s="1351" t="str">
        <f>IF(Q$1069="Yes",M1078,"")</f>
        <v/>
      </c>
      <c r="W1502" s="1348"/>
      <c r="X1502" s="1348"/>
      <c r="Y1502" s="1348"/>
      <c r="Z1502" s="1348"/>
    </row>
    <row r="1503" spans="1:26" x14ac:dyDescent="0.25">
      <c r="A1503" s="816" t="s">
        <v>1476</v>
      </c>
      <c r="B1503" s="1307" t="str">
        <f>IFERROR(_xlfn.CONCAT("K",('Configurable Tab'!$C$19+4)),"")</f>
        <v>K186</v>
      </c>
      <c r="C1503" s="1307" t="str">
        <f>IFERROR(_xlfn.CONCAT("K",('Configurable Tab'!$C$19+5)),"")</f>
        <v>K187</v>
      </c>
      <c r="D1503" s="1351" t="s">
        <v>1350</v>
      </c>
      <c r="E1503" s="817" t="s">
        <v>1743</v>
      </c>
      <c r="F1503" s="999"/>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1701</v>
      </c>
      <c r="S1503" s="1351" t="s">
        <v>1133</v>
      </c>
      <c r="T1503" s="1351" t="str">
        <f>IF(Q$1052="Yes",M1062,"")</f>
        <v/>
      </c>
      <c r="U1503" s="1351" t="s">
        <v>1764</v>
      </c>
      <c r="V1503" s="1351"/>
      <c r="W1503" s="1348"/>
      <c r="X1503" s="1348"/>
      <c r="Y1503" s="1348"/>
      <c r="Z1503" s="1348"/>
    </row>
    <row r="1504" spans="1:26" x14ac:dyDescent="0.25">
      <c r="A1504" s="816" t="s">
        <v>1402</v>
      </c>
      <c r="B1504" s="1307" t="str">
        <f>IFERROR(_xlfn.CONCAT("M",('Configurable Tab'!$C$19+4)),"")</f>
        <v>M186</v>
      </c>
      <c r="C1504" s="1307" t="str">
        <f>IFERROR(_xlfn.CONCAT("M",('Configurable Tab'!$C$19+5)),"")</f>
        <v>M187</v>
      </c>
      <c r="D1504" s="1351" t="s">
        <v>1350</v>
      </c>
      <c r="E1504" s="817" t="s">
        <v>1743</v>
      </c>
      <c r="F1504" s="999"/>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1701</v>
      </c>
      <c r="S1504" s="1351" t="s">
        <v>1133</v>
      </c>
      <c r="T1504" s="1351" t="str">
        <f>IF(Q$1052="Yes",M1065,"")</f>
        <v/>
      </c>
      <c r="U1504" s="1351" t="s">
        <v>1764</v>
      </c>
      <c r="V1504" s="1351" t="str">
        <f>IF(Q$1069="Yes",M1081,"")</f>
        <v/>
      </c>
      <c r="W1504" s="1348"/>
      <c r="X1504" s="1348"/>
      <c r="Y1504" s="1348"/>
      <c r="Z1504" s="1348"/>
    </row>
    <row r="1505" spans="1:26" x14ac:dyDescent="0.25">
      <c r="A1505" s="816" t="s">
        <v>1479</v>
      </c>
      <c r="B1505" s="1307" t="str">
        <f>IFERROR(_xlfn.CONCAT("G",('Configurable Tab'!$C$19+7)),"")</f>
        <v>G189</v>
      </c>
      <c r="C1505" s="1307" t="str">
        <f>IFERROR(_xlfn.CONCAT("G",('Configurable Tab'!$C$19+8)),"")</f>
        <v>G190</v>
      </c>
      <c r="D1505" s="1351" t="s">
        <v>1350</v>
      </c>
      <c r="E1505" s="817" t="s">
        <v>1743</v>
      </c>
      <c r="F1505" s="900"/>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1701</v>
      </c>
      <c r="S1505" s="1351" t="s">
        <v>1133</v>
      </c>
      <c r="T1505" s="1351" t="str">
        <f>IF(Q$1052="Yes",M1902,"")</f>
        <v/>
      </c>
      <c r="U1505" s="1351" t="s">
        <v>1764</v>
      </c>
      <c r="V1505" s="1351" t="str">
        <f>IF(Q$1069="Yes",M1907,"")</f>
        <v/>
      </c>
      <c r="W1505" s="1348"/>
      <c r="X1505" s="1348"/>
      <c r="Y1505" s="1348"/>
      <c r="Z1505" s="1348"/>
    </row>
    <row r="1506" spans="1:26" ht="30" x14ac:dyDescent="0.25">
      <c r="A1506" s="816" t="s">
        <v>1480</v>
      </c>
      <c r="B1506" s="1307" t="str">
        <f>IFERROR(_xlfn.CONCAT("I",('Configurable Tab'!$C$19+7)),"")</f>
        <v>I189</v>
      </c>
      <c r="C1506" s="1307" t="str">
        <f>IFERROR(_xlfn.CONCAT("I",('Configurable Tab'!$C$19+8)),"")</f>
        <v>I190</v>
      </c>
      <c r="D1506" s="1351" t="s">
        <v>1350</v>
      </c>
      <c r="E1506" s="817" t="s">
        <v>1743</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1701</v>
      </c>
      <c r="S1506" s="1351" t="s">
        <v>1133</v>
      </c>
      <c r="T1506" s="1351" t="str">
        <f>IF(Q$1052="Yes",M1063,"")</f>
        <v/>
      </c>
      <c r="U1506" s="1351" t="s">
        <v>1764</v>
      </c>
      <c r="V1506" s="1351" t="str">
        <f>IF(Q$1069="Yes",M1079,"")</f>
        <v/>
      </c>
      <c r="W1506" s="1348"/>
      <c r="X1506" s="1348"/>
      <c r="Y1506" s="1348"/>
      <c r="Z1506" s="1348"/>
    </row>
    <row r="1507" spans="1:26" x14ac:dyDescent="0.25">
      <c r="A1507" s="816" t="s">
        <v>1135</v>
      </c>
      <c r="B1507" s="1307" t="str">
        <f>IFERROR(_xlfn.CONCAT("K",('Configurable Tab'!$C$19+7)),"")</f>
        <v>K189</v>
      </c>
      <c r="C1507" s="1307" t="str">
        <f>IFERROR(_xlfn.CONCAT("K",('Configurable Tab'!$C$19+8)),"")</f>
        <v>K190</v>
      </c>
      <c r="D1507" s="1351" t="s">
        <v>1350</v>
      </c>
      <c r="E1507" s="817" t="s">
        <v>1743</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1701</v>
      </c>
      <c r="S1507" s="1351" t="s">
        <v>1133</v>
      </c>
      <c r="T1507" s="1351" t="str">
        <f>IF(Q$1052="Yes",M1064,"")</f>
        <v/>
      </c>
      <c r="U1507" s="1351" t="s">
        <v>1764</v>
      </c>
      <c r="V1507" s="1351" t="str">
        <f>IF(Q$1069="Yes",M1080,"")</f>
        <v/>
      </c>
      <c r="W1507" s="1348"/>
      <c r="X1507" s="1348"/>
      <c r="Y1507" s="1348"/>
      <c r="Z1507" s="1348"/>
    </row>
    <row r="1508" spans="1:26" x14ac:dyDescent="0.25">
      <c r="A1508" s="816" t="s">
        <v>1481</v>
      </c>
      <c r="B1508" s="1307" t="str">
        <f>IFERROR(_xlfn.CONCAT("M",('Configurable Tab'!$C$19+7)),"")</f>
        <v>M189</v>
      </c>
      <c r="C1508" s="1307" t="str">
        <f>IFERROR(_xlfn.CONCAT("M",('Configurable Tab'!$C$19+8)),"")</f>
        <v>M190</v>
      </c>
      <c r="D1508" s="1351" t="s">
        <v>1350</v>
      </c>
      <c r="E1508" s="817" t="s">
        <v>1743</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1701</v>
      </c>
      <c r="S1508" s="1351" t="s">
        <v>1133</v>
      </c>
      <c r="T1508" s="1351" t="str">
        <f>IF(Q$1052="Yes",M1066,"")</f>
        <v/>
      </c>
      <c r="U1508" s="1351" t="s">
        <v>1764</v>
      </c>
      <c r="V1508" s="1351" t="str">
        <f>IF(Q$1069="Yes",M1082,"")</f>
        <v/>
      </c>
      <c r="W1508" s="1348"/>
      <c r="X1508" s="1348"/>
      <c r="Y1508" s="1348"/>
      <c r="Z1508" s="1348"/>
    </row>
    <row r="1509" spans="1:26" x14ac:dyDescent="0.25">
      <c r="A1509" s="816" t="s">
        <v>1134</v>
      </c>
      <c r="B1509" s="1307" t="str">
        <f>IFERROR(_xlfn.CONCAT("O",('Configurable Tab'!$C$19+7)),"")</f>
        <v>O189</v>
      </c>
      <c r="C1509" s="1307" t="str">
        <f>IFERROR(_xlfn.CONCAT("O",('Configurable Tab'!$C$19+8)),"")</f>
        <v>O190</v>
      </c>
      <c r="D1509" s="1351" t="s">
        <v>1350</v>
      </c>
      <c r="E1509" s="817" t="s">
        <v>1743</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1701</v>
      </c>
      <c r="S1509" s="1351" t="s">
        <v>1133</v>
      </c>
      <c r="T1509" s="1351" t="str">
        <f>IF(Q$1052="Yes",M1067,"")</f>
        <v/>
      </c>
      <c r="U1509" s="1351" t="s">
        <v>1764</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7" t="s">
        <v>1743</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1765</v>
      </c>
      <c r="P1510" s="1446" t="str">
        <f>'Configurable Tab'!E20</f>
        <v>No</v>
      </c>
      <c r="Q1510" s="1307" t="str">
        <f>IFERROR(_xlfn.CONCAT("C",('Configurable Tab'!$C20+1)),"")</f>
        <v>C194</v>
      </c>
      <c r="R1510" s="1349" t="s">
        <v>1099</v>
      </c>
      <c r="S1510" s="1351" t="s">
        <v>1615</v>
      </c>
      <c r="T1510" s="1351">
        <f>IF(Q$1085="Yes",IF(Q$1095="Yes",2,1),0)</f>
        <v>0</v>
      </c>
      <c r="U1510" s="1351" t="str">
        <f>IF(Q$1085="Yes",M1085,"")</f>
        <v/>
      </c>
      <c r="V1510" s="1351" t="str">
        <f>IF(Q$1095="Yes",M1095,"")</f>
        <v/>
      </c>
      <c r="W1510" s="1351" t="s">
        <v>1618</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7" t="s">
        <v>1743</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1615</v>
      </c>
      <c r="T1511" s="1348"/>
      <c r="U1511" s="1351" t="str">
        <f>IF(Q$1085="Yes",M1086,"")</f>
        <v/>
      </c>
      <c r="V1511" s="1351" t="str">
        <f>IF(Q$1095="Yes",M1096,"")</f>
        <v/>
      </c>
      <c r="W1511" s="1351" t="s">
        <v>1618</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7" t="s">
        <v>1743</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1615</v>
      </c>
      <c r="T1512" s="1348"/>
      <c r="U1512" s="1351" t="str">
        <f>IF(Q$1085="Yes",M1089,"")</f>
        <v/>
      </c>
      <c r="V1512" s="1351" t="str">
        <f>IF(Q$1095="Yes",M1099,"")</f>
        <v/>
      </c>
      <c r="W1512" s="1351" t="s">
        <v>1618</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7" t="s">
        <v>1743</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1615</v>
      </c>
      <c r="T1513" s="1348"/>
      <c r="U1513" s="1351" t="str">
        <f>IF(Q$1085="Yes",M1090,"")</f>
        <v/>
      </c>
      <c r="V1513" s="1351" t="str">
        <f>IF(Q$1095="Yes",M1100,"")</f>
        <v/>
      </c>
      <c r="W1513" s="1351" t="s">
        <v>1618</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7" t="s">
        <v>1743</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1618</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7" t="s">
        <v>1743</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1615</v>
      </c>
      <c r="T1515" s="1348"/>
      <c r="U1515" s="1351" t="str">
        <f>IF(Q$1085="Yes",M1087,"")</f>
        <v/>
      </c>
      <c r="V1515" s="1351" t="str">
        <f>IF(Q$1095="Yes",M1097,"")</f>
        <v/>
      </c>
      <c r="W1515" s="1351" t="s">
        <v>1618</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7" t="s">
        <v>1743</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1615</v>
      </c>
      <c r="T1516" s="1348"/>
      <c r="U1516" s="1351" t="str">
        <f>IF(Q$1085="Yes",M1088,"")</f>
        <v/>
      </c>
      <c r="V1516" s="1351" t="str">
        <f>IF(Q$1095="Yes",M1098,"")</f>
        <v/>
      </c>
      <c r="W1516" s="1351" t="s">
        <v>1618</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7" t="s">
        <v>1743</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1615</v>
      </c>
      <c r="T1517" s="1348"/>
      <c r="U1517" s="1351" t="str">
        <f>IF(Q$1085="Yes",M1093,"")</f>
        <v/>
      </c>
      <c r="V1517" s="1351" t="str">
        <f>IF(Q$1095="Yes",M1103,"")</f>
        <v/>
      </c>
      <c r="W1517" s="1351" t="s">
        <v>1618</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7" t="s">
        <v>1743</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7" t="s">
        <v>1743</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1618</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7" t="s">
        <v>1743</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1618</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7" t="s">
        <v>1743</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1618</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7" t="s">
        <v>1743</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1618</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7" t="s">
        <v>1743</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1618</v>
      </c>
      <c r="X1523" s="1348"/>
      <c r="Y1523" s="1351" t="str">
        <f>IF(Q$1105="Yes",M1131,"")</f>
        <v/>
      </c>
      <c r="Z1523" s="1351" t="str">
        <f>IF(Q$1134="Yes",M1160,"")</f>
        <v/>
      </c>
    </row>
    <row r="1524" spans="1:26" x14ac:dyDescent="0.25">
      <c r="A1524" s="1106" t="s">
        <v>1483</v>
      </c>
      <c r="B1524" s="1307" t="str">
        <f>IFERROR(_xlfn.CONCAT("M",('Configurable Tab'!$C$20+4)),"")</f>
        <v>M197</v>
      </c>
      <c r="C1524" s="1307" t="str">
        <f>IFERROR(_xlfn.CONCAT("M",('Configurable Tab'!$C$20+5)),"")</f>
        <v>M198</v>
      </c>
      <c r="D1524" s="1351" t="s">
        <v>1350</v>
      </c>
      <c r="E1524" s="817" t="s">
        <v>1743</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1618</v>
      </c>
      <c r="X1524" s="1348"/>
      <c r="Y1524" s="1351" t="str">
        <f>IF(Q$1105="Yes",M1120,"")</f>
        <v/>
      </c>
      <c r="Z1524" s="1351" t="str">
        <f>IF(Q$1134="Yes",M1149,"")</f>
        <v/>
      </c>
    </row>
    <row r="1525" spans="1:26" x14ac:dyDescent="0.25">
      <c r="A1525" s="1106" t="s">
        <v>1483</v>
      </c>
      <c r="B1525" s="1307" t="str">
        <f>IFERROR(_xlfn.CONCAT("M",('Configurable Tab'!$C$20+4)),"")</f>
        <v>M197</v>
      </c>
      <c r="C1525" s="1307" t="str">
        <f>IFERROR(_xlfn.CONCAT("M",('Configurable Tab'!$C$20+6)),"")</f>
        <v>M199</v>
      </c>
      <c r="D1525" s="1351" t="s">
        <v>1350</v>
      </c>
      <c r="E1525" s="817" t="s">
        <v>1743</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1618</v>
      </c>
      <c r="X1525" s="1348"/>
      <c r="Y1525" s="1351" t="str">
        <f>IF(Q$1105="Yes",M1123,"")</f>
        <v/>
      </c>
      <c r="Z1525" s="1351" t="str">
        <f>IF(Q$1134="Yes",M1152,"")</f>
        <v/>
      </c>
    </row>
    <row r="1526" spans="1:26" x14ac:dyDescent="0.25">
      <c r="A1526" s="1106" t="s">
        <v>1483</v>
      </c>
      <c r="B1526" s="1307" t="str">
        <f>IFERROR(_xlfn.CONCAT("M",('Configurable Tab'!$C$20+4)),"")</f>
        <v>M197</v>
      </c>
      <c r="C1526" s="1307" t="str">
        <f>IFERROR(_xlfn.CONCAT("M",('Configurable Tab'!$C$20+7)),"")</f>
        <v>M200</v>
      </c>
      <c r="D1526" s="1351" t="s">
        <v>1350</v>
      </c>
      <c r="E1526" s="817" t="s">
        <v>1743</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1618</v>
      </c>
      <c r="X1526" s="1348"/>
      <c r="Y1526" s="1351" t="str">
        <f>IF(Q$1105="Yes",M1126,"")</f>
        <v/>
      </c>
      <c r="Z1526" s="1351" t="str">
        <f>IF(Q$1134="Yes",M1155,"")</f>
        <v/>
      </c>
    </row>
    <row r="1527" spans="1:26" x14ac:dyDescent="0.25">
      <c r="A1527" s="1106" t="s">
        <v>1483</v>
      </c>
      <c r="B1527" s="1307" t="str">
        <f>IFERROR(_xlfn.CONCAT("M",('Configurable Tab'!$C$20+4)),"")</f>
        <v>M197</v>
      </c>
      <c r="C1527" s="1307" t="str">
        <f>IFERROR(_xlfn.CONCAT("M",('Configurable Tab'!$C$20+8)),"")</f>
        <v>M201</v>
      </c>
      <c r="D1527" s="1351" t="s">
        <v>1350</v>
      </c>
      <c r="E1527" s="817" t="s">
        <v>1743</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1618</v>
      </c>
      <c r="X1527" s="1348"/>
      <c r="Y1527" s="1351" t="str">
        <f>IF(Q$1105="Yes",M1129,"")</f>
        <v/>
      </c>
      <c r="Z1527" s="1351" t="str">
        <f>IF(Q$1134="Yes",M1158,"")</f>
        <v/>
      </c>
    </row>
    <row r="1528" spans="1:26" x14ac:dyDescent="0.25">
      <c r="A1528" s="1106" t="s">
        <v>1483</v>
      </c>
      <c r="B1528" s="1307" t="str">
        <f>IFERROR(_xlfn.CONCAT("M",('Configurable Tab'!$C$20+4)),"")</f>
        <v>M197</v>
      </c>
      <c r="C1528" s="1307" t="str">
        <f>IFERROR(_xlfn.CONCAT("M",('Configurable Tab'!$C$20+9)),"")</f>
        <v>M202</v>
      </c>
      <c r="D1528" s="1351" t="s">
        <v>1350</v>
      </c>
      <c r="E1528" s="817" t="s">
        <v>1743</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1618</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7" t="s">
        <v>1743</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1766</v>
      </c>
      <c r="P1529" s="1446" t="str">
        <f>'Configurable Tab'!E21</f>
        <v>No</v>
      </c>
      <c r="Q1529" s="1307" t="str">
        <f>IFERROR(_xlfn.CONCAT("C",('Configurable Tab'!$C21+1)),"")</f>
        <v>C206</v>
      </c>
      <c r="R1529" s="1351" t="s">
        <v>1099</v>
      </c>
      <c r="S1529" s="1352" t="s">
        <v>1767</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7" t="s">
        <v>1743</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7" t="s">
        <v>1743</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7" t="s">
        <v>1743</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7" t="s">
        <v>1743</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7" t="s">
        <v>1743</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7" t="s">
        <v>1743</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7" t="s">
        <v>1743</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7" t="s">
        <v>1743</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7" t="s">
        <v>1743</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7" t="s">
        <v>1743</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7" t="s">
        <v>1743</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7" t="s">
        <v>1743</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7" t="s">
        <v>1743</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1483</v>
      </c>
      <c r="B1543" s="1307" t="str">
        <f>IFERROR(_xlfn.CONCAT("M",('Configurable Tab'!$C$21+4)),"")</f>
        <v>M209</v>
      </c>
      <c r="C1543" s="1307" t="str">
        <f>IFERROR(_xlfn.CONCAT("M",('Configurable Tab'!$C$21+5)),"")</f>
        <v>M210</v>
      </c>
      <c r="D1543" s="1351" t="s">
        <v>1350</v>
      </c>
      <c r="E1543" s="817" t="s">
        <v>1743</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1483</v>
      </c>
      <c r="B1544" s="1307" t="str">
        <f>IFERROR(_xlfn.CONCAT("M",('Configurable Tab'!$C$21+4)),"")</f>
        <v>M209</v>
      </c>
      <c r="C1544" s="1307" t="str">
        <f>IFERROR(_xlfn.CONCAT("M",('Configurable Tab'!$C$21+6)),"")</f>
        <v>M211</v>
      </c>
      <c r="D1544" s="1351" t="s">
        <v>1350</v>
      </c>
      <c r="E1544" s="817" t="s">
        <v>1743</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1483</v>
      </c>
      <c r="B1545" s="1307" t="str">
        <f>IFERROR(_xlfn.CONCAT("M",('Configurable Tab'!$C$21+4)),"")</f>
        <v>M209</v>
      </c>
      <c r="C1545" s="1307" t="str">
        <f>IFERROR(_xlfn.CONCAT("M",('Configurable Tab'!$C$21+7)),"")</f>
        <v>M212</v>
      </c>
      <c r="D1545" s="1351" t="s">
        <v>1350</v>
      </c>
      <c r="E1545" s="817" t="s">
        <v>1743</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1483</v>
      </c>
      <c r="B1546" s="1307" t="str">
        <f>IFERROR(_xlfn.CONCAT("M",('Configurable Tab'!$C$21+4)),"")</f>
        <v>M209</v>
      </c>
      <c r="C1546" s="1307" t="str">
        <f>IFERROR(_xlfn.CONCAT("M",('Configurable Tab'!$C$21+8)),"")</f>
        <v>M213</v>
      </c>
      <c r="D1546" s="1351" t="s">
        <v>1350</v>
      </c>
      <c r="E1546" s="817" t="s">
        <v>1743</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1483</v>
      </c>
      <c r="B1547" s="1307" t="str">
        <f>IFERROR(_xlfn.CONCAT("M",('Configurable Tab'!$C$21+4)),"")</f>
        <v>M209</v>
      </c>
      <c r="C1547" s="1307" t="str">
        <f>IFERROR(_xlfn.CONCAT("M",('Configurable Tab'!$C$21+9)),"")</f>
        <v>M214</v>
      </c>
      <c r="D1547" s="1351" t="s">
        <v>1350</v>
      </c>
      <c r="E1547" s="817" t="s">
        <v>1743</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3" t="s">
        <v>523</v>
      </c>
      <c r="B1548" s="1307" t="str">
        <f>IFERROR(_xlfn.CONCAT("D",('Configurable Tab'!$C$22+1)),"")</f>
        <v>D218</v>
      </c>
      <c r="C1548" s="1307" t="str">
        <f>IFERROR(_xlfn.CONCAT("E",('Configurable Tab'!$C$22+1)),"")</f>
        <v>E218</v>
      </c>
      <c r="D1548" s="1351" t="s">
        <v>1350</v>
      </c>
      <c r="E1548" s="817" t="s">
        <v>1743</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1768</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8" t="s">
        <v>1383</v>
      </c>
      <c r="B1549" s="1307" t="str">
        <f>IFERROR(_xlfn.CONCAT("D",('Configurable Tab'!$C$22+2)),"")</f>
        <v>D219</v>
      </c>
      <c r="C1549" s="1307" t="str">
        <f>IFERROR(_xlfn.CONCAT("E",('Configurable Tab'!$C$22+2)),"")</f>
        <v>E219</v>
      </c>
      <c r="D1549" s="1351" t="s">
        <v>1350</v>
      </c>
      <c r="E1549" s="817" t="s">
        <v>1743</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8" t="s">
        <v>1385</v>
      </c>
      <c r="B1550" s="1307" t="str">
        <f>IFERROR(_xlfn.CONCAT("D",('Configurable Tab'!$C$22+4)),"")</f>
        <v>D221</v>
      </c>
      <c r="C1550" s="1307" t="str">
        <f>IFERROR(_xlfn.CONCAT("E",('Configurable Tab'!$C$22+4)),"")</f>
        <v>E221</v>
      </c>
      <c r="D1550" s="1351" t="s">
        <v>1350</v>
      </c>
      <c r="E1550" s="817" t="s">
        <v>1743</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8" t="s">
        <v>1386</v>
      </c>
      <c r="B1551" s="1307" t="str">
        <f>IFERROR(_xlfn.CONCAT("D",('Configurable Tab'!$C$22+5)),"")</f>
        <v>D222</v>
      </c>
      <c r="C1551" s="1307" t="str">
        <f>IFERROR(_xlfn.CONCAT("E",('Configurable Tab'!$C$22+5)),"")</f>
        <v>E222</v>
      </c>
      <c r="D1551" s="1351" t="s">
        <v>1350</v>
      </c>
      <c r="E1551" s="817" t="s">
        <v>1743</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8" t="s">
        <v>1381</v>
      </c>
      <c r="B1552" s="1307" t="str">
        <f>IFERROR(_xlfn.CONCAT("I",('Configurable Tab'!$C$22+1)),"")</f>
        <v>I218</v>
      </c>
      <c r="C1552" s="1307" t="str">
        <f>IFERROR(_xlfn.CONCAT("I",('Configurable Tab'!$C$22+2)),"")</f>
        <v>I219</v>
      </c>
      <c r="D1552" s="1351" t="s">
        <v>1350</v>
      </c>
      <c r="E1552" s="817" t="s">
        <v>1743</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8" t="s">
        <v>1389</v>
      </c>
      <c r="B1553" s="1307" t="str">
        <f>IFERROR(_xlfn.CONCAT("K",('Configurable Tab'!$C$22+4)),"")</f>
        <v>K221</v>
      </c>
      <c r="C1553" s="1307" t="str">
        <f>IFERROR(_xlfn.CONCAT("K",('Configurable Tab'!$C$22+5)),"")</f>
        <v>K222</v>
      </c>
      <c r="D1553" s="1351" t="s">
        <v>1350</v>
      </c>
      <c r="E1553" s="817" t="s">
        <v>1743</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0" t="s">
        <v>1793</v>
      </c>
      <c r="G1578" s="52" t="s">
        <v>1806</v>
      </c>
      <c r="H1578" s="52" t="s">
        <v>1784</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0" t="s">
        <v>1794</v>
      </c>
      <c r="G1579" s="52" t="s">
        <v>1807</v>
      </c>
      <c r="H1579" s="52" t="s">
        <v>1784</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0" t="s">
        <v>1795</v>
      </c>
      <c r="G1580" s="52" t="s">
        <v>1808</v>
      </c>
      <c r="H1580" s="52" t="s">
        <v>1784</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0" t="s">
        <v>1796</v>
      </c>
      <c r="G1581" s="52" t="s">
        <v>1809</v>
      </c>
      <c r="H1581" s="52" t="s">
        <v>1784</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0" t="s">
        <v>1797</v>
      </c>
      <c r="G1582" s="52" t="s">
        <v>2056</v>
      </c>
      <c r="H1582" s="52" t="s">
        <v>1784</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299" t="s">
        <v>1918</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299" t="s">
        <v>1265</v>
      </c>
      <c r="G1608" s="817"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4" t="s">
        <v>1289</v>
      </c>
      <c r="B1610" s="1307" t="str">
        <f ca="1">_xlfn.CONCAT(IFERROR(SUBSTITUTE(ADDRESS(1,MATCH(A1610,INDIRECT("'"&amp;E1610&amp;"'"&amp;"!A9:Z9"),0),4),1,""),""),10)</f>
        <v>F10</v>
      </c>
      <c r="C1610" s="1307" t="str">
        <f ca="1">_xlfn.CONCAT(IFERROR(SUBSTITUTE(ADDRESS(1,MATCH(A1610,INDIRECT("'"&amp;E1610&amp;"'"&amp;"!A9:Z9"),0),4),1,""),""))</f>
        <v>F</v>
      </c>
      <c r="D1610" s="817" t="s">
        <v>1357</v>
      </c>
      <c r="E1610" s="854" t="s">
        <v>208</v>
      </c>
      <c r="F1610" s="1299" t="s">
        <v>1921</v>
      </c>
      <c r="G1610" s="816" t="s">
        <v>1355</v>
      </c>
      <c r="H1610" s="816" t="s">
        <v>1926</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4" t="s">
        <v>395</v>
      </c>
      <c r="B1611" s="1307" t="str">
        <f ca="1">_xlfn.CONCAT(IFERROR(SUBSTITUTE(ADDRESS(1,MATCH(A1611,INDIRECT("'"&amp;E1611&amp;"'"&amp;"!A9:Z9"),0),4),1,""),""),10)</f>
        <v>G10</v>
      </c>
      <c r="C1611" s="1307" t="str">
        <f ca="1">_xlfn.CONCAT(IFERROR(SUBSTITUTE(ADDRESS(1,MATCH(A1611,INDIRECT("'"&amp;E1611&amp;"'"&amp;"!A9:Z9"),0),4),1,""),""))</f>
        <v>G</v>
      </c>
      <c r="D1611" s="817" t="s">
        <v>1357</v>
      </c>
      <c r="E1611" s="854" t="s">
        <v>208</v>
      </c>
      <c r="F1611" s="816" t="s">
        <v>1922</v>
      </c>
      <c r="G1611" s="816" t="s">
        <v>1370</v>
      </c>
      <c r="H1611" s="816" t="s">
        <v>1926</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4" t="s">
        <v>83</v>
      </c>
      <c r="B1612" s="1307" t="str">
        <f ca="1">_xlfn.CONCAT(IFERROR(SUBSTITUTE(ADDRESS(1,MATCH(A1612,INDIRECT("'"&amp;E1612&amp;"'"&amp;"!A9:Z9"),0),4),1,""),""),10)</f>
        <v>H10</v>
      </c>
      <c r="C1612" s="1307" t="str">
        <f ca="1">_xlfn.CONCAT(IFERROR(SUBSTITUTE(ADDRESS(1,MATCH(A1612,INDIRECT("'"&amp;E1612&amp;"'"&amp;"!A9:Z9"),0),4),1,""),""))</f>
        <v>H</v>
      </c>
      <c r="D1612" s="817" t="s">
        <v>1357</v>
      </c>
      <c r="E1612" s="854" t="s">
        <v>208</v>
      </c>
      <c r="F1612" s="816" t="s">
        <v>1923</v>
      </c>
      <c r="G1612" s="1299" t="s">
        <v>656</v>
      </c>
      <c r="H1612" s="816" t="s">
        <v>1926</v>
      </c>
      <c r="I1612" s="851"/>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4" t="s">
        <v>1247</v>
      </c>
      <c r="B1613" s="1307" t="str">
        <f ca="1">_xlfn.CONCAT(IFERROR(SUBSTITUTE(ADDRESS(1,MATCH(A1613,INDIRECT("'"&amp;E1613&amp;"'"&amp;"!A9:Z9"),0),4),1,""),""),10)</f>
        <v>I10</v>
      </c>
      <c r="C1613" s="1307" t="str">
        <f ca="1">_xlfn.CONCAT(IFERROR(SUBSTITUTE(ADDRESS(1,MATCH(A1613,INDIRECT("'"&amp;E1613&amp;"'"&amp;"!A9:Z9"),0),4),1,""),""))</f>
        <v>I</v>
      </c>
      <c r="D1613" s="817" t="s">
        <v>1357</v>
      </c>
      <c r="E1613" s="854" t="s">
        <v>208</v>
      </c>
      <c r="F1613" s="1299" t="s">
        <v>1924</v>
      </c>
      <c r="G1613" s="1299" t="s">
        <v>1356</v>
      </c>
      <c r="H1613" s="816" t="s">
        <v>1926</v>
      </c>
      <c r="I1613" s="851"/>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4" t="s">
        <v>1920</v>
      </c>
      <c r="B1614" s="1307" t="str">
        <f ca="1">_xlfn.CONCAT(IFERROR(SUBSTITUTE(ADDRESS(1,MATCH(A1614,INDIRECT("'"&amp;E1614&amp;"'"&amp;"!A9:Z9"),0),4),1,""),""),10)</f>
        <v>J10</v>
      </c>
      <c r="C1614" s="1307" t="str">
        <f ca="1">_xlfn.CONCAT(IFERROR(SUBSTITUTE(ADDRESS(1,MATCH(A1614,INDIRECT("'"&amp;E1614&amp;"'"&amp;"!A9:Z9"),0),4),1,""),""))</f>
        <v>J</v>
      </c>
      <c r="D1614" s="817" t="s">
        <v>1357</v>
      </c>
      <c r="E1614" s="854" t="s">
        <v>208</v>
      </c>
      <c r="F1614" s="1299" t="s">
        <v>1925</v>
      </c>
      <c r="G1614" s="1324" t="s">
        <v>1361</v>
      </c>
      <c r="H1614" s="816" t="s">
        <v>1926</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1919</v>
      </c>
      <c r="B1615" s="1307" t="str">
        <f ca="1">_xlfn.CONCAT(IFERROR(SUBSTITUTE(ADDRESS(1,MATCH(A1615,INDIRECT("'"&amp;E1615&amp;"'"&amp;"!$A$34:$Z$34"),0),4),1,""),""),35)</f>
        <v>O35</v>
      </c>
      <c r="C1615" s="1307" t="str">
        <f ca="1">IFERROR(SUBSTITUTE(ADDRESS(1,MATCH(A1615,INDIRECT("'"&amp;E1615&amp;"'"&amp;"!$A$34:$Z$34"),0),4),1,""),"")</f>
        <v>O</v>
      </c>
      <c r="D1615" s="817" t="s">
        <v>1357</v>
      </c>
      <c r="E1615" s="817" t="s">
        <v>1279</v>
      </c>
      <c r="F1615" s="1324" t="s">
        <v>1919</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6" t="s">
        <v>1245</v>
      </c>
      <c r="G1616" s="817" t="s">
        <v>1361</v>
      </c>
      <c r="H1616" s="817"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7" t="s">
        <v>1350</v>
      </c>
      <c r="E1617" s="52" t="s">
        <v>129</v>
      </c>
      <c r="F1617" s="1351" t="s">
        <v>1972</v>
      </c>
      <c r="G1617" s="52" t="s">
        <v>1370</v>
      </c>
      <c r="H1617" s="52" t="s">
        <v>1928</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IFERROR(_xlfn.CONCAT("E",MATCH(A1619,'Tracking &amp; Profitability'!D$1:D$62,0)),"")</f>
        <v>E12</v>
      </c>
      <c r="D1619" s="817" t="s">
        <v>1350</v>
      </c>
      <c r="E1619" s="52" t="s">
        <v>129</v>
      </c>
      <c r="F1619" s="1351" t="s">
        <v>1973</v>
      </c>
      <c r="G1619" s="52" t="s">
        <v>656</v>
      </c>
      <c r="H1619" s="52" t="s">
        <v>1928</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7" t="s">
        <v>1350</v>
      </c>
      <c r="E1620" s="52" t="s">
        <v>129</v>
      </c>
      <c r="F1620" s="1326" t="s">
        <v>1929</v>
      </c>
      <c r="G1620" s="1326" t="s">
        <v>1360</v>
      </c>
      <c r="H1620" s="1130" t="s">
        <v>1928</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7" t="s">
        <v>1350</v>
      </c>
      <c r="E1621" s="52" t="s">
        <v>129</v>
      </c>
      <c r="F1621" s="1326" t="s">
        <v>1930</v>
      </c>
      <c r="G1621" s="1326" t="s">
        <v>134</v>
      </c>
      <c r="H1621" s="1130" t="s">
        <v>1928</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7" t="s">
        <v>1350</v>
      </c>
      <c r="E1622" s="52" t="s">
        <v>129</v>
      </c>
      <c r="F1622" s="1326" t="s">
        <v>1931</v>
      </c>
      <c r="G1622" s="1324" t="s">
        <v>657</v>
      </c>
      <c r="H1622" s="1130" t="s">
        <v>1928</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30" t="s">
        <v>1928</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30" t="s">
        <v>1928</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7" t="s">
        <v>1350</v>
      </c>
      <c r="E1625" s="52" t="s">
        <v>129</v>
      </c>
      <c r="F1625" s="1326" t="s">
        <v>1934</v>
      </c>
      <c r="G1625" s="1351" t="s">
        <v>1801</v>
      </c>
      <c r="H1625" s="1130" t="s">
        <v>1928</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7" t="s">
        <v>1350</v>
      </c>
      <c r="E1626" s="52" t="s">
        <v>129</v>
      </c>
      <c r="F1626" s="1326" t="s">
        <v>1935</v>
      </c>
      <c r="G1626" s="1351" t="s">
        <v>1936</v>
      </c>
      <c r="H1626" s="1130" t="s">
        <v>1928</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7" t="s">
        <v>1350</v>
      </c>
      <c r="E1627" s="52" t="s">
        <v>129</v>
      </c>
      <c r="F1627" s="1326" t="s">
        <v>1933</v>
      </c>
      <c r="G1627" s="1351" t="s">
        <v>1802</v>
      </c>
      <c r="H1627" s="1130" t="s">
        <v>1928</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51" t="s">
        <v>1937</v>
      </c>
      <c r="H1628" s="1130" t="s">
        <v>1928</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51" t="s">
        <v>1824</v>
      </c>
      <c r="H1629" s="1130" t="s">
        <v>1928</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51" t="s">
        <v>1938</v>
      </c>
      <c r="H1630" s="1130" t="s">
        <v>1928</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51" t="s">
        <v>1939</v>
      </c>
      <c r="H1631" s="1130" t="s">
        <v>1928</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51" t="s">
        <v>1836</v>
      </c>
      <c r="H1632" s="1130" t="s">
        <v>1928</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51" t="s">
        <v>1940</v>
      </c>
      <c r="H1633" s="1130" t="s">
        <v>1928</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51" t="s">
        <v>1941</v>
      </c>
      <c r="H1634" s="1130" t="s">
        <v>1928</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0" t="s">
        <v>1793</v>
      </c>
      <c r="G1635" s="1351" t="s">
        <v>1700</v>
      </c>
      <c r="H1635" s="1130" t="s">
        <v>1928</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0" t="s">
        <v>1794</v>
      </c>
      <c r="G1636" s="1351" t="s">
        <v>1942</v>
      </c>
      <c r="H1636" s="1130" t="s">
        <v>1928</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0" t="s">
        <v>1795</v>
      </c>
      <c r="G1637" s="1351" t="s">
        <v>1943</v>
      </c>
      <c r="H1637" s="1130" t="s">
        <v>1928</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0" t="s">
        <v>1796</v>
      </c>
      <c r="G1638" s="1351" t="s">
        <v>1944</v>
      </c>
      <c r="H1638" s="1130" t="s">
        <v>1928</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0" t="s">
        <v>1797</v>
      </c>
      <c r="G1639" s="1351" t="s">
        <v>1945</v>
      </c>
      <c r="H1639" s="1130" t="s">
        <v>1928</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51" t="s">
        <v>1946</v>
      </c>
      <c r="H1640" s="1130" t="s">
        <v>1928</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51" t="s">
        <v>1947</v>
      </c>
      <c r="H1641" s="1130" t="s">
        <v>1928</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7" t="str">
        <f>IFERROR(_xlfn.CONCAT("G",MATCH(A1644,'PIM Model'!G$1:G$60,0)),"")</f>
        <v>G34</v>
      </c>
      <c r="C1644" s="817" t="str">
        <f>IFERROR(_xlfn.CONCAT("I",MATCH(A1644,'PIM Model'!G$1:G$60,0)),"")</f>
        <v>I34</v>
      </c>
      <c r="D1644" s="817" t="s">
        <v>1350</v>
      </c>
      <c r="E1644" s="52" t="s">
        <v>208</v>
      </c>
      <c r="F1644" s="1326" t="s">
        <v>1976</v>
      </c>
      <c r="G1644" s="1326" t="s">
        <v>1363</v>
      </c>
      <c r="H1644" s="817" t="s">
        <v>1928</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7" t="str">
        <f>IFERROR(_xlfn.CONCAT("G",MATCH(A1645,'PIM Model'!G$1:G$60,0)),"")</f>
        <v>G35</v>
      </c>
      <c r="C1645" s="817" t="str">
        <f>IFERROR(_xlfn.CONCAT("I",MATCH(A1645,'PIM Model'!G$1:G$60,0)),"")</f>
        <v>I35</v>
      </c>
      <c r="D1645" s="817" t="s">
        <v>1350</v>
      </c>
      <c r="E1645" s="52" t="s">
        <v>208</v>
      </c>
      <c r="F1645" s="1326" t="s">
        <v>1977</v>
      </c>
      <c r="G1645" s="1326" t="s">
        <v>1364</v>
      </c>
      <c r="H1645" s="817" t="s">
        <v>1928</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7" t="str">
        <f>IFERROR(_xlfn.CONCAT("G",MATCH(A1646,'PIM Model'!G$1:G$60,0)),"")</f>
        <v>G39</v>
      </c>
      <c r="C1646" s="817" t="str">
        <f>IFERROR(_xlfn.CONCAT("I",MATCH(A1646,'PIM Model'!G$1:G$60,0)),"")</f>
        <v>I39</v>
      </c>
      <c r="D1646" s="817" t="s">
        <v>1350</v>
      </c>
      <c r="E1646" s="52" t="s">
        <v>208</v>
      </c>
      <c r="F1646" s="1326" t="s">
        <v>1978</v>
      </c>
      <c r="G1646" s="1324" t="s">
        <v>1366</v>
      </c>
      <c r="H1646" s="817" t="s">
        <v>1928</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4" t="s">
        <v>83</v>
      </c>
      <c r="B1647" s="1307" t="str">
        <f ca="1">_xlfn.CONCAT(IFERROR(SUBSTITUTE(ADDRESS(1,MATCH(A1647,INDIRECT("'"&amp;E1647&amp;"'"&amp;"!A9:Z9"),0),4),1,""),""),9)</f>
        <v>H9</v>
      </c>
      <c r="C1647" s="1307" t="str">
        <f ca="1">_xlfn.CONCAT(IFERROR(SUBSTITUTE(ADDRESS(1,MATCH(A1647,INDIRECT("'"&amp;E1647&amp;"'"&amp;"!A9:Z9"),0),4),1,""),""),31)</f>
        <v>H31</v>
      </c>
      <c r="D1647" s="817" t="s">
        <v>1350</v>
      </c>
      <c r="E1647" s="854" t="s">
        <v>208</v>
      </c>
      <c r="F1647" s="1351" t="s">
        <v>1950</v>
      </c>
      <c r="G1647" s="1351" t="s">
        <v>1951</v>
      </c>
      <c r="H1647" s="1351" t="s">
        <v>1928</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7" t="s">
        <v>1350</v>
      </c>
      <c r="E1648" s="52" t="s">
        <v>210</v>
      </c>
      <c r="F1648" s="816" t="s">
        <v>1974</v>
      </c>
      <c r="G1648" s="1351" t="s">
        <v>1810</v>
      </c>
      <c r="H1648" s="1130" t="s">
        <v>1928</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7" t="s">
        <v>1350</v>
      </c>
      <c r="E1649" s="52" t="s">
        <v>210</v>
      </c>
      <c r="F1649" s="816" t="s">
        <v>1975</v>
      </c>
      <c r="G1649" s="1351" t="s">
        <v>1815</v>
      </c>
      <c r="H1649" s="1130" t="s">
        <v>1928</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7" t="s">
        <v>1350</v>
      </c>
      <c r="E1650" s="52" t="s">
        <v>210</v>
      </c>
      <c r="F1650" s="816" t="s">
        <v>1952</v>
      </c>
      <c r="G1650" s="1351" t="s">
        <v>1816</v>
      </c>
      <c r="H1650" s="1130" t="s">
        <v>1928</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7" t="s">
        <v>1350</v>
      </c>
      <c r="E1651" s="52" t="s">
        <v>210</v>
      </c>
      <c r="F1651" s="816" t="s">
        <v>1953</v>
      </c>
      <c r="G1651" s="1351" t="s">
        <v>1813</v>
      </c>
      <c r="H1651" s="1130" t="s">
        <v>1928</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7" t="s">
        <v>1350</v>
      </c>
      <c r="E1652" s="52" t="s">
        <v>210</v>
      </c>
      <c r="F1652" s="816" t="s">
        <v>1954</v>
      </c>
      <c r="G1652" s="1351" t="s">
        <v>1812</v>
      </c>
      <c r="H1652" s="1130" t="s">
        <v>1928</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7" t="s">
        <v>1350</v>
      </c>
      <c r="E1653" s="52" t="s">
        <v>210</v>
      </c>
      <c r="F1653" s="1327" t="s">
        <v>1955</v>
      </c>
      <c r="G1653" s="1326" t="s">
        <v>1829</v>
      </c>
      <c r="H1653" s="1130" t="s">
        <v>1928</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7" t="s">
        <v>1350</v>
      </c>
      <c r="E1654" s="52" t="s">
        <v>210</v>
      </c>
      <c r="F1654" s="1327" t="s">
        <v>1956</v>
      </c>
      <c r="G1654" s="1326" t="s">
        <v>1830</v>
      </c>
      <c r="H1654" s="1130" t="s">
        <v>1928</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7" t="s">
        <v>1350</v>
      </c>
      <c r="E1655" s="52" t="s">
        <v>210</v>
      </c>
      <c r="F1655" s="1327" t="s">
        <v>1957</v>
      </c>
      <c r="G1655" s="1326" t="s">
        <v>1831</v>
      </c>
      <c r="H1655" s="1130" t="s">
        <v>1928</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7" t="s">
        <v>1350</v>
      </c>
      <c r="E1656" s="52" t="s">
        <v>210</v>
      </c>
      <c r="F1656" s="1327" t="s">
        <v>1980</v>
      </c>
      <c r="G1656" s="1326" t="s">
        <v>1961</v>
      </c>
      <c r="H1656" s="1130" t="s">
        <v>1928</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7" t="s">
        <v>1350</v>
      </c>
      <c r="E1657" s="52" t="s">
        <v>210</v>
      </c>
      <c r="F1657" s="1327" t="s">
        <v>1981</v>
      </c>
      <c r="G1657" s="1326" t="s">
        <v>1832</v>
      </c>
      <c r="H1657" s="1130" t="s">
        <v>1928</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7" t="s">
        <v>1350</v>
      </c>
      <c r="E1658" s="52" t="s">
        <v>210</v>
      </c>
      <c r="F1658" s="1327" t="s">
        <v>1982</v>
      </c>
      <c r="G1658" s="1324" t="s">
        <v>1833</v>
      </c>
      <c r="H1658" s="1130" t="s">
        <v>1928</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7" t="s">
        <v>1350</v>
      </c>
      <c r="E1659" s="52" t="s">
        <v>210</v>
      </c>
      <c r="F1659" s="1327" t="s">
        <v>1958</v>
      </c>
      <c r="G1659" s="1326" t="s">
        <v>1834</v>
      </c>
      <c r="H1659" s="1130" t="s">
        <v>1928</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7" t="s">
        <v>1350</v>
      </c>
      <c r="E1660" s="52" t="s">
        <v>210</v>
      </c>
      <c r="F1660" s="1327" t="s">
        <v>1959</v>
      </c>
      <c r="G1660" s="1326" t="s">
        <v>1835</v>
      </c>
      <c r="H1660" s="1130" t="s">
        <v>1928</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7" t="s">
        <v>1350</v>
      </c>
      <c r="E1661" s="52" t="s">
        <v>210</v>
      </c>
      <c r="F1661" s="1327" t="s">
        <v>1960</v>
      </c>
      <c r="G1661" s="1324" t="s">
        <v>1962</v>
      </c>
      <c r="H1661" s="1130" t="s">
        <v>1928</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1963</v>
      </c>
      <c r="B1662" s="52" t="str">
        <f>IFERROR(_xlfn.CONCAT("D",MATCH(A1662,'Variable Costs &amp; Income'!D$1:D$62,0)),"")</f>
        <v>D37</v>
      </c>
      <c r="C1662" s="52" t="str">
        <f>IFERROR(_xlfn.CONCAT("E",MATCH(A1662,'Variable Costs &amp; Income'!D$1:D$62,0)),"")</f>
        <v>E37</v>
      </c>
      <c r="D1662" s="817" t="s">
        <v>1350</v>
      </c>
      <c r="E1662" s="52" t="s">
        <v>210</v>
      </c>
      <c r="F1662" s="1327" t="s">
        <v>1969</v>
      </c>
      <c r="G1662" s="1326" t="s">
        <v>1964</v>
      </c>
      <c r="H1662" s="1130" t="s">
        <v>1928</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7" t="s">
        <v>1350</v>
      </c>
      <c r="E1663" s="52" t="s">
        <v>210</v>
      </c>
      <c r="F1663" s="1327" t="s">
        <v>1968</v>
      </c>
      <c r="G1663" s="1326" t="s">
        <v>1965</v>
      </c>
      <c r="H1663" s="1130" t="s">
        <v>1928</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7" t="s">
        <v>1350</v>
      </c>
      <c r="E1664" s="52" t="s">
        <v>210</v>
      </c>
      <c r="F1664" s="1327" t="s">
        <v>1967</v>
      </c>
      <c r="G1664" s="1324" t="s">
        <v>1966</v>
      </c>
      <c r="H1664" s="1130" t="s">
        <v>1928</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1" t="s">
        <v>1983</v>
      </c>
      <c r="G1665" s="1326" t="s">
        <v>1355</v>
      </c>
      <c r="H1665" s="1130" t="s">
        <v>1928</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51" t="str">
        <f>IF(S1666&lt;&gt;"","G","")</f>
        <v/>
      </c>
      <c r="H1666" s="1351" t="s">
        <v>1985</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51" t="str">
        <f>IF(S1667&lt;&gt;"","E","")</f>
        <v/>
      </c>
      <c r="H1667" s="1351" t="s">
        <v>1985</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51" t="str">
        <f>IF(S1668&lt;&gt;"","G","")</f>
        <v/>
      </c>
      <c r="H1668" s="1351" t="s">
        <v>1985</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51" t="str">
        <f>IF(S1669&lt;&gt;"","E","")</f>
        <v/>
      </c>
      <c r="H1669" s="1351" t="s">
        <v>1985</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51" t="str">
        <f>IF(S1670&lt;&gt;"","G","")</f>
        <v/>
      </c>
      <c r="H1670" s="1351" t="s">
        <v>1985</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51" t="str">
        <f>IF(S1671&lt;&gt;"","E","")</f>
        <v/>
      </c>
      <c r="H1671" s="1351" t="s">
        <v>1985</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51" t="str">
        <f>IF(S1672&lt;&gt;"","G","")</f>
        <v/>
      </c>
      <c r="H1672" s="1351" t="s">
        <v>1985</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51" t="str">
        <f>IF(S1673&lt;&gt;"","E","")</f>
        <v/>
      </c>
      <c r="H1673" s="1351" t="s">
        <v>1985</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51" t="str">
        <f>IF(S1674&lt;&gt;"","G","")</f>
        <v/>
      </c>
      <c r="H1674" s="1351" t="s">
        <v>1985</v>
      </c>
      <c r="I1674" s="1307"/>
      <c r="J1674" s="1351"/>
      <c r="K1674" s="1351"/>
      <c r="L1674" s="1351"/>
      <c r="M1674" s="1366"/>
      <c r="N1674" s="1351"/>
      <c r="O1674" s="1348"/>
      <c r="P1674" s="1348"/>
      <c r="Q1674" s="1348"/>
      <c r="R1674" s="1351" t="s">
        <v>1526</v>
      </c>
      <c r="S1674" s="1351" t="str">
        <f>IF(Q$670="Yes",5,"")</f>
        <v/>
      </c>
      <c r="T1674" s="1348"/>
      <c r="U1674" s="1348"/>
      <c r="V1674" s="1348"/>
      <c r="W1674" s="1348"/>
      <c r="X1674" s="1348"/>
      <c r="Y1674" s="1348"/>
      <c r="Z1674" s="134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51" t="str">
        <f>IF(S1675&lt;&gt;"","E","")</f>
        <v/>
      </c>
      <c r="H1675" s="1351" t="s">
        <v>1985</v>
      </c>
      <c r="I1675" s="1307"/>
      <c r="J1675" s="1351"/>
      <c r="K1675" s="1351"/>
      <c r="L1675" s="1351"/>
      <c r="M1675" s="1366"/>
      <c r="N1675" s="1351"/>
      <c r="O1675" s="1348"/>
      <c r="P1675" s="1348"/>
      <c r="Q1675" s="1348"/>
      <c r="R1675" s="1351" t="s">
        <v>1526</v>
      </c>
      <c r="S1675" s="1351" t="str">
        <f>IF(Q$670="Yes",5,"")</f>
        <v/>
      </c>
      <c r="T1675" s="1348"/>
      <c r="U1675" s="1348"/>
      <c r="V1675" s="1348"/>
      <c r="W1675" s="1348"/>
      <c r="X1675" s="1348"/>
      <c r="Y1675" s="1348"/>
      <c r="Z1675" s="134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51" t="str">
        <f>IF(S1676&lt;&gt;"","G","")</f>
        <v/>
      </c>
      <c r="H1676" s="1351" t="s">
        <v>1985</v>
      </c>
      <c r="I1676" s="1307"/>
      <c r="J1676" s="1351"/>
      <c r="K1676" s="1351"/>
      <c r="L1676" s="1351"/>
      <c r="M1676" s="1366"/>
      <c r="N1676" s="1351"/>
      <c r="O1676" s="1348"/>
      <c r="P1676" s="1348"/>
      <c r="Q1676" s="1348"/>
      <c r="R1676" s="1351" t="s">
        <v>1526</v>
      </c>
      <c r="S1676" s="1351" t="str">
        <f>IF(Q$688="Yes",6,"")</f>
        <v/>
      </c>
      <c r="T1676" s="1348"/>
      <c r="U1676" s="1348"/>
      <c r="V1676" s="1348"/>
      <c r="W1676" s="1348"/>
      <c r="X1676" s="1348"/>
      <c r="Y1676" s="1348"/>
      <c r="Z1676" s="134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51" t="str">
        <f>IF(S1677&lt;&gt;"","E","")</f>
        <v/>
      </c>
      <c r="H1677" s="1351" t="s">
        <v>1985</v>
      </c>
      <c r="I1677" s="1307"/>
      <c r="J1677" s="1351"/>
      <c r="K1677" s="1351"/>
      <c r="L1677" s="1351"/>
      <c r="M1677" s="1366"/>
      <c r="N1677" s="1351"/>
      <c r="O1677" s="1348"/>
      <c r="P1677" s="1348"/>
      <c r="Q1677" s="1348"/>
      <c r="R1677" s="1351" t="s">
        <v>1526</v>
      </c>
      <c r="S1677" s="1351" t="str">
        <f>IF(Q$688="Yes",6,"")</f>
        <v/>
      </c>
      <c r="T1677" s="1348"/>
      <c r="U1677" s="1348"/>
      <c r="V1677" s="1348"/>
      <c r="W1677" s="1348"/>
      <c r="X1677" s="1348"/>
      <c r="Y1677" s="1348"/>
      <c r="Z1677" s="134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51" t="str">
        <f>IF(S1678&lt;&gt;"","G","")</f>
        <v/>
      </c>
      <c r="H1678" s="1351" t="s">
        <v>1985</v>
      </c>
      <c r="I1678" s="1307"/>
      <c r="J1678" s="1351"/>
      <c r="K1678" s="1351"/>
      <c r="L1678" s="1351"/>
      <c r="M1678" s="1366"/>
      <c r="N1678" s="1351"/>
      <c r="O1678" s="1348"/>
      <c r="P1678" s="1348"/>
      <c r="Q1678" s="1348"/>
      <c r="R1678" s="1351" t="s">
        <v>1526</v>
      </c>
      <c r="S1678" s="1351" t="str">
        <f>IF(Q$706="Yes",7,"")</f>
        <v/>
      </c>
      <c r="T1678" s="1348"/>
      <c r="U1678" s="1348"/>
      <c r="V1678" s="1348"/>
      <c r="W1678" s="1348"/>
      <c r="X1678" s="1348"/>
      <c r="Y1678" s="1348"/>
      <c r="Z1678" s="134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51" t="str">
        <f>IF(S1679&lt;&gt;"","E","")</f>
        <v/>
      </c>
      <c r="H1679" s="1351" t="s">
        <v>1985</v>
      </c>
      <c r="I1679" s="1307"/>
      <c r="J1679" s="1351"/>
      <c r="K1679" s="1351"/>
      <c r="L1679" s="1351"/>
      <c r="M1679" s="1366"/>
      <c r="N1679" s="1351"/>
      <c r="O1679" s="1348"/>
      <c r="P1679" s="1348"/>
      <c r="Q1679" s="1348"/>
      <c r="R1679" s="1351" t="s">
        <v>1526</v>
      </c>
      <c r="S1679" s="1351" t="str">
        <f>IF(Q$706="Yes",7,"")</f>
        <v/>
      </c>
      <c r="T1679" s="1348"/>
      <c r="U1679" s="1348"/>
      <c r="V1679" s="1348"/>
      <c r="W1679" s="1348"/>
      <c r="X1679" s="1348"/>
      <c r="Y1679" s="1348"/>
      <c r="Z1679" s="134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51" t="str">
        <f>IF(S1680&lt;&gt;"","G","")</f>
        <v/>
      </c>
      <c r="H1680" s="1351" t="s">
        <v>1985</v>
      </c>
      <c r="I1680" s="1307"/>
      <c r="J1680" s="1351"/>
      <c r="K1680" s="1351"/>
      <c r="L1680" s="1351"/>
      <c r="M1680" s="1366"/>
      <c r="N1680" s="1351"/>
      <c r="O1680" s="1348"/>
      <c r="P1680" s="1348"/>
      <c r="Q1680" s="1348"/>
      <c r="R1680" s="1351" t="s">
        <v>1526</v>
      </c>
      <c r="S1680" s="1351" t="str">
        <f>IF(Q$736="Yes",8,"")</f>
        <v/>
      </c>
      <c r="T1680" s="1348"/>
      <c r="U1680" s="1348"/>
      <c r="V1680" s="1348"/>
      <c r="W1680" s="1348"/>
      <c r="X1680" s="1348"/>
      <c r="Y1680" s="1348"/>
      <c r="Z1680" s="134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51" t="str">
        <f>IF(S1681&lt;&gt;"","E","")</f>
        <v/>
      </c>
      <c r="H1681" s="1351" t="s">
        <v>1985</v>
      </c>
      <c r="I1681" s="1307"/>
      <c r="J1681" s="1351"/>
      <c r="K1681" s="1351"/>
      <c r="L1681" s="1351"/>
      <c r="M1681" s="1366"/>
      <c r="N1681" s="1351"/>
      <c r="O1681" s="1348"/>
      <c r="P1681" s="1348"/>
      <c r="Q1681" s="1348"/>
      <c r="R1681" s="1351" t="s">
        <v>1526</v>
      </c>
      <c r="S1681" s="1351" t="str">
        <f>IF(Q$736="Yes",8,"")</f>
        <v/>
      </c>
      <c r="T1681" s="1348"/>
      <c r="U1681" s="1348"/>
      <c r="V1681" s="1348"/>
      <c r="W1681" s="1348"/>
      <c r="X1681" s="1348"/>
      <c r="Y1681" s="1348"/>
      <c r="Z1681" s="134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51" t="str">
        <f>IF(S1682&lt;&gt;"","G","")</f>
        <v/>
      </c>
      <c r="H1682" s="1351" t="s">
        <v>1985</v>
      </c>
      <c r="I1682" s="1307"/>
      <c r="J1682" s="1351"/>
      <c r="K1682" s="1351"/>
      <c r="L1682" s="1351"/>
      <c r="M1682" s="1366"/>
      <c r="N1682" s="1351"/>
      <c r="O1682" s="1348"/>
      <c r="P1682" s="1348"/>
      <c r="Q1682" s="1348"/>
      <c r="R1682" s="1351" t="s">
        <v>1532</v>
      </c>
      <c r="S1682" s="1351" t="str">
        <f>IF(Q$796="Yes",9,"")</f>
        <v/>
      </c>
      <c r="T1682" s="1348"/>
      <c r="U1682" s="1348"/>
      <c r="V1682" s="1348"/>
      <c r="W1682" s="1348"/>
      <c r="X1682" s="1348"/>
      <c r="Y1682" s="1348"/>
      <c r="Z1682" s="134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51" t="str">
        <f>IF(S1683&lt;&gt;"","E","")</f>
        <v/>
      </c>
      <c r="H1683" s="1351" t="s">
        <v>1985</v>
      </c>
      <c r="I1683" s="1307"/>
      <c r="J1683" s="1351"/>
      <c r="K1683" s="1351"/>
      <c r="L1683" s="1351"/>
      <c r="M1683" s="1366"/>
      <c r="N1683" s="1351"/>
      <c r="O1683" s="1348"/>
      <c r="P1683" s="1348"/>
      <c r="Q1683" s="1348"/>
      <c r="R1683" s="1351" t="s">
        <v>1532</v>
      </c>
      <c r="S1683" s="1351" t="str">
        <f>IF(Q$796="Yes",9,"")</f>
        <v/>
      </c>
      <c r="T1683" s="1348"/>
      <c r="U1683" s="1348"/>
      <c r="V1683" s="1348"/>
      <c r="W1683" s="1348"/>
      <c r="X1683" s="1348"/>
      <c r="Y1683" s="1348"/>
      <c r="Z1683" s="134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51" t="str">
        <f>IF(S1684&lt;&gt;"","G","")</f>
        <v/>
      </c>
      <c r="H1684" s="1351" t="s">
        <v>1985</v>
      </c>
      <c r="I1684" s="1307"/>
      <c r="J1684" s="1351"/>
      <c r="K1684" s="1351"/>
      <c r="L1684" s="1351"/>
      <c r="M1684" s="1366"/>
      <c r="N1684" s="1351"/>
      <c r="O1684" s="1348"/>
      <c r="P1684" s="1348"/>
      <c r="Q1684" s="1348"/>
      <c r="R1684" s="1351" t="s">
        <v>1532</v>
      </c>
      <c r="S1684" s="1351" t="str">
        <f>IF(Q$814="Yes",10,"")</f>
        <v/>
      </c>
      <c r="T1684" s="1348"/>
      <c r="U1684" s="1348"/>
      <c r="V1684" s="1348"/>
      <c r="W1684" s="1348"/>
      <c r="X1684" s="1348"/>
      <c r="Y1684" s="1348"/>
      <c r="Z1684" s="134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51" t="str">
        <f>IF(S1685&lt;&gt;"","E","")</f>
        <v/>
      </c>
      <c r="H1685" s="1351" t="s">
        <v>1985</v>
      </c>
      <c r="I1685" s="1307"/>
      <c r="J1685" s="1351"/>
      <c r="K1685" s="1351"/>
      <c r="L1685" s="1351"/>
      <c r="M1685" s="1366"/>
      <c r="N1685" s="1351"/>
      <c r="O1685" s="1348"/>
      <c r="P1685" s="1348"/>
      <c r="Q1685" s="1348"/>
      <c r="R1685" s="1351" t="s">
        <v>1532</v>
      </c>
      <c r="S1685" s="1351" t="str">
        <f>IF(Q$814="Yes",10,"")</f>
        <v/>
      </c>
      <c r="T1685" s="1348"/>
      <c r="U1685" s="1348"/>
      <c r="V1685" s="1348"/>
      <c r="W1685" s="1348"/>
      <c r="X1685" s="1348"/>
      <c r="Y1685" s="1348"/>
      <c r="Z1685" s="134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51" t="str">
        <f>IF(S1686&lt;&gt;"","G","")</f>
        <v/>
      </c>
      <c r="H1686" s="1351" t="s">
        <v>1985</v>
      </c>
      <c r="I1686" s="1307"/>
      <c r="J1686" s="1351"/>
      <c r="K1686" s="1351"/>
      <c r="L1686" s="1351"/>
      <c r="M1686" s="1366"/>
      <c r="N1686" s="1351"/>
      <c r="O1686" s="1348"/>
      <c r="P1686" s="1348"/>
      <c r="Q1686" s="1348"/>
      <c r="R1686" s="1351" t="s">
        <v>1532</v>
      </c>
      <c r="S1686" s="1351" t="str">
        <f>IF(Q$832="Yes",11,"")</f>
        <v/>
      </c>
      <c r="T1686" s="1348"/>
      <c r="U1686" s="1348"/>
      <c r="V1686" s="1348"/>
      <c r="W1686" s="1348"/>
      <c r="X1686" s="1348"/>
      <c r="Y1686" s="1348"/>
      <c r="Z1686" s="134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51" t="str">
        <f>IF(S1687&lt;&gt;"","E","")</f>
        <v/>
      </c>
      <c r="H1687" s="1351" t="s">
        <v>1985</v>
      </c>
      <c r="I1687" s="1307"/>
      <c r="J1687" s="1351"/>
      <c r="K1687" s="1351"/>
      <c r="L1687" s="1351"/>
      <c r="M1687" s="1366"/>
      <c r="N1687" s="1351"/>
      <c r="O1687" s="1348"/>
      <c r="P1687" s="1348"/>
      <c r="Q1687" s="1348"/>
      <c r="R1687" s="1351" t="s">
        <v>1532</v>
      </c>
      <c r="S1687" s="1351" t="str">
        <f>IF(Q$832="Yes",11,"")</f>
        <v/>
      </c>
      <c r="T1687" s="1348"/>
      <c r="U1687" s="1348"/>
      <c r="V1687" s="1348"/>
      <c r="W1687" s="1348"/>
      <c r="X1687" s="1348"/>
      <c r="Y1687" s="1348"/>
      <c r="Z1687" s="134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51" t="str">
        <f>IF(S1688&lt;&gt;"","G","")</f>
        <v/>
      </c>
      <c r="H1688" s="1351" t="s">
        <v>1985</v>
      </c>
      <c r="I1688" s="1307"/>
      <c r="J1688" s="1351"/>
      <c r="K1688" s="1351"/>
      <c r="L1688" s="1351"/>
      <c r="M1688" s="1366"/>
      <c r="N1688" s="1351"/>
      <c r="O1688" s="1348"/>
      <c r="P1688" s="1348"/>
      <c r="Q1688" s="1348"/>
      <c r="R1688" s="1351" t="s">
        <v>1532</v>
      </c>
      <c r="S1688" s="1351" t="str">
        <f>IF(Q$862="Yes",12,"")</f>
        <v/>
      </c>
      <c r="T1688" s="1348"/>
      <c r="U1688" s="1348"/>
      <c r="V1688" s="1348"/>
      <c r="W1688" s="1348"/>
      <c r="X1688" s="1348"/>
      <c r="Y1688" s="1348"/>
      <c r="Z1688" s="134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51" t="str">
        <f>IF(S1689&lt;&gt;"","E","")</f>
        <v/>
      </c>
      <c r="H1689" s="1351" t="s">
        <v>1985</v>
      </c>
      <c r="I1689" s="1307"/>
      <c r="J1689" s="1351"/>
      <c r="K1689" s="1351"/>
      <c r="L1689" s="1351"/>
      <c r="M1689" s="1366"/>
      <c r="N1689" s="1351"/>
      <c r="O1689" s="1348"/>
      <c r="P1689" s="1348"/>
      <c r="Q1689" s="1348"/>
      <c r="R1689" s="1351" t="s">
        <v>1532</v>
      </c>
      <c r="S1689" s="1351" t="str">
        <f>IF(Q$862="Yes",12,"")</f>
        <v/>
      </c>
      <c r="T1689" s="1348"/>
      <c r="U1689" s="1348"/>
      <c r="V1689" s="1348"/>
      <c r="W1689" s="1348"/>
      <c r="X1689" s="1348"/>
      <c r="Y1689" s="1348"/>
      <c r="Z1689" s="134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51" t="str">
        <f>IF(S1690&lt;&gt;"","G","")</f>
        <v/>
      </c>
      <c r="H1690" s="1351" t="s">
        <v>1985</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51" t="str">
        <f>IF(S1691&lt;&gt;"","E","")</f>
        <v/>
      </c>
      <c r="H1691" s="1351" t="s">
        <v>1985</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51" t="str">
        <f>IF(S1692&lt;&gt;"","G","")</f>
        <v/>
      </c>
      <c r="H1692" s="1351" t="s">
        <v>1985</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51" t="str">
        <f>IF(S1693&lt;&gt;"","E","")</f>
        <v/>
      </c>
      <c r="H1693" s="1351" t="s">
        <v>1985</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51" t="str">
        <f>IF(S1694&lt;&gt;"","G","")</f>
        <v/>
      </c>
      <c r="H1694" s="1351" t="s">
        <v>1985</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51" t="str">
        <f>IF(S1695&lt;&gt;"","E","")</f>
        <v/>
      </c>
      <c r="H1695" s="1351" t="s">
        <v>1985</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51" t="str">
        <f>IF(S1696&lt;&gt;"","G","")</f>
        <v/>
      </c>
      <c r="H1696" s="1351" t="s">
        <v>1985</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51" t="str">
        <f>IF(S1697&lt;&gt;"","E","")</f>
        <v/>
      </c>
      <c r="H1697" s="1351" t="s">
        <v>1985</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51" t="str">
        <f>IF(S1698&lt;&gt;"","G","")</f>
        <v/>
      </c>
      <c r="H1698" s="1351" t="s">
        <v>1985</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51" t="str">
        <f>IF(S1699&lt;&gt;"","E","")</f>
        <v/>
      </c>
      <c r="H1699" s="1351" t="s">
        <v>1985</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51" t="str">
        <f>IF(S1700&lt;&gt;"","G","")</f>
        <v/>
      </c>
      <c r="H1700" s="1351" t="s">
        <v>1985</v>
      </c>
      <c r="I1700" s="1307"/>
      <c r="J1700" s="1351"/>
      <c r="K1700" s="1351"/>
      <c r="L1700" s="1351"/>
      <c r="M1700" s="1366"/>
      <c r="N1700" s="1351"/>
      <c r="O1700" s="1348"/>
      <c r="P1700" s="1348"/>
      <c r="Q1700" s="1348"/>
      <c r="R1700" s="1351" t="s">
        <v>1697</v>
      </c>
      <c r="S1700" s="1351" t="str">
        <f>IF(Q$987="Yes",18,"")</f>
        <v/>
      </c>
      <c r="T1700" s="1348"/>
      <c r="U1700" s="1348"/>
      <c r="V1700" s="1348"/>
      <c r="W1700" s="1348"/>
      <c r="X1700" s="1348"/>
      <c r="Y1700" s="1348"/>
      <c r="Z1700" s="134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51" t="str">
        <f>IF(S1701&lt;&gt;"","E","")</f>
        <v/>
      </c>
      <c r="H1701" s="1351" t="s">
        <v>1985</v>
      </c>
      <c r="I1701" s="1307"/>
      <c r="J1701" s="1351"/>
      <c r="K1701" s="1351"/>
      <c r="L1701" s="1351"/>
      <c r="M1701" s="1366"/>
      <c r="N1701" s="1351"/>
      <c r="O1701" s="1348"/>
      <c r="P1701" s="1348"/>
      <c r="Q1701" s="1348"/>
      <c r="R1701" s="1351" t="s">
        <v>1697</v>
      </c>
      <c r="S1701" s="1351" t="str">
        <f>IF(Q$987="Yes",18,"")</f>
        <v/>
      </c>
      <c r="T1701" s="1348"/>
      <c r="U1701" s="1348"/>
      <c r="V1701" s="1348"/>
      <c r="W1701" s="1348"/>
      <c r="X1701" s="1348"/>
      <c r="Y1701" s="1348"/>
      <c r="Z1701" s="134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51" t="str">
        <f>IF(S1702&lt;&gt;"","A","")</f>
        <v/>
      </c>
      <c r="H1702" s="1351" t="s">
        <v>1985</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51" t="str">
        <f>IF(S1703&lt;&gt;"","B","")</f>
        <v/>
      </c>
      <c r="H1703" s="1351" t="s">
        <v>1985</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51" t="str">
        <f>IF(S1704&lt;&gt;"","C","")</f>
        <v/>
      </c>
      <c r="H1704" s="1351" t="s">
        <v>1985</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51" t="str">
        <f>IF(S1705&lt;&gt;"","D","")</f>
        <v/>
      </c>
      <c r="H1705" s="1351" t="s">
        <v>1985</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0" t="s">
        <v>1988</v>
      </c>
      <c r="G1706" s="1351" t="str">
        <f>IF(S1706&lt;&gt;"","F","")</f>
        <v/>
      </c>
      <c r="H1706" s="1351" t="s">
        <v>1985</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51" t="str">
        <f>IF(S1707&lt;&gt;"","A","")</f>
        <v/>
      </c>
      <c r="H1707" s="1351" t="s">
        <v>1985</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51" t="str">
        <f>IF(S1708&lt;&gt;"","B","")</f>
        <v/>
      </c>
      <c r="H1708" s="1351" t="s">
        <v>1985</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51" t="str">
        <f>IF(S1709&lt;&gt;"","C","")</f>
        <v/>
      </c>
      <c r="H1709" s="1351" t="s">
        <v>1985</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51" t="str">
        <f>IF(S1710&lt;&gt;"","D","")</f>
        <v/>
      </c>
      <c r="H1710" s="1351" t="s">
        <v>1985</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0" t="s">
        <v>1988</v>
      </c>
      <c r="G1711" s="1351" t="str">
        <f>IF(S1711&lt;&gt;"","F","")</f>
        <v/>
      </c>
      <c r="H1711" s="1351" t="s">
        <v>1985</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51" t="str">
        <f>IF(S1712&lt;&gt;"","A","")</f>
        <v/>
      </c>
      <c r="H1712" s="1351" t="s">
        <v>1985</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51" t="str">
        <f>IF(S1713&lt;&gt;"","B","")</f>
        <v/>
      </c>
      <c r="H1713" s="1351" t="s">
        <v>1985</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51" t="str">
        <f>IF(S1714&lt;&gt;"","C","")</f>
        <v/>
      </c>
      <c r="H1714" s="1351" t="s">
        <v>1985</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51" t="str">
        <f>IF(S1715&lt;&gt;"","D","")</f>
        <v/>
      </c>
      <c r="H1715" s="1351" t="s">
        <v>1985</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0" t="s">
        <v>1988</v>
      </c>
      <c r="G1716" s="1351" t="str">
        <f>IF(S1716&lt;&gt;"","F","")</f>
        <v/>
      </c>
      <c r="H1716" s="1351" t="s">
        <v>1985</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51" t="str">
        <f>IF(S1717&lt;&gt;"","A","")</f>
        <v/>
      </c>
      <c r="H1717" s="1351" t="s">
        <v>1985</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51" t="str">
        <f>IF(S1718&lt;&gt;"","B","")</f>
        <v/>
      </c>
      <c r="H1718" s="1351" t="s">
        <v>1985</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51" t="str">
        <f>IF(S1719&lt;&gt;"","C","")</f>
        <v/>
      </c>
      <c r="H1719" s="1351" t="s">
        <v>1985</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51" t="str">
        <f>IF(S1720&lt;&gt;"","D","")</f>
        <v/>
      </c>
      <c r="H1720" s="1351" t="s">
        <v>1985</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0" t="s">
        <v>1988</v>
      </c>
      <c r="G1721" s="1351" t="str">
        <f>IF(S1721&lt;&gt;"","F","")</f>
        <v/>
      </c>
      <c r="H1721" s="1351" t="s">
        <v>1985</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51" t="str">
        <f>IF(S1722&lt;&gt;"","A","")</f>
        <v/>
      </c>
      <c r="H1722" s="1351" t="s">
        <v>1985</v>
      </c>
      <c r="I1722" s="241"/>
      <c r="J1722" s="1348"/>
      <c r="K1722" s="1348"/>
      <c r="L1722" s="1348"/>
      <c r="N1722" s="1348"/>
      <c r="O1722" s="1348"/>
      <c r="P1722" s="1348"/>
      <c r="Q1722" s="1348"/>
      <c r="R1722" s="1351" t="s">
        <v>1526</v>
      </c>
      <c r="S1722" s="1351" t="str">
        <f>IF(Q$670="Yes",5,"")</f>
        <v/>
      </c>
      <c r="T1722" s="1348"/>
      <c r="U1722" s="1348"/>
      <c r="V1722" s="1348"/>
      <c r="W1722" s="1348"/>
      <c r="X1722" s="1348"/>
      <c r="Y1722" s="1348"/>
      <c r="Z1722" s="134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51" t="str">
        <f>IF(S1723&lt;&gt;"","B","")</f>
        <v/>
      </c>
      <c r="H1723" s="1351" t="s">
        <v>1985</v>
      </c>
      <c r="I1723" s="241"/>
      <c r="J1723" s="1348"/>
      <c r="K1723" s="1348"/>
      <c r="L1723" s="1348"/>
      <c r="N1723" s="1348"/>
      <c r="O1723" s="1348"/>
      <c r="P1723" s="1348"/>
      <c r="Q1723" s="1348"/>
      <c r="R1723" s="1351" t="s">
        <v>1526</v>
      </c>
      <c r="S1723" s="1351" t="str">
        <f>IF(Q$670="Yes",5,"")</f>
        <v/>
      </c>
      <c r="T1723" s="1348"/>
      <c r="U1723" s="1348"/>
      <c r="V1723" s="1348"/>
      <c r="W1723" s="1348"/>
      <c r="X1723" s="1348"/>
      <c r="Y1723" s="1348"/>
      <c r="Z1723" s="134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51" t="str">
        <f>IF(S1724&lt;&gt;"","C","")</f>
        <v/>
      </c>
      <c r="H1724" s="1351" t="s">
        <v>1985</v>
      </c>
      <c r="I1724" s="241"/>
      <c r="J1724" s="1348"/>
      <c r="K1724" s="1348"/>
      <c r="L1724" s="1348"/>
      <c r="N1724" s="1348"/>
      <c r="O1724" s="1348"/>
      <c r="P1724" s="1348"/>
      <c r="Q1724" s="1348"/>
      <c r="R1724" s="1351" t="s">
        <v>1526</v>
      </c>
      <c r="S1724" s="1351" t="str">
        <f>IF(Q$670="Yes",5,"")</f>
        <v/>
      </c>
      <c r="T1724" s="1348"/>
      <c r="U1724" s="1348"/>
      <c r="V1724" s="1348"/>
      <c r="W1724" s="1348"/>
      <c r="X1724" s="1348"/>
      <c r="Y1724" s="1348"/>
      <c r="Z1724" s="134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51" t="str">
        <f>IF(S1725&lt;&gt;"","D","")</f>
        <v/>
      </c>
      <c r="H1725" s="1351" t="s">
        <v>1985</v>
      </c>
      <c r="I1725" s="241"/>
      <c r="J1725" s="1348"/>
      <c r="K1725" s="1348"/>
      <c r="L1725" s="1348"/>
      <c r="N1725" s="1348"/>
      <c r="O1725" s="1348"/>
      <c r="P1725" s="1348"/>
      <c r="Q1725" s="1348"/>
      <c r="R1725" s="1351" t="s">
        <v>1526</v>
      </c>
      <c r="S1725" s="1351" t="str">
        <f>IF(Q$670="Yes",5,"")</f>
        <v/>
      </c>
      <c r="T1725" s="1348"/>
      <c r="U1725" s="1348"/>
      <c r="V1725" s="1348"/>
      <c r="W1725" s="1348"/>
      <c r="X1725" s="1348"/>
      <c r="Y1725" s="1348"/>
      <c r="Z1725" s="134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0" t="s">
        <v>1988</v>
      </c>
      <c r="G1726" s="1351" t="str">
        <f>IF(S1726&lt;&gt;"","F","")</f>
        <v/>
      </c>
      <c r="H1726" s="1351" t="s">
        <v>1985</v>
      </c>
      <c r="I1726" s="241"/>
      <c r="J1726" s="1348"/>
      <c r="K1726" s="1348"/>
      <c r="L1726" s="1348"/>
      <c r="N1726" s="1348"/>
      <c r="O1726" s="1348"/>
      <c r="P1726" s="1348"/>
      <c r="Q1726" s="1348"/>
      <c r="R1726" s="1351" t="s">
        <v>1526</v>
      </c>
      <c r="S1726" s="1351" t="str">
        <f>IF(Q$670="Yes",5,"")</f>
        <v/>
      </c>
      <c r="T1726" s="1348"/>
      <c r="U1726" s="1348"/>
      <c r="V1726" s="1348"/>
      <c r="W1726" s="1348"/>
      <c r="X1726" s="1348"/>
      <c r="Y1726" s="1348"/>
      <c r="Z1726" s="134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51" t="str">
        <f>IF(S1727&lt;&gt;"","A","")</f>
        <v/>
      </c>
      <c r="H1727" s="1351" t="s">
        <v>1985</v>
      </c>
      <c r="I1727" s="241"/>
      <c r="J1727" s="1348"/>
      <c r="K1727" s="1348"/>
      <c r="L1727" s="1348"/>
      <c r="N1727" s="1348"/>
      <c r="O1727" s="1348"/>
      <c r="P1727" s="1348"/>
      <c r="Q1727" s="1348"/>
      <c r="R1727" s="1351" t="s">
        <v>1526</v>
      </c>
      <c r="S1727" s="1351" t="str">
        <f>IF(Q$688="Yes",6,"")</f>
        <v/>
      </c>
      <c r="T1727" s="1348"/>
      <c r="U1727" s="1348"/>
      <c r="V1727" s="1348"/>
      <c r="W1727" s="1348"/>
      <c r="X1727" s="1348"/>
      <c r="Y1727" s="1348"/>
      <c r="Z1727" s="134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51" t="str">
        <f>IF(S1728&lt;&gt;"","B","")</f>
        <v/>
      </c>
      <c r="H1728" s="1351" t="s">
        <v>1985</v>
      </c>
      <c r="I1728" s="241"/>
      <c r="J1728" s="1348"/>
      <c r="K1728" s="1348"/>
      <c r="L1728" s="1348"/>
      <c r="N1728" s="1348"/>
      <c r="O1728" s="1348"/>
      <c r="P1728" s="1348"/>
      <c r="Q1728" s="1348"/>
      <c r="R1728" s="1351" t="s">
        <v>1526</v>
      </c>
      <c r="S1728" s="1351" t="str">
        <f>IF(Q$688="Yes",6,"")</f>
        <v/>
      </c>
      <c r="T1728" s="1348"/>
      <c r="U1728" s="1348"/>
      <c r="V1728" s="1348"/>
      <c r="W1728" s="1348"/>
      <c r="X1728" s="1348"/>
      <c r="Y1728" s="1348"/>
      <c r="Z1728" s="134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51" t="str">
        <f>IF(S1729&lt;&gt;"","C","")</f>
        <v/>
      </c>
      <c r="H1729" s="1351" t="s">
        <v>1985</v>
      </c>
      <c r="I1729" s="241"/>
      <c r="J1729" s="1348"/>
      <c r="K1729" s="1348"/>
      <c r="L1729" s="1348"/>
      <c r="N1729" s="1348"/>
      <c r="O1729" s="1348"/>
      <c r="P1729" s="1348"/>
      <c r="Q1729" s="1348"/>
      <c r="R1729" s="1351" t="s">
        <v>1526</v>
      </c>
      <c r="S1729" s="1351" t="str">
        <f>IF(Q$688="Yes",6,"")</f>
        <v/>
      </c>
      <c r="T1729" s="1348"/>
      <c r="U1729" s="1348"/>
      <c r="V1729" s="1348"/>
      <c r="W1729" s="1348"/>
      <c r="X1729" s="1348"/>
      <c r="Y1729" s="1348"/>
      <c r="Z1729" s="134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51" t="str">
        <f>IF(S1730&lt;&gt;"","D","")</f>
        <v/>
      </c>
      <c r="H1730" s="1351" t="s">
        <v>1985</v>
      </c>
      <c r="I1730" s="241"/>
      <c r="J1730" s="1348"/>
      <c r="K1730" s="1348"/>
      <c r="L1730" s="1348"/>
      <c r="N1730" s="1348"/>
      <c r="O1730" s="1348"/>
      <c r="P1730" s="1348"/>
      <c r="Q1730" s="1348"/>
      <c r="R1730" s="1351" t="s">
        <v>1526</v>
      </c>
      <c r="S1730" s="1351" t="str">
        <f>IF(Q$688="Yes",6,"")</f>
        <v/>
      </c>
      <c r="T1730" s="1348"/>
      <c r="U1730" s="1348"/>
      <c r="V1730" s="1348"/>
      <c r="W1730" s="1348"/>
      <c r="X1730" s="1348"/>
      <c r="Y1730" s="1348"/>
      <c r="Z1730" s="134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0" t="s">
        <v>1988</v>
      </c>
      <c r="G1731" s="1351" t="str">
        <f>IF(S1731&lt;&gt;"","F","")</f>
        <v/>
      </c>
      <c r="H1731" s="1351" t="s">
        <v>1985</v>
      </c>
      <c r="I1731" s="241"/>
      <c r="J1731" s="1348"/>
      <c r="K1731" s="1348"/>
      <c r="L1731" s="1348"/>
      <c r="N1731" s="1348"/>
      <c r="O1731" s="1348"/>
      <c r="P1731" s="1348"/>
      <c r="Q1731" s="1348"/>
      <c r="R1731" s="1351" t="s">
        <v>1526</v>
      </c>
      <c r="S1731" s="1351" t="str">
        <f>IF(Q$688="Yes",6,"")</f>
        <v/>
      </c>
      <c r="T1731" s="1348"/>
      <c r="U1731" s="1348"/>
      <c r="V1731" s="1348"/>
      <c r="W1731" s="1348"/>
      <c r="X1731" s="1348"/>
      <c r="Y1731" s="1348"/>
      <c r="Z1731" s="134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51" t="str">
        <f>IF(S1732&lt;&gt;"","A","")</f>
        <v/>
      </c>
      <c r="H1732" s="1351" t="s">
        <v>1985</v>
      </c>
      <c r="I1732" s="241"/>
      <c r="J1732" s="1348"/>
      <c r="K1732" s="1348"/>
      <c r="L1732" s="1348"/>
      <c r="N1732" s="1348"/>
      <c r="O1732" s="1348"/>
      <c r="P1732" s="1348"/>
      <c r="Q1732" s="1348"/>
      <c r="R1732" s="1351" t="s">
        <v>1526</v>
      </c>
      <c r="S1732" s="1351" t="str">
        <f>IF(Q$706="Yes",7,"")</f>
        <v/>
      </c>
      <c r="T1732" s="1348"/>
      <c r="U1732" s="1348"/>
      <c r="V1732" s="1348"/>
      <c r="W1732" s="1348"/>
      <c r="X1732" s="1348"/>
      <c r="Y1732" s="1348"/>
      <c r="Z1732" s="134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51" t="str">
        <f>IF(S1733&lt;&gt;"","B","")</f>
        <v/>
      </c>
      <c r="H1733" s="1351" t="s">
        <v>1985</v>
      </c>
      <c r="I1733" s="241"/>
      <c r="J1733" s="1348"/>
      <c r="K1733" s="1348"/>
      <c r="L1733" s="1348"/>
      <c r="N1733" s="1348"/>
      <c r="O1733" s="1348"/>
      <c r="P1733" s="1348"/>
      <c r="Q1733" s="1348"/>
      <c r="R1733" s="1351" t="s">
        <v>1526</v>
      </c>
      <c r="S1733" s="1351" t="str">
        <f>IF(Q$706="Yes",7,"")</f>
        <v/>
      </c>
      <c r="T1733" s="1348"/>
      <c r="U1733" s="1348"/>
      <c r="V1733" s="1348"/>
      <c r="W1733" s="1348"/>
      <c r="X1733" s="1348"/>
      <c r="Y1733" s="1348"/>
      <c r="Z1733" s="134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51" t="str">
        <f>IF(S1734&lt;&gt;"","C","")</f>
        <v/>
      </c>
      <c r="H1734" s="1351" t="s">
        <v>1985</v>
      </c>
      <c r="I1734" s="241"/>
      <c r="J1734" s="1348"/>
      <c r="K1734" s="1348"/>
      <c r="L1734" s="1348"/>
      <c r="N1734" s="1348"/>
      <c r="O1734" s="1348"/>
      <c r="P1734" s="1348"/>
      <c r="Q1734" s="1348"/>
      <c r="R1734" s="1351" t="s">
        <v>1526</v>
      </c>
      <c r="S1734" s="1351" t="str">
        <f>IF(Q$706="Yes",7,"")</f>
        <v/>
      </c>
      <c r="T1734" s="1348"/>
      <c r="U1734" s="1348"/>
      <c r="V1734" s="1348"/>
      <c r="W1734" s="1348"/>
      <c r="X1734" s="1348"/>
      <c r="Y1734" s="1348"/>
      <c r="Z1734" s="134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51" t="str">
        <f>IF(S1735&lt;&gt;"","D","")</f>
        <v/>
      </c>
      <c r="H1735" s="1351" t="s">
        <v>1985</v>
      </c>
      <c r="I1735" s="241"/>
      <c r="J1735" s="1348"/>
      <c r="K1735" s="1348"/>
      <c r="L1735" s="1348"/>
      <c r="N1735" s="1348"/>
      <c r="O1735" s="1348"/>
      <c r="P1735" s="1348"/>
      <c r="Q1735" s="1348"/>
      <c r="R1735" s="1351" t="s">
        <v>1526</v>
      </c>
      <c r="S1735" s="1351" t="str">
        <f>IF(Q$706="Yes",7,"")</f>
        <v/>
      </c>
      <c r="T1735" s="1348"/>
      <c r="U1735" s="1348"/>
      <c r="V1735" s="1348"/>
      <c r="W1735" s="1348"/>
      <c r="X1735" s="1348"/>
      <c r="Y1735" s="1348"/>
      <c r="Z1735" s="134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0" t="s">
        <v>1988</v>
      </c>
      <c r="G1736" s="1351" t="str">
        <f>IF(S1736&lt;&gt;"","F","")</f>
        <v/>
      </c>
      <c r="H1736" s="1351" t="s">
        <v>1985</v>
      </c>
      <c r="I1736" s="241"/>
      <c r="J1736" s="1348"/>
      <c r="K1736" s="1348"/>
      <c r="L1736" s="1348"/>
      <c r="N1736" s="1348"/>
      <c r="O1736" s="1348"/>
      <c r="P1736" s="1348"/>
      <c r="Q1736" s="1348"/>
      <c r="R1736" s="1351" t="s">
        <v>1526</v>
      </c>
      <c r="S1736" s="1351" t="str">
        <f>IF(Q$706="Yes",7,"")</f>
        <v/>
      </c>
      <c r="T1736" s="1348"/>
      <c r="U1736" s="1348"/>
      <c r="V1736" s="1348"/>
      <c r="W1736" s="1348"/>
      <c r="X1736" s="1348"/>
      <c r="Y1736" s="1348"/>
      <c r="Z1736" s="134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51" t="str">
        <f>IF(S1737&lt;&gt;"","A","")</f>
        <v/>
      </c>
      <c r="H1737" s="1351" t="s">
        <v>1985</v>
      </c>
      <c r="I1737" s="241"/>
      <c r="J1737" s="1348"/>
      <c r="K1737" s="1348"/>
      <c r="L1737" s="1348"/>
      <c r="N1737" s="1348"/>
      <c r="O1737" s="1348"/>
      <c r="P1737" s="1348"/>
      <c r="Q1737" s="1348"/>
      <c r="R1737" s="1351" t="s">
        <v>1526</v>
      </c>
      <c r="S1737" s="1351" t="str">
        <f>IF(Q$736="Yes",8,"")</f>
        <v/>
      </c>
      <c r="T1737" s="1348"/>
      <c r="U1737" s="1348"/>
      <c r="V1737" s="1348"/>
      <c r="W1737" s="1348"/>
      <c r="X1737" s="1348"/>
      <c r="Y1737" s="1348"/>
      <c r="Z1737" s="134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51" t="str">
        <f>IF(S1738&lt;&gt;"","B","")</f>
        <v/>
      </c>
      <c r="H1738" s="1351" t="s">
        <v>1985</v>
      </c>
      <c r="I1738" s="241"/>
      <c r="J1738" s="1348"/>
      <c r="K1738" s="1348"/>
      <c r="L1738" s="1348"/>
      <c r="N1738" s="1348"/>
      <c r="O1738" s="1348"/>
      <c r="P1738" s="1348"/>
      <c r="Q1738" s="1348"/>
      <c r="R1738" s="1351" t="s">
        <v>1526</v>
      </c>
      <c r="S1738" s="1351" t="str">
        <f>IF(Q$736="Yes",8,"")</f>
        <v/>
      </c>
      <c r="T1738" s="1348"/>
      <c r="U1738" s="1348"/>
      <c r="V1738" s="1348"/>
      <c r="W1738" s="1348"/>
      <c r="X1738" s="1348"/>
      <c r="Y1738" s="1348"/>
      <c r="Z1738" s="134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51" t="str">
        <f>IF(S1739&lt;&gt;"","C","")</f>
        <v/>
      </c>
      <c r="H1739" s="1351" t="s">
        <v>1985</v>
      </c>
      <c r="I1739" s="241"/>
      <c r="J1739" s="1348"/>
      <c r="K1739" s="1348"/>
      <c r="L1739" s="1348"/>
      <c r="N1739" s="1348"/>
      <c r="O1739" s="1348"/>
      <c r="P1739" s="1348"/>
      <c r="Q1739" s="1348"/>
      <c r="R1739" s="1351" t="s">
        <v>1526</v>
      </c>
      <c r="S1739" s="1351" t="str">
        <f>IF(Q$736="Yes",8,"")</f>
        <v/>
      </c>
      <c r="T1739" s="1348"/>
      <c r="U1739" s="1348"/>
      <c r="V1739" s="1348"/>
      <c r="W1739" s="1348"/>
      <c r="X1739" s="1348"/>
      <c r="Y1739" s="1348"/>
      <c r="Z1739" s="134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51" t="str">
        <f>IF(S1740&lt;&gt;"","D","")</f>
        <v/>
      </c>
      <c r="H1740" s="1351" t="s">
        <v>1985</v>
      </c>
      <c r="I1740" s="241"/>
      <c r="J1740" s="1348"/>
      <c r="K1740" s="1348"/>
      <c r="L1740" s="1348"/>
      <c r="N1740" s="1348"/>
      <c r="O1740" s="1348"/>
      <c r="P1740" s="1348"/>
      <c r="Q1740" s="1348"/>
      <c r="R1740" s="1351" t="s">
        <v>1526</v>
      </c>
      <c r="S1740" s="1351" t="str">
        <f>IF(Q$736="Yes",8,"")</f>
        <v/>
      </c>
      <c r="T1740" s="1348"/>
      <c r="U1740" s="1348"/>
      <c r="V1740" s="1348"/>
      <c r="W1740" s="1348"/>
      <c r="X1740" s="1348"/>
      <c r="Y1740" s="1348"/>
      <c r="Z1740" s="134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0" t="s">
        <v>1988</v>
      </c>
      <c r="G1741" s="1351" t="str">
        <f>IF(S1741&lt;&gt;"","F","")</f>
        <v/>
      </c>
      <c r="H1741" s="1351" t="s">
        <v>1985</v>
      </c>
      <c r="I1741" s="241"/>
      <c r="J1741" s="1348"/>
      <c r="K1741" s="1348"/>
      <c r="L1741" s="1348"/>
      <c r="N1741" s="1348"/>
      <c r="O1741" s="1348"/>
      <c r="P1741" s="1348"/>
      <c r="Q1741" s="1348"/>
      <c r="R1741" s="1351" t="s">
        <v>1526</v>
      </c>
      <c r="S1741" s="1351" t="str">
        <f>IF(Q$736="Yes",8,"")</f>
        <v/>
      </c>
      <c r="T1741" s="1348"/>
      <c r="U1741" s="1348"/>
      <c r="V1741" s="1348"/>
      <c r="W1741" s="1348"/>
      <c r="X1741" s="1348"/>
      <c r="Y1741" s="1348"/>
      <c r="Z1741" s="134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51" t="str">
        <f>IF(S1742&lt;&gt;"","A","")</f>
        <v/>
      </c>
      <c r="H1742" s="1351" t="s">
        <v>1985</v>
      </c>
      <c r="I1742" s="241"/>
      <c r="J1742" s="1348"/>
      <c r="K1742" s="1348"/>
      <c r="L1742" s="1348"/>
      <c r="N1742" s="1348"/>
      <c r="O1742" s="1348"/>
      <c r="P1742" s="1348"/>
      <c r="Q1742" s="1348"/>
      <c r="R1742" s="1351" t="s">
        <v>1532</v>
      </c>
      <c r="S1742" s="1351" t="str">
        <f>IF(Q$796="Yes",9,"")</f>
        <v/>
      </c>
      <c r="T1742" s="1348"/>
      <c r="U1742" s="1348"/>
      <c r="V1742" s="1348"/>
      <c r="W1742" s="1348"/>
      <c r="X1742" s="1348"/>
      <c r="Y1742" s="1348"/>
      <c r="Z1742" s="134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51" t="str">
        <f>IF(S1743&lt;&gt;"","B","")</f>
        <v/>
      </c>
      <c r="H1743" s="1351" t="s">
        <v>1985</v>
      </c>
      <c r="I1743" s="241"/>
      <c r="J1743" s="1348"/>
      <c r="K1743" s="1348"/>
      <c r="L1743" s="1348"/>
      <c r="N1743" s="1348"/>
      <c r="O1743" s="1348"/>
      <c r="P1743" s="1348"/>
      <c r="Q1743" s="1348"/>
      <c r="R1743" s="1351" t="s">
        <v>1532</v>
      </c>
      <c r="S1743" s="1351" t="str">
        <f>IF(Q$796="Yes",9,"")</f>
        <v/>
      </c>
      <c r="T1743" s="1348"/>
      <c r="U1743" s="1348"/>
      <c r="V1743" s="1348"/>
      <c r="W1743" s="1348"/>
      <c r="X1743" s="1348"/>
      <c r="Y1743" s="1348"/>
      <c r="Z1743" s="134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51" t="str">
        <f>IF(S1744&lt;&gt;"","C","")</f>
        <v/>
      </c>
      <c r="H1744" s="1351" t="s">
        <v>1985</v>
      </c>
      <c r="I1744" s="241"/>
      <c r="J1744" s="1348"/>
      <c r="K1744" s="1348"/>
      <c r="L1744" s="1348"/>
      <c r="N1744" s="1348"/>
      <c r="O1744" s="1348"/>
      <c r="P1744" s="1348"/>
      <c r="Q1744" s="1348"/>
      <c r="R1744" s="1351" t="s">
        <v>1532</v>
      </c>
      <c r="S1744" s="1351" t="str">
        <f>IF(Q$796="Yes",9,"")</f>
        <v/>
      </c>
      <c r="T1744" s="1348"/>
      <c r="U1744" s="1348"/>
      <c r="V1744" s="1348"/>
      <c r="W1744" s="1348"/>
      <c r="X1744" s="1348"/>
      <c r="Y1744" s="1348"/>
      <c r="Z1744" s="134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51" t="str">
        <f>IF(S1745&lt;&gt;"","D","")</f>
        <v/>
      </c>
      <c r="H1745" s="1351" t="s">
        <v>1985</v>
      </c>
      <c r="I1745" s="241"/>
      <c r="J1745" s="1348"/>
      <c r="K1745" s="1348"/>
      <c r="L1745" s="1348"/>
      <c r="N1745" s="1348"/>
      <c r="O1745" s="1348"/>
      <c r="P1745" s="1348"/>
      <c r="Q1745" s="1348"/>
      <c r="R1745" s="1351" t="s">
        <v>1532</v>
      </c>
      <c r="S1745" s="1351" t="str">
        <f>IF(Q$796="Yes",9,"")</f>
        <v/>
      </c>
      <c r="T1745" s="1348"/>
      <c r="U1745" s="1348"/>
      <c r="V1745" s="1348"/>
      <c r="W1745" s="1348"/>
      <c r="X1745" s="1348"/>
      <c r="Y1745" s="1348"/>
      <c r="Z1745" s="134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0" t="s">
        <v>1988</v>
      </c>
      <c r="G1746" s="1351" t="str">
        <f>IF(S1746&lt;&gt;"","F","")</f>
        <v/>
      </c>
      <c r="H1746" s="1351" t="s">
        <v>1985</v>
      </c>
      <c r="I1746" s="241"/>
      <c r="J1746" s="1348"/>
      <c r="K1746" s="1348"/>
      <c r="L1746" s="1348"/>
      <c r="N1746" s="1348"/>
      <c r="O1746" s="1348"/>
      <c r="P1746" s="1348"/>
      <c r="Q1746" s="1348"/>
      <c r="R1746" s="1351" t="s">
        <v>1532</v>
      </c>
      <c r="S1746" s="1351" t="str">
        <f>IF(Q$796="Yes",9,"")</f>
        <v/>
      </c>
      <c r="T1746" s="1348"/>
      <c r="U1746" s="1348"/>
      <c r="V1746" s="1348"/>
      <c r="W1746" s="1348"/>
      <c r="X1746" s="1348"/>
      <c r="Y1746" s="1348"/>
      <c r="Z1746" s="134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51" t="str">
        <f>IF(S1747&lt;&gt;"","A","")</f>
        <v/>
      </c>
      <c r="H1747" s="1351" t="s">
        <v>1985</v>
      </c>
      <c r="I1747" s="241"/>
      <c r="J1747" s="1348"/>
      <c r="K1747" s="1348"/>
      <c r="L1747" s="1348"/>
      <c r="N1747" s="1348"/>
      <c r="O1747" s="1348"/>
      <c r="P1747" s="1348"/>
      <c r="Q1747" s="1348"/>
      <c r="R1747" s="1351" t="s">
        <v>1532</v>
      </c>
      <c r="S1747" s="1351" t="str">
        <f>IF(Q$814="Yes",10,"")</f>
        <v/>
      </c>
      <c r="T1747" s="1348"/>
      <c r="U1747" s="1348"/>
      <c r="V1747" s="1348"/>
      <c r="W1747" s="1348"/>
      <c r="X1747" s="1348"/>
      <c r="Y1747" s="1348"/>
      <c r="Z1747" s="134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51" t="str">
        <f>IF(S1748&lt;&gt;"","B","")</f>
        <v/>
      </c>
      <c r="H1748" s="1351" t="s">
        <v>1985</v>
      </c>
      <c r="I1748" s="241"/>
      <c r="J1748" s="1348"/>
      <c r="K1748" s="1348"/>
      <c r="L1748" s="1348"/>
      <c r="N1748" s="1348"/>
      <c r="O1748" s="1348"/>
      <c r="P1748" s="1348"/>
      <c r="Q1748" s="1348"/>
      <c r="R1748" s="1351" t="s">
        <v>1532</v>
      </c>
      <c r="S1748" s="1351" t="str">
        <f>IF(Q$814="Yes",10,"")</f>
        <v/>
      </c>
      <c r="T1748" s="1348"/>
      <c r="U1748" s="1348"/>
      <c r="V1748" s="1348"/>
      <c r="W1748" s="1348"/>
      <c r="X1748" s="1348"/>
      <c r="Y1748" s="1348"/>
      <c r="Z1748" s="134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51" t="str">
        <f>IF(S1749&lt;&gt;"","C","")</f>
        <v/>
      </c>
      <c r="H1749" s="1351" t="s">
        <v>1985</v>
      </c>
      <c r="I1749" s="241"/>
      <c r="J1749" s="1348"/>
      <c r="K1749" s="1348"/>
      <c r="L1749" s="1348"/>
      <c r="N1749" s="1348"/>
      <c r="O1749" s="1348"/>
      <c r="P1749" s="1348"/>
      <c r="Q1749" s="1348"/>
      <c r="R1749" s="1351" t="s">
        <v>1532</v>
      </c>
      <c r="S1749" s="1351" t="str">
        <f>IF(Q$814="Yes",10,"")</f>
        <v/>
      </c>
      <c r="T1749" s="1348"/>
      <c r="U1749" s="1348"/>
      <c r="V1749" s="1348"/>
      <c r="W1749" s="1348"/>
      <c r="X1749" s="1348"/>
      <c r="Y1749" s="1348"/>
      <c r="Z1749" s="134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51" t="str">
        <f>IF(S1750&lt;&gt;"","D","")</f>
        <v/>
      </c>
      <c r="H1750" s="1351" t="s">
        <v>1985</v>
      </c>
      <c r="I1750" s="241"/>
      <c r="J1750" s="1348"/>
      <c r="K1750" s="1348"/>
      <c r="L1750" s="1348"/>
      <c r="N1750" s="1348"/>
      <c r="O1750" s="1348"/>
      <c r="P1750" s="1348"/>
      <c r="Q1750" s="1348"/>
      <c r="R1750" s="1351" t="s">
        <v>1532</v>
      </c>
      <c r="S1750" s="1351" t="str">
        <f>IF(Q$814="Yes",10,"")</f>
        <v/>
      </c>
      <c r="T1750" s="1348"/>
      <c r="U1750" s="1348"/>
      <c r="V1750" s="1348"/>
      <c r="W1750" s="1348"/>
      <c r="X1750" s="1348"/>
      <c r="Y1750" s="1348"/>
      <c r="Z1750" s="134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0" t="s">
        <v>1988</v>
      </c>
      <c r="G1751" s="1351" t="str">
        <f>IF(S1751&lt;&gt;"","F","")</f>
        <v/>
      </c>
      <c r="H1751" s="1351" t="s">
        <v>1985</v>
      </c>
      <c r="I1751" s="241"/>
      <c r="J1751" s="1348"/>
      <c r="K1751" s="1348"/>
      <c r="L1751" s="1348"/>
      <c r="N1751" s="1348"/>
      <c r="O1751" s="1348"/>
      <c r="P1751" s="1348"/>
      <c r="Q1751" s="1348"/>
      <c r="R1751" s="1351" t="s">
        <v>1532</v>
      </c>
      <c r="S1751" s="1351" t="str">
        <f>IF(Q$814="Yes",10,"")</f>
        <v/>
      </c>
      <c r="T1751" s="1348"/>
      <c r="U1751" s="1348"/>
      <c r="V1751" s="1348"/>
      <c r="W1751" s="1348"/>
      <c r="X1751" s="1348"/>
      <c r="Y1751" s="1348"/>
      <c r="Z1751" s="134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51" t="str">
        <f>IF(S1752&lt;&gt;"","A","")</f>
        <v/>
      </c>
      <c r="H1752" s="1351" t="s">
        <v>1985</v>
      </c>
      <c r="I1752" s="241"/>
      <c r="J1752" s="1348"/>
      <c r="K1752" s="1348"/>
      <c r="L1752" s="1348"/>
      <c r="N1752" s="1348"/>
      <c r="O1752" s="1348"/>
      <c r="P1752" s="1348"/>
      <c r="Q1752" s="1348"/>
      <c r="R1752" s="1351" t="s">
        <v>1532</v>
      </c>
      <c r="S1752" s="1351" t="str">
        <f>IF(Q$832="Yes",11,"")</f>
        <v/>
      </c>
      <c r="T1752" s="1348"/>
      <c r="U1752" s="1348"/>
      <c r="V1752" s="1348"/>
      <c r="W1752" s="1348"/>
      <c r="X1752" s="1348"/>
      <c r="Y1752" s="1348"/>
      <c r="Z1752" s="134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51" t="str">
        <f>IF(S1753&lt;&gt;"","B","")</f>
        <v/>
      </c>
      <c r="H1753" s="1351" t="s">
        <v>1985</v>
      </c>
      <c r="I1753" s="241"/>
      <c r="J1753" s="1348"/>
      <c r="K1753" s="1348"/>
      <c r="L1753" s="1348"/>
      <c r="N1753" s="1348"/>
      <c r="O1753" s="1348"/>
      <c r="P1753" s="1348"/>
      <c r="Q1753" s="1348"/>
      <c r="R1753" s="1351" t="s">
        <v>1532</v>
      </c>
      <c r="S1753" s="1351" t="str">
        <f>IF(Q$832="Yes",11,"")</f>
        <v/>
      </c>
      <c r="T1753" s="1348"/>
      <c r="U1753" s="1348"/>
      <c r="V1753" s="1348"/>
      <c r="W1753" s="1348"/>
      <c r="X1753" s="1348"/>
      <c r="Y1753" s="1348"/>
      <c r="Z1753" s="134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51" t="str">
        <f>IF(S1754&lt;&gt;"","C","")</f>
        <v/>
      </c>
      <c r="H1754" s="1351" t="s">
        <v>1985</v>
      </c>
      <c r="I1754" s="241"/>
      <c r="J1754" s="1348"/>
      <c r="K1754" s="1348"/>
      <c r="L1754" s="1348"/>
      <c r="N1754" s="1348"/>
      <c r="O1754" s="1348"/>
      <c r="P1754" s="1348"/>
      <c r="Q1754" s="1348"/>
      <c r="R1754" s="1351" t="s">
        <v>1532</v>
      </c>
      <c r="S1754" s="1351" t="str">
        <f>IF(Q$832="Yes",11,"")</f>
        <v/>
      </c>
      <c r="T1754" s="1348"/>
      <c r="U1754" s="1348"/>
      <c r="V1754" s="1348"/>
      <c r="W1754" s="1348"/>
      <c r="X1754" s="1348"/>
      <c r="Y1754" s="1348"/>
      <c r="Z1754" s="134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51" t="str">
        <f>IF(S1755&lt;&gt;"","D","")</f>
        <v/>
      </c>
      <c r="H1755" s="1351" t="s">
        <v>1985</v>
      </c>
      <c r="I1755" s="241"/>
      <c r="J1755" s="1348"/>
      <c r="K1755" s="1348"/>
      <c r="L1755" s="1348"/>
      <c r="N1755" s="1348"/>
      <c r="O1755" s="1348"/>
      <c r="P1755" s="1348"/>
      <c r="Q1755" s="1348"/>
      <c r="R1755" s="1351" t="s">
        <v>1532</v>
      </c>
      <c r="S1755" s="1351" t="str">
        <f>IF(Q$832="Yes",11,"")</f>
        <v/>
      </c>
      <c r="T1755" s="1348"/>
      <c r="U1755" s="1348"/>
      <c r="V1755" s="1348"/>
      <c r="W1755" s="1348"/>
      <c r="X1755" s="1348"/>
      <c r="Y1755" s="1348"/>
      <c r="Z1755" s="134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0" t="s">
        <v>1988</v>
      </c>
      <c r="G1756" s="1351" t="str">
        <f>IF(S1756&lt;&gt;"","F","")</f>
        <v/>
      </c>
      <c r="H1756" s="1351" t="s">
        <v>1985</v>
      </c>
      <c r="I1756" s="241"/>
      <c r="J1756" s="1348"/>
      <c r="K1756" s="1348"/>
      <c r="L1756" s="1348"/>
      <c r="N1756" s="1348"/>
      <c r="O1756" s="1348"/>
      <c r="P1756" s="1348"/>
      <c r="Q1756" s="1348"/>
      <c r="R1756" s="1351" t="s">
        <v>1532</v>
      </c>
      <c r="S1756" s="1351" t="str">
        <f>IF(Q$832="Yes",11,"")</f>
        <v/>
      </c>
      <c r="T1756" s="1348"/>
      <c r="U1756" s="1348"/>
      <c r="V1756" s="1348"/>
      <c r="W1756" s="1348"/>
      <c r="X1756" s="1348"/>
      <c r="Y1756" s="1348"/>
      <c r="Z1756" s="134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51" t="str">
        <f>IF(S1757&lt;&gt;"","A","")</f>
        <v/>
      </c>
      <c r="H1757" s="1351" t="s">
        <v>1985</v>
      </c>
      <c r="I1757" s="241"/>
      <c r="J1757" s="1348"/>
      <c r="K1757" s="1348"/>
      <c r="L1757" s="1348"/>
      <c r="N1757" s="1348"/>
      <c r="O1757" s="1348"/>
      <c r="P1757" s="1348"/>
      <c r="Q1757" s="1348"/>
      <c r="R1757" s="1351" t="s">
        <v>1532</v>
      </c>
      <c r="S1757" s="1351" t="str">
        <f>IF(Q$862="Yes",12,"")</f>
        <v/>
      </c>
      <c r="T1757" s="1348"/>
      <c r="U1757" s="1348"/>
      <c r="V1757" s="1348"/>
      <c r="W1757" s="1348"/>
      <c r="X1757" s="1348"/>
      <c r="Y1757" s="1348"/>
      <c r="Z1757" s="134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51" t="str">
        <f>IF(S1758&lt;&gt;"","B","")</f>
        <v/>
      </c>
      <c r="H1758" s="1351" t="s">
        <v>1985</v>
      </c>
      <c r="I1758" s="241"/>
      <c r="J1758" s="1348"/>
      <c r="K1758" s="1348"/>
      <c r="L1758" s="1348"/>
      <c r="N1758" s="1348"/>
      <c r="O1758" s="1348"/>
      <c r="P1758" s="1348"/>
      <c r="Q1758" s="1348"/>
      <c r="R1758" s="1351" t="s">
        <v>1532</v>
      </c>
      <c r="S1758" s="1351" t="str">
        <f>IF(Q$862="Yes",12,"")</f>
        <v/>
      </c>
      <c r="T1758" s="1348"/>
      <c r="U1758" s="1348"/>
      <c r="V1758" s="1348"/>
      <c r="W1758" s="1348"/>
      <c r="X1758" s="1348"/>
      <c r="Y1758" s="1348"/>
      <c r="Z1758" s="134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51" t="str">
        <f>IF(S1759&lt;&gt;"","C","")</f>
        <v/>
      </c>
      <c r="H1759" s="1351" t="s">
        <v>1985</v>
      </c>
      <c r="I1759" s="241"/>
      <c r="J1759" s="1348"/>
      <c r="K1759" s="1348"/>
      <c r="L1759" s="1348"/>
      <c r="N1759" s="1348"/>
      <c r="O1759" s="1348"/>
      <c r="P1759" s="1348"/>
      <c r="Q1759" s="1348"/>
      <c r="R1759" s="1351" t="s">
        <v>1532</v>
      </c>
      <c r="S1759" s="1351" t="str">
        <f>IF(Q$862="Yes",12,"")</f>
        <v/>
      </c>
      <c r="T1759" s="1348"/>
      <c r="U1759" s="1348"/>
      <c r="V1759" s="1348"/>
      <c r="W1759" s="1348"/>
      <c r="X1759" s="1348"/>
      <c r="Y1759" s="1348"/>
      <c r="Z1759" s="134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51" t="str">
        <f>IF(S1760&lt;&gt;"","D","")</f>
        <v/>
      </c>
      <c r="H1760" s="1351" t="s">
        <v>1985</v>
      </c>
      <c r="I1760" s="241"/>
      <c r="J1760" s="1348"/>
      <c r="K1760" s="1348"/>
      <c r="L1760" s="1348"/>
      <c r="N1760" s="1348"/>
      <c r="O1760" s="1348"/>
      <c r="P1760" s="1348"/>
      <c r="Q1760" s="1348"/>
      <c r="R1760" s="1351" t="s">
        <v>1532</v>
      </c>
      <c r="S1760" s="1351" t="str">
        <f>IF(Q$862="Yes",12,"")</f>
        <v/>
      </c>
      <c r="T1760" s="1348"/>
      <c r="U1760" s="1348"/>
      <c r="V1760" s="1348"/>
      <c r="W1760" s="1348"/>
      <c r="X1760" s="1348"/>
      <c r="Y1760" s="1348"/>
      <c r="Z1760" s="134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0" t="s">
        <v>1988</v>
      </c>
      <c r="G1761" s="1351" t="str">
        <f>IF(S1761&lt;&gt;"","F","")</f>
        <v/>
      </c>
      <c r="H1761" s="1351" t="s">
        <v>1985</v>
      </c>
      <c r="I1761" s="241"/>
      <c r="J1761" s="1348"/>
      <c r="K1761" s="1348"/>
      <c r="L1761" s="1348"/>
      <c r="N1761" s="1348"/>
      <c r="O1761" s="1348"/>
      <c r="P1761" s="1348"/>
      <c r="Q1761" s="1348"/>
      <c r="R1761" s="1351" t="s">
        <v>1532</v>
      </c>
      <c r="S1761" s="1351" t="str">
        <f>IF(Q$862="Yes",12,"")</f>
        <v/>
      </c>
      <c r="T1761" s="1348"/>
      <c r="U1761" s="1348"/>
      <c r="V1761" s="1348"/>
      <c r="W1761" s="1348"/>
      <c r="X1761" s="1348"/>
      <c r="Y1761" s="1348"/>
      <c r="Z1761" s="134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51" t="str">
        <f>IF(S1762&lt;&gt;"","A","")</f>
        <v/>
      </c>
      <c r="H1762" s="1351" t="s">
        <v>1985</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51" t="str">
        <f>IF(S1763&lt;&gt;"","B","")</f>
        <v/>
      </c>
      <c r="H1763" s="1351" t="s">
        <v>1985</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51" t="str">
        <f>IF(S1764&lt;&gt;"","C","")</f>
        <v/>
      </c>
      <c r="H1764" s="1351" t="s">
        <v>1985</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51" t="str">
        <f>IF(S1765&lt;&gt;"","D","")</f>
        <v/>
      </c>
      <c r="H1765" s="1351" t="s">
        <v>1985</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0" t="s">
        <v>1988</v>
      </c>
      <c r="G1766" s="1351" t="str">
        <f>IF(S1766&lt;&gt;"","F","")</f>
        <v/>
      </c>
      <c r="H1766" s="1351" t="s">
        <v>1985</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51" t="str">
        <f>IF(S1767&lt;&gt;"","A","")</f>
        <v/>
      </c>
      <c r="H1767" s="1351" t="s">
        <v>1985</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51" t="str">
        <f>IF(S1768&lt;&gt;"","B","")</f>
        <v/>
      </c>
      <c r="H1768" s="1351" t="s">
        <v>1985</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51" t="str">
        <f>IF(S1769&lt;&gt;"","C","")</f>
        <v/>
      </c>
      <c r="H1769" s="1351" t="s">
        <v>1985</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51" t="str">
        <f>IF(S1770&lt;&gt;"","D","")</f>
        <v/>
      </c>
      <c r="H1770" s="1351" t="s">
        <v>1985</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0" t="s">
        <v>1988</v>
      </c>
      <c r="G1771" s="1351" t="str">
        <f>IF(S1771&lt;&gt;"","F","")</f>
        <v/>
      </c>
      <c r="H1771" s="1351" t="s">
        <v>1985</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51" t="str">
        <f>IF(S1772&lt;&gt;"","A","")</f>
        <v/>
      </c>
      <c r="H1772" s="1351" t="s">
        <v>1985</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51" t="str">
        <f>IF(S1773&lt;&gt;"","B","")</f>
        <v/>
      </c>
      <c r="H1773" s="1351" t="s">
        <v>1985</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51" t="str">
        <f>IF(S1774&lt;&gt;"","C","")</f>
        <v/>
      </c>
      <c r="H1774" s="1351" t="s">
        <v>1985</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51" t="str">
        <f>IF(S1775&lt;&gt;"","D","")</f>
        <v/>
      </c>
      <c r="H1775" s="1351" t="s">
        <v>1985</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0" t="s">
        <v>1988</v>
      </c>
      <c r="G1776" s="1351" t="str">
        <f>IF(S1776&lt;&gt;"","F","")</f>
        <v/>
      </c>
      <c r="H1776" s="1351" t="s">
        <v>1985</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51" t="str">
        <f>IF(S1777&lt;&gt;"","A","")</f>
        <v/>
      </c>
      <c r="H1777" s="1351" t="s">
        <v>1985</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51" t="str">
        <f>IF(S1778&lt;&gt;"","B","")</f>
        <v/>
      </c>
      <c r="H1778" s="1351" t="s">
        <v>1985</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51" t="str">
        <f>IF(S1779&lt;&gt;"","C","")</f>
        <v/>
      </c>
      <c r="H1779" s="1351" t="s">
        <v>1985</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51" t="str">
        <f>IF(S1780&lt;&gt;"","D","")</f>
        <v/>
      </c>
      <c r="H1780" s="1351" t="s">
        <v>1985</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0" t="s">
        <v>1988</v>
      </c>
      <c r="G1781" s="1351" t="str">
        <f>IF(S1781&lt;&gt;"","F","")</f>
        <v/>
      </c>
      <c r="H1781" s="1351" t="s">
        <v>1985</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51" t="str">
        <f>IF(S1782&lt;&gt;"","A","")</f>
        <v/>
      </c>
      <c r="H1782" s="1351" t="s">
        <v>1985</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51" t="str">
        <f>IF(S1783&lt;&gt;"","B","")</f>
        <v/>
      </c>
      <c r="H1783" s="1351" t="s">
        <v>1985</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51" t="str">
        <f>IF(S1784&lt;&gt;"","C","")</f>
        <v/>
      </c>
      <c r="H1784" s="1351" t="s">
        <v>1985</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51" t="str">
        <f>IF(S1785&lt;&gt;"","D","")</f>
        <v/>
      </c>
      <c r="H1785" s="1351" t="s">
        <v>1985</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0" t="s">
        <v>1988</v>
      </c>
      <c r="G1786" s="1351" t="str">
        <f>IF(S1786&lt;&gt;"","F","")</f>
        <v/>
      </c>
      <c r="H1786" s="1351" t="s">
        <v>1985</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51" t="str">
        <f>IF(S1787&lt;&gt;"","A","")</f>
        <v/>
      </c>
      <c r="H1787" s="1351" t="s">
        <v>1985</v>
      </c>
      <c r="I1787" s="241"/>
      <c r="J1787" s="1348"/>
      <c r="K1787" s="1348"/>
      <c r="L1787" s="1348"/>
      <c r="N1787" s="1348"/>
      <c r="O1787" s="1348"/>
      <c r="P1787" s="1348"/>
      <c r="Q1787" s="1348"/>
      <c r="R1787" s="1351" t="s">
        <v>1697</v>
      </c>
      <c r="S1787" s="1351" t="str">
        <f>IF(Q$987="Yes",18,"")</f>
        <v/>
      </c>
      <c r="T1787" s="1348"/>
      <c r="U1787" s="1348"/>
      <c r="V1787" s="1348"/>
      <c r="W1787" s="1348"/>
      <c r="X1787" s="1348"/>
      <c r="Y1787" s="1348"/>
      <c r="Z1787" s="134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51" t="str">
        <f>IF(S1788&lt;&gt;"","B","")</f>
        <v/>
      </c>
      <c r="H1788" s="1351" t="s">
        <v>1985</v>
      </c>
      <c r="I1788" s="241"/>
      <c r="J1788" s="1348"/>
      <c r="K1788" s="1348"/>
      <c r="L1788" s="1348"/>
      <c r="N1788" s="1348"/>
      <c r="O1788" s="1348"/>
      <c r="P1788" s="1348"/>
      <c r="Q1788" s="1348"/>
      <c r="R1788" s="1351" t="s">
        <v>1697</v>
      </c>
      <c r="S1788" s="1351" t="str">
        <f>IF(Q$987="Yes",18,"")</f>
        <v/>
      </c>
      <c r="T1788" s="1348"/>
      <c r="U1788" s="1348"/>
      <c r="V1788" s="1348"/>
      <c r="W1788" s="1348"/>
      <c r="X1788" s="1348"/>
      <c r="Y1788" s="1348"/>
      <c r="Z1788" s="134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51" t="str">
        <f>IF(S1789&lt;&gt;"","C","")</f>
        <v/>
      </c>
      <c r="H1789" s="1351" t="s">
        <v>1985</v>
      </c>
      <c r="I1789" s="241"/>
      <c r="J1789" s="1348"/>
      <c r="K1789" s="1348"/>
      <c r="L1789" s="1348"/>
      <c r="N1789" s="1348"/>
      <c r="O1789" s="1348"/>
      <c r="P1789" s="1348"/>
      <c r="Q1789" s="1348"/>
      <c r="R1789" s="1351" t="s">
        <v>1697</v>
      </c>
      <c r="S1789" s="1351" t="str">
        <f>IF(Q$987="Yes",18,"")</f>
        <v/>
      </c>
      <c r="T1789" s="1348"/>
      <c r="U1789" s="1348"/>
      <c r="V1789" s="1348"/>
      <c r="W1789" s="1348"/>
      <c r="X1789" s="1348"/>
      <c r="Y1789" s="1348"/>
      <c r="Z1789" s="134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51" t="str">
        <f>IF(S1790&lt;&gt;"","D","")</f>
        <v/>
      </c>
      <c r="H1790" s="1351" t="s">
        <v>1985</v>
      </c>
      <c r="I1790" s="241"/>
      <c r="J1790" s="1348"/>
      <c r="K1790" s="1348"/>
      <c r="L1790" s="1348"/>
      <c r="N1790" s="1348"/>
      <c r="O1790" s="1348"/>
      <c r="P1790" s="1348"/>
      <c r="Q1790" s="1348"/>
      <c r="R1790" s="1351" t="s">
        <v>1697</v>
      </c>
      <c r="S1790" s="1351" t="str">
        <f>IF(Q$987="Yes",18,"")</f>
        <v/>
      </c>
      <c r="T1790" s="1348"/>
      <c r="U1790" s="1348"/>
      <c r="V1790" s="1348"/>
      <c r="W1790" s="1348"/>
      <c r="X1790" s="1348"/>
      <c r="Y1790" s="1348"/>
      <c r="Z1790" s="134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0" t="s">
        <v>1988</v>
      </c>
      <c r="G1791" s="1351" t="str">
        <f>IF(S1791&lt;&gt;"","F","")</f>
        <v/>
      </c>
      <c r="H1791" s="1351" t="s">
        <v>1985</v>
      </c>
      <c r="I1791" s="241"/>
      <c r="J1791" s="1348"/>
      <c r="K1791" s="1348"/>
      <c r="L1791" s="1348"/>
      <c r="N1791" s="1348"/>
      <c r="O1791" s="1348"/>
      <c r="P1791" s="1348"/>
      <c r="Q1791" s="1348"/>
      <c r="R1791" s="1351" t="s">
        <v>1697</v>
      </c>
      <c r="S1791" s="1351" t="str">
        <f>IF(Q$987="Yes",18,"")</f>
        <v/>
      </c>
      <c r="T1791" s="1348"/>
      <c r="U1791" s="1348"/>
      <c r="V1791" s="1348"/>
      <c r="W1791" s="1348"/>
      <c r="X1791" s="1348"/>
      <c r="Y1791" s="1348"/>
      <c r="Z1791" s="134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0" t="s">
        <v>1383</v>
      </c>
      <c r="G1793" s="852" t="str">
        <f>IF(S1793&lt;&gt;"","B","")</f>
        <v/>
      </c>
      <c r="H1793" s="852" t="s">
        <v>1984</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0" t="s">
        <v>1482</v>
      </c>
      <c r="G1794" s="852" t="str">
        <f>IF(S1794&lt;&gt;"","C","")</f>
        <v/>
      </c>
      <c r="H1794" s="852" t="s">
        <v>1984</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0" t="s">
        <v>727</v>
      </c>
      <c r="G1795" s="852" t="str">
        <f>IF(S1795&lt;&gt;"","E","")</f>
        <v/>
      </c>
      <c r="H1795" s="852" t="s">
        <v>1984</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0" t="s">
        <v>1483</v>
      </c>
      <c r="G1796" s="852" t="str">
        <f>IF(S1796&lt;&gt;"","F","")</f>
        <v/>
      </c>
      <c r="H1796" s="852" t="s">
        <v>1984</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0" t="s">
        <v>1383</v>
      </c>
      <c r="G1798" s="852" t="str">
        <f>IF(S1798&lt;&gt;"","B","")</f>
        <v/>
      </c>
      <c r="H1798" s="852" t="s">
        <v>1984</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0" t="s">
        <v>1482</v>
      </c>
      <c r="G1799" s="852" t="str">
        <f>IF(S1799&lt;&gt;"","C","")</f>
        <v/>
      </c>
      <c r="H1799" s="852" t="s">
        <v>1984</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0" t="s">
        <v>727</v>
      </c>
      <c r="G1800" s="852" t="str">
        <f>IF(S1800&lt;&gt;"","E","")</f>
        <v/>
      </c>
      <c r="H1800" s="852" t="s">
        <v>1984</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0" t="s">
        <v>1483</v>
      </c>
      <c r="G1801" s="852" t="str">
        <f>IF(S1801&lt;&gt;"","F","")</f>
        <v/>
      </c>
      <c r="H1801" s="852" t="s">
        <v>1984</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0" t="s">
        <v>1383</v>
      </c>
      <c r="G1803" s="852" t="str">
        <f>IF(S1803&lt;&gt;"","B","")</f>
        <v/>
      </c>
      <c r="H1803" s="852" t="s">
        <v>1984</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0" t="s">
        <v>1482</v>
      </c>
      <c r="G1804" s="852" t="str">
        <f>IF(S1804&lt;&gt;"","C","")</f>
        <v/>
      </c>
      <c r="H1804" s="852" t="s">
        <v>1984</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0" t="s">
        <v>727</v>
      </c>
      <c r="G1805" s="852" t="str">
        <f>IF(S1805&lt;&gt;"","E","")</f>
        <v/>
      </c>
      <c r="H1805" s="852" t="s">
        <v>1984</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0" t="s">
        <v>1622</v>
      </c>
      <c r="G1806" s="852" t="str">
        <f>IF(S1806&lt;&gt;"","D","")</f>
        <v/>
      </c>
      <c r="H1806" s="852" t="s">
        <v>1984</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0" t="s">
        <v>1383</v>
      </c>
      <c r="G1808" s="852" t="str">
        <f>IF(S1808&lt;&gt;"","B","")</f>
        <v/>
      </c>
      <c r="H1808" s="852" t="s">
        <v>1984</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0" t="s">
        <v>1482</v>
      </c>
      <c r="G1809" s="852" t="str">
        <f>IF(S1809&lt;&gt;"","C","")</f>
        <v/>
      </c>
      <c r="H1809" s="852" t="s">
        <v>1984</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0" t="s">
        <v>727</v>
      </c>
      <c r="G1810" s="852" t="str">
        <f>IF(S1810&lt;&gt;"","E","")</f>
        <v/>
      </c>
      <c r="H1810" s="852" t="s">
        <v>1984</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0" t="s">
        <v>1622</v>
      </c>
      <c r="G1811" s="852" t="str">
        <f>IF(S1811&lt;&gt;"","D","")</f>
        <v/>
      </c>
      <c r="H1811" s="852" t="s">
        <v>1984</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51" t="s">
        <v>1992</v>
      </c>
      <c r="G1812" s="1351" t="str">
        <f>IF(T1812&lt;&gt;"","E","")</f>
        <v/>
      </c>
      <c r="H1812" s="1351" t="s">
        <v>1991</v>
      </c>
      <c r="I1812" s="1307"/>
      <c r="J1812" s="1351"/>
      <c r="K1812" s="1351"/>
      <c r="L1812" s="852"/>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51" t="s">
        <v>1996</v>
      </c>
      <c r="G1813" s="1351" t="str">
        <f>IF(T1813&lt;&gt;"","G","")</f>
        <v/>
      </c>
      <c r="H1813" s="1351" t="s">
        <v>1991</v>
      </c>
      <c r="I1813" s="1307"/>
      <c r="J1813" s="1351"/>
      <c r="K1813" s="1351"/>
      <c r="L1813" s="852"/>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51" t="s">
        <v>1992</v>
      </c>
      <c r="G1814" s="1351" t="str">
        <f>IF(T1814&lt;&gt;"","E","")</f>
        <v/>
      </c>
      <c r="H1814" s="1351" t="s">
        <v>1991</v>
      </c>
      <c r="I1814" s="1307"/>
      <c r="J1814" s="1351"/>
      <c r="K1814" s="1351"/>
      <c r="L1814" s="852"/>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51" t="s">
        <v>1996</v>
      </c>
      <c r="G1815" s="1351" t="str">
        <f>IF(T1815&lt;&gt;"","G","")</f>
        <v/>
      </c>
      <c r="H1815" s="1351" t="s">
        <v>1991</v>
      </c>
      <c r="I1815" s="1307"/>
      <c r="J1815" s="1351"/>
      <c r="K1815" s="1351"/>
      <c r="L1815" s="852"/>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51" t="s">
        <v>1992</v>
      </c>
      <c r="G1816" s="1351" t="str">
        <f>IF(T1816&lt;&gt;"","E","")</f>
        <v/>
      </c>
      <c r="H1816" s="1351" t="s">
        <v>1991</v>
      </c>
      <c r="I1816" s="1307"/>
      <c r="J1816" s="1351"/>
      <c r="K1816" s="1351"/>
      <c r="L1816" s="852"/>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51" t="s">
        <v>1996</v>
      </c>
      <c r="G1817" s="1351" t="str">
        <f>IF(T1817&lt;&gt;"","G","")</f>
        <v/>
      </c>
      <c r="H1817" s="1351" t="s">
        <v>1991</v>
      </c>
      <c r="I1817" s="1307"/>
      <c r="J1817" s="1351"/>
      <c r="K1817" s="1351"/>
      <c r="L1817" s="852"/>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51" t="s">
        <v>1992</v>
      </c>
      <c r="G1818" s="1351" t="str">
        <f>IF(T1818&lt;&gt;"","E","")</f>
        <v/>
      </c>
      <c r="H1818" s="1351" t="s">
        <v>1991</v>
      </c>
      <c r="I1818" s="1307"/>
      <c r="J1818" s="1351"/>
      <c r="K1818" s="1351"/>
      <c r="L1818" s="852"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51" t="s">
        <v>1994</v>
      </c>
      <c r="G1819" s="1351" t="str">
        <f>IF(T1819&lt;&gt;"","H","")</f>
        <v/>
      </c>
      <c r="H1819" s="1351" t="s">
        <v>1991</v>
      </c>
      <c r="I1819" s="1307"/>
      <c r="J1819" s="1351"/>
      <c r="K1819" s="1351"/>
      <c r="L1819" s="852"/>
      <c r="M1819" s="1366"/>
      <c r="N1819" s="1351"/>
      <c r="O1819" s="1348"/>
      <c r="P1819" s="1348"/>
      <c r="Q1819" s="1348"/>
      <c r="R1819" s="1351" t="s">
        <v>1701</v>
      </c>
      <c r="S1819" s="1348"/>
      <c r="T1819" s="1351" t="str">
        <f t="shared" ref="T1819:T1821" si="270">IF(Q$1052="Yes",27,"")</f>
        <v/>
      </c>
      <c r="U1819" s="1348"/>
      <c r="V1819" s="1348"/>
      <c r="W1819" s="1348"/>
      <c r="X1819" s="1348"/>
      <c r="Y1819" s="1348"/>
      <c r="Z1819" s="134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51" t="s">
        <v>1992</v>
      </c>
      <c r="G1820" s="1351" t="str">
        <f>IF(T1820&lt;&gt;"","E","")</f>
        <v/>
      </c>
      <c r="H1820" s="1351" t="s">
        <v>1991</v>
      </c>
      <c r="I1820" s="1307"/>
      <c r="J1820" s="1351"/>
      <c r="K1820" s="1351"/>
      <c r="L1820" s="852"/>
      <c r="M1820" s="1366"/>
      <c r="N1820" s="1351"/>
      <c r="O1820" s="1348"/>
      <c r="P1820" s="1348"/>
      <c r="Q1820" s="1348"/>
      <c r="R1820" s="1351" t="s">
        <v>1701</v>
      </c>
      <c r="S1820" s="1348"/>
      <c r="T1820" s="1351" t="str">
        <f t="shared" si="270"/>
        <v/>
      </c>
      <c r="U1820" s="1348"/>
      <c r="V1820" s="1348"/>
      <c r="W1820" s="1348"/>
      <c r="X1820" s="1348"/>
      <c r="Y1820" s="1348"/>
      <c r="Z1820" s="134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51" t="s">
        <v>1996</v>
      </c>
      <c r="G1821" s="1351" t="str">
        <f>IF(T1821&lt;&gt;"","G","")</f>
        <v/>
      </c>
      <c r="H1821" s="1351" t="s">
        <v>1991</v>
      </c>
      <c r="I1821" s="1307"/>
      <c r="J1821" s="1351"/>
      <c r="K1821" s="1351"/>
      <c r="L1821" s="852"/>
      <c r="M1821" s="1366"/>
      <c r="N1821" s="1351"/>
      <c r="O1821" s="1348"/>
      <c r="P1821" s="1348"/>
      <c r="Q1821" s="1348"/>
      <c r="R1821" s="1351" t="s">
        <v>1701</v>
      </c>
      <c r="S1821" s="1348"/>
      <c r="T1821" s="1351" t="str">
        <f t="shared" si="270"/>
        <v/>
      </c>
      <c r="U1821" s="1348"/>
      <c r="V1821" s="1348"/>
      <c r="W1821" s="1348"/>
      <c r="X1821" s="1348"/>
      <c r="Y1821" s="1348"/>
      <c r="Z1821" s="1348"/>
    </row>
    <row r="1822" spans="1:26" x14ac:dyDescent="0.25">
      <c r="A1822" s="1039"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51" t="s">
        <v>1994</v>
      </c>
      <c r="G1822" s="1351" t="str">
        <f>IF(T1822&lt;&gt;"","H","")</f>
        <v/>
      </c>
      <c r="H1822" s="1351" t="s">
        <v>1991</v>
      </c>
      <c r="I1822" s="1307"/>
      <c r="J1822" s="1351"/>
      <c r="K1822" s="1351"/>
      <c r="L1822" s="852"/>
      <c r="M1822" s="1366"/>
      <c r="N1822" s="1351"/>
      <c r="O1822" s="1348"/>
      <c r="P1822" s="1348"/>
      <c r="Q1822" s="1348"/>
      <c r="R1822" s="1351" t="s">
        <v>1701</v>
      </c>
      <c r="S1822" s="1348"/>
      <c r="T1822" s="1351" t="str">
        <f t="shared" ref="T1822:T1823" si="271">IF(Q$1069="Yes",28,"")</f>
        <v/>
      </c>
      <c r="U1822" s="1348"/>
      <c r="V1822" s="1348"/>
      <c r="W1822" s="1348"/>
      <c r="X1822" s="1348"/>
      <c r="Y1822" s="1348"/>
      <c r="Z1822" s="1348"/>
    </row>
    <row r="1823" spans="1:26" x14ac:dyDescent="0.25">
      <c r="A1823" s="1039"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51" t="s">
        <v>1996</v>
      </c>
      <c r="G1823" s="1351" t="str">
        <f>IF(T1823&lt;&gt;"","G","")</f>
        <v/>
      </c>
      <c r="H1823" s="1351" t="s">
        <v>1991</v>
      </c>
      <c r="I1823" s="1307"/>
      <c r="J1823" s="1351"/>
      <c r="K1823" s="1351"/>
      <c r="L1823" s="852"/>
      <c r="M1823" s="1366"/>
      <c r="N1823" s="1351"/>
      <c r="O1823" s="1348"/>
      <c r="P1823" s="1348"/>
      <c r="Q1823" s="1348"/>
      <c r="R1823" s="1351" t="s">
        <v>1701</v>
      </c>
      <c r="S1823" s="1348"/>
      <c r="T1823" s="1351" t="str">
        <f t="shared" si="271"/>
        <v/>
      </c>
      <c r="U1823" s="1348"/>
      <c r="V1823" s="1348"/>
      <c r="W1823" s="1348"/>
      <c r="X1823" s="1348"/>
      <c r="Y1823" s="1348"/>
      <c r="Z1823" s="134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51" t="s">
        <v>1994</v>
      </c>
      <c r="G1824" s="1351" t="str">
        <f>IF(T1824&lt;&gt;"","H","")</f>
        <v/>
      </c>
      <c r="H1824" s="1351" t="s">
        <v>1991</v>
      </c>
      <c r="I1824" s="1307"/>
      <c r="J1824" s="1351"/>
      <c r="K1824" s="1351"/>
      <c r="L1824" s="852"/>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51" t="s">
        <v>1996</v>
      </c>
      <c r="G1825" s="1351" t="str">
        <f>IF(T1825&lt;&gt;"","G","")</f>
        <v/>
      </c>
      <c r="H1825" s="1351" t="s">
        <v>1991</v>
      </c>
      <c r="I1825" s="1307"/>
      <c r="J1825" s="1351"/>
      <c r="K1825" s="1351"/>
      <c r="L1825" s="852"/>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51" t="s">
        <v>1994</v>
      </c>
      <c r="G1826" s="1351" t="str">
        <f>IF(T1826&lt;&gt;"","H","")</f>
        <v/>
      </c>
      <c r="H1826" s="1351" t="s">
        <v>1991</v>
      </c>
      <c r="I1826" s="1307"/>
      <c r="J1826" s="1351"/>
      <c r="K1826" s="1351"/>
      <c r="L1826" s="852"/>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51" t="s">
        <v>1996</v>
      </c>
      <c r="G1827" s="1351" t="str">
        <f>IF(T1827&lt;&gt;"","G","")</f>
        <v/>
      </c>
      <c r="H1827" s="1351" t="s">
        <v>1991</v>
      </c>
      <c r="I1827" s="1307"/>
      <c r="J1827" s="1351"/>
      <c r="K1827" s="1351"/>
      <c r="L1827" s="852"/>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51" t="s">
        <v>1994</v>
      </c>
      <c r="G1828" s="1351" t="str">
        <f>IF(T1828&lt;&gt;"","H","")</f>
        <v/>
      </c>
      <c r="H1828" s="1351" t="s">
        <v>1991</v>
      </c>
      <c r="I1828" s="1307"/>
      <c r="J1828" s="1351"/>
      <c r="K1828" s="1351"/>
      <c r="L1828" s="852"/>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51" t="s">
        <v>1995</v>
      </c>
      <c r="G1829" s="1351" t="str">
        <f>IF(T1829&lt;&gt;"","F","")</f>
        <v/>
      </c>
      <c r="H1829" s="1351" t="s">
        <v>1991</v>
      </c>
      <c r="I1829" s="1307" t="str">
        <f t="shared" ref="I1829:I1831" si="275">IF(J1829&lt;&gt;"",A1829,"")</f>
        <v/>
      </c>
      <c r="J1829" s="1351"/>
      <c r="K1829" s="1351" t="str">
        <f t="shared" ref="K1829:K1831" si="276">IF(J1829&lt;&gt;"",E1829,"")</f>
        <v/>
      </c>
      <c r="L1829" s="852"/>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51" t="s">
        <v>1994</v>
      </c>
      <c r="G1830" s="1351" t="str">
        <f>IF(T1830&lt;&gt;"","H","")</f>
        <v/>
      </c>
      <c r="H1830" s="1351" t="s">
        <v>1991</v>
      </c>
      <c r="I1830" s="1307"/>
      <c r="J1830" s="1351"/>
      <c r="K1830" s="1351"/>
      <c r="L1830" s="852"/>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51" t="s">
        <v>1995</v>
      </c>
      <c r="G1831" s="1351" t="str">
        <f>IF(T1831&lt;&gt;"","F","")</f>
        <v/>
      </c>
      <c r="H1831" s="1351" t="s">
        <v>1991</v>
      </c>
      <c r="I1831" s="1307" t="str">
        <f t="shared" si="275"/>
        <v/>
      </c>
      <c r="J1831" s="1351"/>
      <c r="K1831" s="1351" t="str">
        <f t="shared" si="276"/>
        <v/>
      </c>
      <c r="L1831" s="852"/>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51" t="s">
        <v>1992</v>
      </c>
      <c r="G1832" s="1351" t="str">
        <f>IF(T1832&lt;&gt;"","E","")</f>
        <v/>
      </c>
      <c r="H1832" s="1351" t="s">
        <v>1991</v>
      </c>
      <c r="I1832" s="1307"/>
      <c r="J1832" s="1351"/>
      <c r="K1832" s="1351"/>
      <c r="L1832" s="852"/>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51" t="s">
        <v>1994</v>
      </c>
      <c r="G1833" s="1351" t="str">
        <f>IF(T1833&lt;&gt;"","H","")</f>
        <v/>
      </c>
      <c r="H1833" s="1351" t="s">
        <v>1991</v>
      </c>
      <c r="I1833" s="1307"/>
      <c r="J1833" s="1351"/>
      <c r="K1833" s="1351"/>
      <c r="L1833" s="852"/>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51" t="s">
        <v>1996</v>
      </c>
      <c r="G1834" s="1351" t="str">
        <f>IF(T1834&lt;&gt;"","G","")</f>
        <v/>
      </c>
      <c r="H1834" s="1351" t="s">
        <v>1991</v>
      </c>
      <c r="I1834" s="1307"/>
      <c r="J1834" s="1351"/>
      <c r="K1834" s="1351"/>
      <c r="L1834" s="852"/>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51" t="s">
        <v>1992</v>
      </c>
      <c r="G1835" s="1351" t="str">
        <f>IF(T1835&lt;&gt;"","E","")</f>
        <v/>
      </c>
      <c r="H1835" s="1351" t="s">
        <v>1991</v>
      </c>
      <c r="I1835" s="1307"/>
      <c r="J1835" s="1351"/>
      <c r="K1835" s="1351"/>
      <c r="L1835" s="852"/>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51" t="s">
        <v>1994</v>
      </c>
      <c r="G1836" s="1351" t="str">
        <f>IF(T1836&lt;&gt;"","H","")</f>
        <v/>
      </c>
      <c r="H1836" s="1351" t="s">
        <v>1991</v>
      </c>
      <c r="I1836" s="1307"/>
      <c r="J1836" s="1351"/>
      <c r="K1836" s="1351"/>
      <c r="L1836" s="852"/>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51" t="s">
        <v>1996</v>
      </c>
      <c r="G1837" s="1351" t="str">
        <f>IF(T1837&lt;&gt;"","G","")</f>
        <v/>
      </c>
      <c r="H1837" s="1351" t="s">
        <v>1991</v>
      </c>
      <c r="I1837" s="1307"/>
      <c r="J1837" s="1351"/>
      <c r="K1837" s="1351"/>
      <c r="L1837" s="852"/>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51" t="s">
        <v>1994</v>
      </c>
      <c r="G1838" s="1351" t="str">
        <f>IF(T1838&lt;&gt;"","H","")</f>
        <v/>
      </c>
      <c r="H1838" s="1351" t="s">
        <v>1991</v>
      </c>
      <c r="I1838" s="1307"/>
      <c r="J1838" s="1351"/>
      <c r="K1838" s="1351"/>
      <c r="L1838" s="852"/>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51" t="s">
        <v>1992</v>
      </c>
      <c r="G1839" s="1351" t="str">
        <f>IF(T1839&lt;&gt;"","E","")</f>
        <v/>
      </c>
      <c r="H1839" s="1351" t="s">
        <v>1991</v>
      </c>
      <c r="I1839" s="1307"/>
      <c r="J1839" s="1351"/>
      <c r="K1839" s="1351"/>
      <c r="L1839" s="852"/>
      <c r="M1839" s="1366"/>
      <c r="N1839" s="1351"/>
      <c r="O1839" s="1348"/>
      <c r="P1839" s="1348"/>
      <c r="Q1839" s="1348"/>
      <c r="R1839" s="1351" t="s">
        <v>1701</v>
      </c>
      <c r="S1839" s="1348"/>
      <c r="T1839" s="1351" t="str">
        <f t="shared" ref="T1839" si="281">IF(Q$1069="Yes",28,"")</f>
        <v/>
      </c>
      <c r="U1839" s="1348"/>
      <c r="V1839" s="1348"/>
      <c r="W1839" s="1348"/>
      <c r="X1839" s="1348"/>
      <c r="Y1839" s="1348"/>
      <c r="Z1839" s="134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51" t="s">
        <v>1525</v>
      </c>
      <c r="G1840" s="1351" t="str">
        <f>IF(T1840&lt;&gt;"","M","")</f>
        <v/>
      </c>
      <c r="H1840" s="1351" t="s">
        <v>1991</v>
      </c>
      <c r="I1840" s="1307"/>
      <c r="J1840" s="1351"/>
      <c r="K1840" s="1351" t="str">
        <f t="shared" ref="K1840:K1843" si="282">IF(J1840&lt;&gt;"",E1840,"")</f>
        <v/>
      </c>
      <c r="L1840" s="852"/>
      <c r="M1840" s="1366"/>
      <c r="N1840" s="1351"/>
      <c r="O1840" s="1348"/>
      <c r="P1840" s="1348"/>
      <c r="Q1840" s="1348"/>
      <c r="R1840" s="1351" t="s">
        <v>1526</v>
      </c>
      <c r="S1840" s="1348"/>
      <c r="T1840" s="1351" t="str">
        <f>IF(Q$670="Yes",7,"")</f>
        <v/>
      </c>
      <c r="U1840" s="1348"/>
      <c r="V1840" s="1348"/>
      <c r="W1840" s="1348"/>
      <c r="X1840" s="1348"/>
      <c r="Y1840" s="1348"/>
      <c r="Z1840" s="134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51" t="s">
        <v>1525</v>
      </c>
      <c r="G1841" s="1351" t="str">
        <f>IF(T1841&lt;&gt;"","M","")</f>
        <v/>
      </c>
      <c r="H1841" s="1351" t="s">
        <v>1991</v>
      </c>
      <c r="I1841" s="1307" t="str">
        <f t="shared" ref="I1841" si="283">IF(J1841&lt;&gt;"",A1841,"")</f>
        <v/>
      </c>
      <c r="J1841" s="1351"/>
      <c r="K1841" s="1351" t="str">
        <f t="shared" si="282"/>
        <v/>
      </c>
      <c r="L1841" s="852"/>
      <c r="M1841" s="1366"/>
      <c r="N1841" s="1351"/>
      <c r="O1841" s="1348"/>
      <c r="P1841" s="1348"/>
      <c r="Q1841" s="1348"/>
      <c r="R1841" s="1351" t="s">
        <v>1526</v>
      </c>
      <c r="S1841" s="1348"/>
      <c r="T1841" s="1351" t="str">
        <f>IF(Q$688="Yes",8,"")</f>
        <v/>
      </c>
      <c r="U1841" s="1348"/>
      <c r="V1841" s="1348"/>
      <c r="W1841" s="1348"/>
      <c r="X1841" s="1348"/>
      <c r="Y1841" s="1348"/>
      <c r="Z1841" s="134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51" t="s">
        <v>1525</v>
      </c>
      <c r="G1842" s="1351" t="str">
        <f>IF(T1842&lt;&gt;"","M","")</f>
        <v/>
      </c>
      <c r="H1842" s="1351" t="s">
        <v>1991</v>
      </c>
      <c r="I1842" s="1307"/>
      <c r="J1842" s="1351"/>
      <c r="K1842" s="1351" t="str">
        <f t="shared" si="282"/>
        <v/>
      </c>
      <c r="L1842" s="852"/>
      <c r="M1842" s="1366"/>
      <c r="N1842" s="1351"/>
      <c r="O1842" s="1348"/>
      <c r="P1842" s="1348"/>
      <c r="Q1842" s="1348"/>
      <c r="R1842" s="1351" t="s">
        <v>1526</v>
      </c>
      <c r="S1842" s="1348"/>
      <c r="T1842" s="1351" t="str">
        <f>IF(Q$706="Yes",9,"")</f>
        <v/>
      </c>
      <c r="U1842" s="1348"/>
      <c r="V1842" s="1348"/>
      <c r="W1842" s="1348"/>
      <c r="X1842" s="1348"/>
      <c r="Y1842" s="1348"/>
      <c r="Z1842" s="134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51" t="s">
        <v>1525</v>
      </c>
      <c r="G1843" s="1351" t="str">
        <f>IF(T1843&lt;&gt;"","M","")</f>
        <v/>
      </c>
      <c r="H1843" s="1351" t="s">
        <v>1991</v>
      </c>
      <c r="I1843" s="1307" t="str">
        <f t="shared" ref="I1843" si="284">IF(J1843&lt;&gt;"",A1843,"")</f>
        <v/>
      </c>
      <c r="J1843" s="1351"/>
      <c r="K1843" s="1351" t="str">
        <f t="shared" si="282"/>
        <v/>
      </c>
      <c r="L1843" s="852"/>
      <c r="M1843" s="1366"/>
      <c r="N1843" s="1351"/>
      <c r="O1843" s="1348"/>
      <c r="P1843" s="1348"/>
      <c r="Q1843" s="1348"/>
      <c r="R1843" s="1351" t="s">
        <v>1526</v>
      </c>
      <c r="S1843" s="1348"/>
      <c r="T1843" s="1351" t="str">
        <f>IF(Q$736="Yes",10,"")</f>
        <v/>
      </c>
      <c r="U1843" s="1348"/>
      <c r="V1843" s="1348"/>
      <c r="W1843" s="1348"/>
      <c r="X1843" s="1348"/>
      <c r="Y1843" s="1348"/>
      <c r="Z1843" s="134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51" t="s">
        <v>1999</v>
      </c>
      <c r="G1844" s="1351" t="str">
        <f>IF(T1844&lt;&gt;"","N","")</f>
        <v/>
      </c>
      <c r="H1844" s="1351" t="s">
        <v>1991</v>
      </c>
      <c r="I1844" s="1307"/>
      <c r="J1844" s="1351"/>
      <c r="K1844" s="1351"/>
      <c r="L1844" s="852"/>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51" t="s">
        <v>1999</v>
      </c>
      <c r="G1845" s="1351" t="str">
        <f t="shared" ref="G1845:G1866" si="286">IF(T1845&lt;&gt;"","N","")</f>
        <v/>
      </c>
      <c r="H1845" s="1351" t="s">
        <v>1991</v>
      </c>
      <c r="I1845" s="1307"/>
      <c r="J1845" s="1351"/>
      <c r="K1845" s="1351"/>
      <c r="L1845" s="852"/>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51" t="s">
        <v>1999</v>
      </c>
      <c r="G1846" s="1351" t="str">
        <f t="shared" si="286"/>
        <v/>
      </c>
      <c r="H1846" s="1351" t="s">
        <v>1991</v>
      </c>
      <c r="I1846" s="1307"/>
      <c r="J1846" s="1351"/>
      <c r="K1846" s="1351"/>
      <c r="L1846" s="852"/>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51" t="s">
        <v>1999</v>
      </c>
      <c r="G1847" s="1351" t="str">
        <f t="shared" si="286"/>
        <v/>
      </c>
      <c r="H1847" s="1351" t="s">
        <v>1991</v>
      </c>
      <c r="I1847" s="1307"/>
      <c r="J1847" s="1351"/>
      <c r="K1847" s="1351"/>
      <c r="L1847" s="852"/>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51" t="s">
        <v>1999</v>
      </c>
      <c r="G1848" s="1351" t="str">
        <f t="shared" si="286"/>
        <v/>
      </c>
      <c r="H1848" s="1351" t="s">
        <v>1991</v>
      </c>
      <c r="I1848" s="1307"/>
      <c r="J1848" s="1351"/>
      <c r="K1848" s="1351"/>
      <c r="L1848" s="852"/>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51" t="s">
        <v>1999</v>
      </c>
      <c r="G1849" s="1351" t="str">
        <f t="shared" si="286"/>
        <v/>
      </c>
      <c r="H1849" s="1351" t="s">
        <v>1991</v>
      </c>
      <c r="I1849" s="1307"/>
      <c r="J1849" s="1351"/>
      <c r="K1849" s="1351"/>
      <c r="L1849" s="852"/>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51" t="s">
        <v>1999</v>
      </c>
      <c r="G1850" s="1351" t="str">
        <f t="shared" si="286"/>
        <v/>
      </c>
      <c r="H1850" s="1351" t="s">
        <v>1991</v>
      </c>
      <c r="I1850" s="1307"/>
      <c r="J1850" s="1351"/>
      <c r="K1850" s="1351"/>
      <c r="L1850" s="852"/>
      <c r="M1850" s="1366"/>
      <c r="N1850" s="1351"/>
      <c r="O1850" s="1348"/>
      <c r="P1850" s="1348"/>
      <c r="Q1850" s="1348"/>
      <c r="R1850" s="1351" t="s">
        <v>1526</v>
      </c>
      <c r="S1850" s="1348"/>
      <c r="T1850" s="1351" t="str">
        <f>IF(Q$670="Yes",7,"")</f>
        <v/>
      </c>
      <c r="U1850" s="1348"/>
      <c r="V1850" s="1348"/>
      <c r="W1850" s="1348"/>
      <c r="X1850" s="1348"/>
      <c r="Y1850" s="1348"/>
      <c r="Z1850" s="134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51" t="s">
        <v>1999</v>
      </c>
      <c r="G1851" s="1351" t="str">
        <f t="shared" si="286"/>
        <v/>
      </c>
      <c r="H1851" s="1351" t="s">
        <v>1991</v>
      </c>
      <c r="I1851" s="1307"/>
      <c r="J1851" s="1351"/>
      <c r="K1851" s="1351"/>
      <c r="L1851" s="852"/>
      <c r="M1851" s="1366"/>
      <c r="N1851" s="1351"/>
      <c r="O1851" s="1348"/>
      <c r="P1851" s="1348"/>
      <c r="Q1851" s="1348"/>
      <c r="R1851" s="1351" t="s">
        <v>1526</v>
      </c>
      <c r="S1851" s="1348"/>
      <c r="T1851" s="1351" t="str">
        <f>IF(Q$688="Yes",8,"")</f>
        <v/>
      </c>
      <c r="U1851" s="1348"/>
      <c r="V1851" s="1348"/>
      <c r="W1851" s="1348"/>
      <c r="X1851" s="1348"/>
      <c r="Y1851" s="1348"/>
      <c r="Z1851" s="134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51" t="s">
        <v>1999</v>
      </c>
      <c r="G1852" s="1351" t="str">
        <f t="shared" si="286"/>
        <v/>
      </c>
      <c r="H1852" s="1351" t="s">
        <v>1991</v>
      </c>
      <c r="I1852" s="1307"/>
      <c r="J1852" s="1351"/>
      <c r="K1852" s="1351"/>
      <c r="L1852" s="852"/>
      <c r="M1852" s="1366"/>
      <c r="N1852" s="1351"/>
      <c r="O1852" s="1348"/>
      <c r="P1852" s="1348"/>
      <c r="Q1852" s="1348"/>
      <c r="R1852" s="1351" t="s">
        <v>1526</v>
      </c>
      <c r="S1852" s="1348"/>
      <c r="T1852" s="1351" t="str">
        <f>IF(Q$706="Yes",9,"")</f>
        <v/>
      </c>
      <c r="U1852" s="1348"/>
      <c r="V1852" s="1348"/>
      <c r="W1852" s="1348"/>
      <c r="X1852" s="1348"/>
      <c r="Y1852" s="1348"/>
      <c r="Z1852" s="134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51" t="s">
        <v>1999</v>
      </c>
      <c r="G1853" s="1351" t="str">
        <f t="shared" si="286"/>
        <v/>
      </c>
      <c r="H1853" s="1351" t="s">
        <v>1991</v>
      </c>
      <c r="I1853" s="1307"/>
      <c r="J1853" s="1351"/>
      <c r="K1853" s="1351"/>
      <c r="L1853" s="852"/>
      <c r="M1853" s="1366"/>
      <c r="N1853" s="1351"/>
      <c r="O1853" s="1348"/>
      <c r="P1853" s="1348"/>
      <c r="Q1853" s="1348"/>
      <c r="R1853" s="1351" t="s">
        <v>1526</v>
      </c>
      <c r="S1853" s="1348"/>
      <c r="T1853" s="1351" t="str">
        <f>IF(Q$736="Yes",10,"")</f>
        <v/>
      </c>
      <c r="U1853" s="1348"/>
      <c r="V1853" s="1348"/>
      <c r="W1853" s="1348"/>
      <c r="X1853" s="1348"/>
      <c r="Y1853" s="1348"/>
      <c r="Z1853" s="134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51" t="s">
        <v>1999</v>
      </c>
      <c r="G1854" s="1351" t="str">
        <f t="shared" si="286"/>
        <v/>
      </c>
      <c r="H1854" s="1351" t="s">
        <v>1991</v>
      </c>
      <c r="I1854" s="1307"/>
      <c r="J1854" s="1351"/>
      <c r="K1854" s="1351"/>
      <c r="L1854" s="852"/>
      <c r="M1854" s="1366"/>
      <c r="N1854" s="1351"/>
      <c r="O1854" s="1348"/>
      <c r="P1854" s="1348"/>
      <c r="Q1854" s="1348"/>
      <c r="R1854" s="1351" t="s">
        <v>1532</v>
      </c>
      <c r="S1854" s="1348"/>
      <c r="T1854" s="1351" t="str">
        <f>IF(Q$766="Yes",11,"")</f>
        <v/>
      </c>
      <c r="U1854" s="1348"/>
      <c r="V1854" s="1348"/>
      <c r="W1854" s="1348"/>
      <c r="X1854" s="1348"/>
      <c r="Y1854" s="1348"/>
      <c r="Z1854" s="134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51" t="s">
        <v>1999</v>
      </c>
      <c r="G1855" s="1351" t="str">
        <f t="shared" si="286"/>
        <v/>
      </c>
      <c r="H1855" s="1351" t="s">
        <v>1991</v>
      </c>
      <c r="I1855" s="1307"/>
      <c r="J1855" s="1351"/>
      <c r="K1855" s="1351"/>
      <c r="L1855" s="852"/>
      <c r="M1855" s="1366"/>
      <c r="N1855" s="1351"/>
      <c r="O1855" s="1348"/>
      <c r="P1855" s="1348"/>
      <c r="Q1855" s="1348"/>
      <c r="R1855" s="1351" t="s">
        <v>1532</v>
      </c>
      <c r="S1855" s="1348"/>
      <c r="T1855" s="1351" t="str">
        <f>IF(Q$781="Yes",12,"")</f>
        <v/>
      </c>
      <c r="U1855" s="1348"/>
      <c r="V1855" s="1348"/>
      <c r="W1855" s="1348"/>
      <c r="X1855" s="1348"/>
      <c r="Y1855" s="1348"/>
      <c r="Z1855" s="134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51" t="s">
        <v>1999</v>
      </c>
      <c r="G1856" s="1351" t="str">
        <f t="shared" si="286"/>
        <v/>
      </c>
      <c r="H1856" s="1351" t="s">
        <v>1991</v>
      </c>
      <c r="I1856" s="1307"/>
      <c r="J1856" s="1351"/>
      <c r="K1856" s="1351"/>
      <c r="L1856" s="852"/>
      <c r="M1856" s="1366"/>
      <c r="N1856" s="1351"/>
      <c r="O1856" s="1348"/>
      <c r="P1856" s="1348"/>
      <c r="Q1856" s="1348"/>
      <c r="R1856" s="1351" t="s">
        <v>1532</v>
      </c>
      <c r="S1856" s="1348"/>
      <c r="T1856" s="1351" t="str">
        <f>IF(Q$796="Yes",13,"")</f>
        <v/>
      </c>
      <c r="U1856" s="1348"/>
      <c r="V1856" s="1348"/>
      <c r="W1856" s="1348"/>
      <c r="X1856" s="1348"/>
      <c r="Y1856" s="1348"/>
      <c r="Z1856" s="134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51" t="s">
        <v>1999</v>
      </c>
      <c r="G1857" s="1351" t="str">
        <f t="shared" si="286"/>
        <v/>
      </c>
      <c r="H1857" s="1351" t="s">
        <v>1991</v>
      </c>
      <c r="I1857" s="1307"/>
      <c r="J1857" s="1351"/>
      <c r="K1857" s="1351"/>
      <c r="L1857" s="852"/>
      <c r="M1857" s="1366"/>
      <c r="N1857" s="1351"/>
      <c r="O1857" s="1348"/>
      <c r="P1857" s="1348"/>
      <c r="Q1857" s="1348"/>
      <c r="R1857" s="1351" t="s">
        <v>1532</v>
      </c>
      <c r="S1857" s="1348"/>
      <c r="T1857" s="1351" t="str">
        <f>IF(Q$814="Yes",14,"")</f>
        <v/>
      </c>
      <c r="U1857" s="1348"/>
      <c r="V1857" s="1348"/>
      <c r="W1857" s="1348"/>
      <c r="X1857" s="1348"/>
      <c r="Y1857" s="1348"/>
      <c r="Z1857" s="134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51" t="s">
        <v>1999</v>
      </c>
      <c r="G1858" s="1351" t="str">
        <f t="shared" si="286"/>
        <v/>
      </c>
      <c r="H1858" s="1351" t="s">
        <v>1991</v>
      </c>
      <c r="I1858" s="1307"/>
      <c r="J1858" s="1351"/>
      <c r="K1858" s="1351"/>
      <c r="L1858" s="852"/>
      <c r="M1858" s="1366"/>
      <c r="N1858" s="1351"/>
      <c r="O1858" s="1348"/>
      <c r="P1858" s="1348"/>
      <c r="Q1858" s="1348"/>
      <c r="R1858" s="1351" t="s">
        <v>1532</v>
      </c>
      <c r="S1858" s="1348"/>
      <c r="T1858" s="1351" t="str">
        <f>IF(Q$832="Yes",15,"")</f>
        <v/>
      </c>
      <c r="U1858" s="1348"/>
      <c r="V1858" s="1348"/>
      <c r="W1858" s="1348"/>
      <c r="X1858" s="1348"/>
      <c r="Y1858" s="1348"/>
      <c r="Z1858" s="134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51" t="s">
        <v>1999</v>
      </c>
      <c r="G1859" s="1351" t="str">
        <f t="shared" si="286"/>
        <v/>
      </c>
      <c r="H1859" s="1351" t="s">
        <v>1991</v>
      </c>
      <c r="I1859" s="1307"/>
      <c r="J1859" s="1351"/>
      <c r="K1859" s="1351"/>
      <c r="L1859" s="852"/>
      <c r="M1859" s="1366"/>
      <c r="N1859" s="1351"/>
      <c r="O1859" s="1348"/>
      <c r="P1859" s="1348"/>
      <c r="Q1859" s="1348"/>
      <c r="R1859" s="1351" t="s">
        <v>1532</v>
      </c>
      <c r="S1859" s="1348"/>
      <c r="T1859" s="1351" t="str">
        <f>IF(Q$862="Yes",16,"")</f>
        <v/>
      </c>
      <c r="U1859" s="1348"/>
      <c r="V1859" s="1348"/>
      <c r="W1859" s="1348"/>
      <c r="X1859" s="1348"/>
      <c r="Y1859" s="1348"/>
      <c r="Z1859" s="134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51" t="s">
        <v>1999</v>
      </c>
      <c r="G1860" s="1351" t="str">
        <f t="shared" si="286"/>
        <v/>
      </c>
      <c r="H1860" s="1351" t="s">
        <v>1991</v>
      </c>
      <c r="I1860" s="1307"/>
      <c r="J1860" s="1351"/>
      <c r="K1860" s="1351"/>
      <c r="L1860" s="852"/>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51" t="s">
        <v>1999</v>
      </c>
      <c r="G1861" s="1351" t="str">
        <f t="shared" si="286"/>
        <v/>
      </c>
      <c r="H1861" s="1351" t="s">
        <v>1991</v>
      </c>
      <c r="I1861" s="1307"/>
      <c r="J1861" s="1351"/>
      <c r="K1861" s="1351"/>
      <c r="L1861" s="852"/>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51" t="s">
        <v>1999</v>
      </c>
      <c r="G1862" s="1351" t="str">
        <f t="shared" si="286"/>
        <v/>
      </c>
      <c r="H1862" s="1351" t="s">
        <v>1991</v>
      </c>
      <c r="I1862" s="1307"/>
      <c r="J1862" s="1351"/>
      <c r="K1862" s="1351"/>
      <c r="L1862" s="852"/>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51" t="s">
        <v>1999</v>
      </c>
      <c r="G1863" s="1351" t="str">
        <f t="shared" si="286"/>
        <v/>
      </c>
      <c r="H1863" s="1351" t="s">
        <v>1991</v>
      </c>
      <c r="I1863" s="1307"/>
      <c r="J1863" s="1351"/>
      <c r="K1863" s="1351"/>
      <c r="L1863" s="852"/>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51" t="s">
        <v>1999</v>
      </c>
      <c r="G1864" s="1351" t="str">
        <f t="shared" si="286"/>
        <v/>
      </c>
      <c r="H1864" s="1351" t="s">
        <v>1991</v>
      </c>
      <c r="I1864" s="1307"/>
      <c r="J1864" s="1351"/>
      <c r="K1864" s="1351"/>
      <c r="L1864" s="852"/>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51" t="s">
        <v>1999</v>
      </c>
      <c r="G1865" s="1351" t="str">
        <f t="shared" si="286"/>
        <v/>
      </c>
      <c r="H1865" s="1351" t="s">
        <v>1991</v>
      </c>
      <c r="I1865" s="1307"/>
      <c r="J1865" s="1351"/>
      <c r="K1865" s="1351"/>
      <c r="L1865" s="852"/>
      <c r="M1865" s="1366"/>
      <c r="N1865" s="1351"/>
      <c r="O1865" s="1348"/>
      <c r="P1865" s="1348"/>
      <c r="Q1865" s="1348"/>
      <c r="R1865" s="1351" t="s">
        <v>1697</v>
      </c>
      <c r="S1865" s="1348"/>
      <c r="T1865" s="1351" t="str">
        <f>IF(Q$987="Yes",22,"")</f>
        <v/>
      </c>
      <c r="U1865" s="1348"/>
      <c r="V1865" s="1348"/>
      <c r="W1865" s="1348"/>
      <c r="X1865" s="1348"/>
      <c r="Y1865" s="1348"/>
      <c r="Z1865" s="134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51" t="s">
        <v>1999</v>
      </c>
      <c r="G1866" s="1351" t="str">
        <f t="shared" si="286"/>
        <v/>
      </c>
      <c r="H1866" s="1351" t="s">
        <v>1991</v>
      </c>
      <c r="I1866" s="1307"/>
      <c r="J1866" s="1351"/>
      <c r="K1866" s="1351"/>
      <c r="L1866" s="852"/>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51" t="s">
        <v>1509</v>
      </c>
      <c r="G1867" s="1351" t="str">
        <f>IF(T1867&lt;&gt;"","P","")</f>
        <v/>
      </c>
      <c r="H1867" s="1351" t="s">
        <v>1991</v>
      </c>
      <c r="I1867" s="1307"/>
      <c r="J1867" s="1351"/>
      <c r="K1867" s="1351"/>
      <c r="L1867" s="852"/>
      <c r="M1867" s="1366"/>
      <c r="N1867" s="1351"/>
      <c r="O1867" s="1348"/>
      <c r="P1867" s="1348"/>
      <c r="Q1867" s="1348"/>
      <c r="R1867" s="1351" t="s">
        <v>1532</v>
      </c>
      <c r="S1867" s="1348"/>
      <c r="T1867" s="1351" t="str">
        <f>IF(Q$796="Yes",13,"")</f>
        <v/>
      </c>
      <c r="U1867" s="1348"/>
      <c r="V1867" s="1348"/>
      <c r="W1867" s="1348"/>
      <c r="X1867" s="1348"/>
      <c r="Y1867" s="1348"/>
      <c r="Z1867" s="134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51" t="s">
        <v>1509</v>
      </c>
      <c r="G1868" s="1351" t="str">
        <f t="shared" ref="G1868:G1871" si="290">IF(T1868&lt;&gt;"","P","")</f>
        <v/>
      </c>
      <c r="H1868" s="1351" t="s">
        <v>1991</v>
      </c>
      <c r="I1868" s="1307"/>
      <c r="J1868" s="1351"/>
      <c r="K1868" s="1351"/>
      <c r="L1868" s="852"/>
      <c r="M1868" s="1366"/>
      <c r="N1868" s="1351"/>
      <c r="O1868" s="1348"/>
      <c r="P1868" s="1348"/>
      <c r="Q1868" s="1348"/>
      <c r="R1868" s="1351" t="s">
        <v>1532</v>
      </c>
      <c r="S1868" s="1348"/>
      <c r="T1868" s="1351" t="str">
        <f>IF(Q$814="Yes",14,"")</f>
        <v/>
      </c>
      <c r="U1868" s="1348"/>
      <c r="V1868" s="1348"/>
      <c r="W1868" s="1348"/>
      <c r="X1868" s="1348"/>
      <c r="Y1868" s="1348"/>
      <c r="Z1868" s="134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51" t="s">
        <v>1509</v>
      </c>
      <c r="G1869" s="1351" t="str">
        <f t="shared" si="290"/>
        <v/>
      </c>
      <c r="H1869" s="1351" t="s">
        <v>1991</v>
      </c>
      <c r="I1869" s="1307"/>
      <c r="J1869" s="1351"/>
      <c r="K1869" s="1351"/>
      <c r="L1869" s="852"/>
      <c r="M1869" s="1366"/>
      <c r="N1869" s="1351"/>
      <c r="O1869" s="1348"/>
      <c r="P1869" s="1348"/>
      <c r="Q1869" s="1348"/>
      <c r="R1869" s="1351" t="s">
        <v>1532</v>
      </c>
      <c r="S1869" s="1348"/>
      <c r="T1869" s="1351" t="str">
        <f>IF(Q$832="Yes",15,"")</f>
        <v/>
      </c>
      <c r="U1869" s="1348"/>
      <c r="V1869" s="1348"/>
      <c r="W1869" s="1348"/>
      <c r="X1869" s="1348"/>
      <c r="Y1869" s="1348"/>
      <c r="Z1869" s="134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51" t="s">
        <v>1509</v>
      </c>
      <c r="G1870" s="1351" t="str">
        <f t="shared" si="290"/>
        <v/>
      </c>
      <c r="H1870" s="1351" t="s">
        <v>1991</v>
      </c>
      <c r="I1870" s="1307"/>
      <c r="J1870" s="1351"/>
      <c r="K1870" s="1351"/>
      <c r="L1870" s="852"/>
      <c r="M1870" s="1366"/>
      <c r="N1870" s="1351"/>
      <c r="O1870" s="1348"/>
      <c r="P1870" s="1348"/>
      <c r="Q1870" s="1348"/>
      <c r="R1870" s="1351" t="s">
        <v>1532</v>
      </c>
      <c r="S1870" s="1348"/>
      <c r="T1870" s="1351" t="str">
        <f>IF(Q$862="Yes",16,"")</f>
        <v/>
      </c>
      <c r="U1870" s="1348"/>
      <c r="V1870" s="1348"/>
      <c r="W1870" s="1348"/>
      <c r="X1870" s="1348"/>
      <c r="Y1870" s="1348"/>
      <c r="Z1870" s="134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51" t="s">
        <v>1509</v>
      </c>
      <c r="G1871" s="1351" t="str">
        <f t="shared" si="290"/>
        <v/>
      </c>
      <c r="H1871" s="1351" t="s">
        <v>1991</v>
      </c>
      <c r="I1871" s="1307"/>
      <c r="J1871" s="1351"/>
      <c r="K1871" s="1351"/>
      <c r="L1871" s="852"/>
      <c r="M1871" s="1366"/>
      <c r="N1871" s="1351"/>
      <c r="O1871" s="1348"/>
      <c r="P1871" s="1348"/>
      <c r="Q1871" s="1348"/>
      <c r="R1871" s="1351" t="s">
        <v>1697</v>
      </c>
      <c r="S1871" s="1348"/>
      <c r="T1871" s="1351" t="str">
        <f>IF(Q$987="Yes",22,"")</f>
        <v/>
      </c>
      <c r="U1871" s="1348"/>
      <c r="V1871" s="1348"/>
      <c r="W1871" s="1348"/>
      <c r="X1871" s="1348"/>
      <c r="Y1871" s="1348"/>
      <c r="Z1871" s="134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51" t="s">
        <v>1508</v>
      </c>
      <c r="G1872" s="1351" t="str">
        <f>IF(T1872&lt;&gt;"","Q","")</f>
        <v/>
      </c>
      <c r="H1872" s="1351" t="s">
        <v>1991</v>
      </c>
      <c r="I1872" s="1307" t="str">
        <f t="shared" ref="I1872:I1880" si="291">IF(J1872&lt;&gt;"",A1872,"")</f>
        <v/>
      </c>
      <c r="J1872" s="1351"/>
      <c r="K1872" s="1351" t="str">
        <f t="shared" ref="K1872:K1880" si="292">IF(J1872&lt;&gt;"",E1872,"")</f>
        <v/>
      </c>
      <c r="L1872" s="852"/>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51" t="s">
        <v>1508</v>
      </c>
      <c r="G1873" s="1351" t="str">
        <f t="shared" ref="G1873:G1885" si="293">IF(T1873&lt;&gt;"","Q","")</f>
        <v/>
      </c>
      <c r="H1873" s="1351" t="s">
        <v>1991</v>
      </c>
      <c r="I1873" s="1307" t="str">
        <f t="shared" si="291"/>
        <v/>
      </c>
      <c r="J1873" s="1351"/>
      <c r="K1873" s="1351" t="str">
        <f t="shared" si="292"/>
        <v/>
      </c>
      <c r="L1873" s="852"/>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51" t="s">
        <v>1508</v>
      </c>
      <c r="G1874" s="1351" t="str">
        <f t="shared" si="293"/>
        <v/>
      </c>
      <c r="H1874" s="1351" t="s">
        <v>1991</v>
      </c>
      <c r="I1874" s="1307" t="str">
        <f t="shared" si="291"/>
        <v/>
      </c>
      <c r="J1874" s="1351" t="str">
        <f t="shared" ref="J1874:J1880" si="294">IF(M1874&lt;&gt;"",Q$1&amp;M1874,"")</f>
        <v/>
      </c>
      <c r="K1874" s="1351" t="str">
        <f t="shared" si="292"/>
        <v/>
      </c>
      <c r="L1874" s="852"/>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51" t="s">
        <v>1508</v>
      </c>
      <c r="G1875" s="1351" t="str">
        <f t="shared" si="293"/>
        <v/>
      </c>
      <c r="H1875" s="1351" t="s">
        <v>1991</v>
      </c>
      <c r="I1875" s="1307" t="str">
        <f t="shared" si="291"/>
        <v/>
      </c>
      <c r="J1875" s="1351" t="str">
        <f t="shared" si="294"/>
        <v/>
      </c>
      <c r="K1875" s="1351" t="str">
        <f t="shared" si="292"/>
        <v/>
      </c>
      <c r="L1875" s="852"/>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51" t="s">
        <v>1508</v>
      </c>
      <c r="G1876" s="1351" t="str">
        <f t="shared" si="293"/>
        <v/>
      </c>
      <c r="H1876" s="1351" t="s">
        <v>1991</v>
      </c>
      <c r="I1876" s="1307" t="str">
        <f t="shared" si="291"/>
        <v/>
      </c>
      <c r="J1876" s="1351" t="str">
        <f t="shared" si="294"/>
        <v/>
      </c>
      <c r="K1876" s="1351" t="str">
        <f t="shared" si="292"/>
        <v/>
      </c>
      <c r="L1876" s="852"/>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51" t="s">
        <v>1508</v>
      </c>
      <c r="G1877" s="1351" t="str">
        <f t="shared" si="293"/>
        <v/>
      </c>
      <c r="H1877" s="1351" t="s">
        <v>1991</v>
      </c>
      <c r="I1877" s="1307" t="str">
        <f t="shared" si="291"/>
        <v/>
      </c>
      <c r="J1877" s="1351" t="str">
        <f t="shared" si="294"/>
        <v/>
      </c>
      <c r="K1877" s="1351" t="str">
        <f t="shared" si="292"/>
        <v/>
      </c>
      <c r="L1877" s="852"/>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51" t="s">
        <v>1508</v>
      </c>
      <c r="G1878" s="1351" t="str">
        <f t="shared" si="293"/>
        <v/>
      </c>
      <c r="H1878" s="1351" t="s">
        <v>1991</v>
      </c>
      <c r="I1878" s="1307" t="str">
        <f t="shared" si="291"/>
        <v/>
      </c>
      <c r="J1878" s="1351" t="str">
        <f t="shared" si="294"/>
        <v/>
      </c>
      <c r="K1878" s="1351" t="str">
        <f t="shared" si="292"/>
        <v/>
      </c>
      <c r="L1878" s="852"/>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51" t="s">
        <v>1508</v>
      </c>
      <c r="G1879" s="1351" t="str">
        <f t="shared" si="293"/>
        <v/>
      </c>
      <c r="H1879" s="1351" t="s">
        <v>1991</v>
      </c>
      <c r="I1879" s="1307" t="str">
        <f t="shared" si="291"/>
        <v/>
      </c>
      <c r="J1879" s="1351" t="str">
        <f t="shared" si="294"/>
        <v/>
      </c>
      <c r="K1879" s="1351" t="str">
        <f t="shared" si="292"/>
        <v/>
      </c>
      <c r="L1879" s="852"/>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51" t="s">
        <v>1508</v>
      </c>
      <c r="G1880" s="1351" t="str">
        <f t="shared" si="293"/>
        <v/>
      </c>
      <c r="H1880" s="1351" t="s">
        <v>1991</v>
      </c>
      <c r="I1880" s="1307" t="str">
        <f t="shared" si="291"/>
        <v/>
      </c>
      <c r="J1880" s="1351" t="str">
        <f t="shared" si="294"/>
        <v/>
      </c>
      <c r="K1880" s="1351" t="str">
        <f t="shared" si="292"/>
        <v/>
      </c>
      <c r="L1880" s="852"/>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51" t="s">
        <v>1508</v>
      </c>
      <c r="G1881" s="1351" t="str">
        <f t="shared" si="293"/>
        <v/>
      </c>
      <c r="H1881" s="1351" t="s">
        <v>1991</v>
      </c>
      <c r="I1881" s="1307"/>
      <c r="J1881" s="1351"/>
      <c r="K1881" s="1351"/>
      <c r="L1881" s="852"/>
      <c r="M1881" s="1366"/>
      <c r="N1881" s="1351"/>
      <c r="O1881" s="1348"/>
      <c r="P1881" s="1348"/>
      <c r="Q1881" s="1348"/>
      <c r="R1881" s="1351" t="s">
        <v>1532</v>
      </c>
      <c r="S1881" s="1348"/>
      <c r="T1881" s="1351" t="str">
        <f>IF(Q$796="Yes",13,"")</f>
        <v/>
      </c>
      <c r="U1881" s="1348"/>
      <c r="V1881" s="1348"/>
      <c r="W1881" s="1348"/>
      <c r="X1881" s="1348"/>
      <c r="Y1881" s="1348"/>
      <c r="Z1881" s="134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51" t="s">
        <v>1508</v>
      </c>
      <c r="G1882" s="1351" t="str">
        <f t="shared" si="293"/>
        <v/>
      </c>
      <c r="H1882" s="1351" t="s">
        <v>1991</v>
      </c>
      <c r="I1882" s="1307"/>
      <c r="J1882" s="1351"/>
      <c r="K1882" s="1351"/>
      <c r="L1882" s="852"/>
      <c r="M1882" s="1366"/>
      <c r="N1882" s="1351"/>
      <c r="O1882" s="1348"/>
      <c r="P1882" s="1348"/>
      <c r="Q1882" s="1348"/>
      <c r="R1882" s="1351" t="s">
        <v>1532</v>
      </c>
      <c r="S1882" s="1348"/>
      <c r="T1882" s="1351" t="str">
        <f>IF(Q$814="Yes",14,"")</f>
        <v/>
      </c>
      <c r="U1882" s="1348"/>
      <c r="V1882" s="1348"/>
      <c r="W1882" s="1348"/>
      <c r="X1882" s="1348"/>
      <c r="Y1882" s="1348"/>
      <c r="Z1882" s="134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51" t="s">
        <v>1508</v>
      </c>
      <c r="G1883" s="1351" t="str">
        <f t="shared" si="293"/>
        <v/>
      </c>
      <c r="H1883" s="1351" t="s">
        <v>1991</v>
      </c>
      <c r="I1883" s="1307"/>
      <c r="J1883" s="1351"/>
      <c r="K1883" s="1351"/>
      <c r="L1883" s="852"/>
      <c r="M1883" s="1366"/>
      <c r="N1883" s="1351"/>
      <c r="O1883" s="1348"/>
      <c r="P1883" s="1348"/>
      <c r="Q1883" s="1348"/>
      <c r="R1883" s="1351" t="s">
        <v>1532</v>
      </c>
      <c r="S1883" s="1348"/>
      <c r="T1883" s="1351" t="str">
        <f>IF(Q$832="Yes",15,"")</f>
        <v/>
      </c>
      <c r="U1883" s="1348"/>
      <c r="V1883" s="1348"/>
      <c r="W1883" s="1348"/>
      <c r="X1883" s="1348"/>
      <c r="Y1883" s="1348"/>
      <c r="Z1883" s="134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51" t="s">
        <v>1508</v>
      </c>
      <c r="G1884" s="1351" t="str">
        <f t="shared" si="293"/>
        <v/>
      </c>
      <c r="H1884" s="1351" t="s">
        <v>1991</v>
      </c>
      <c r="I1884" s="1307"/>
      <c r="J1884" s="1351"/>
      <c r="K1884" s="1351"/>
      <c r="L1884" s="852"/>
      <c r="M1884" s="1366"/>
      <c r="N1884" s="1351"/>
      <c r="O1884" s="1348"/>
      <c r="P1884" s="1348"/>
      <c r="Q1884" s="1348"/>
      <c r="R1884" s="1351" t="s">
        <v>1532</v>
      </c>
      <c r="S1884" s="1348"/>
      <c r="T1884" s="1351" t="str">
        <f>IF(Q$862="Yes",16,"")</f>
        <v/>
      </c>
      <c r="U1884" s="1348"/>
      <c r="V1884" s="1348"/>
      <c r="W1884" s="1348"/>
      <c r="X1884" s="1348"/>
      <c r="Y1884" s="1348"/>
      <c r="Z1884" s="134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51" t="s">
        <v>1508</v>
      </c>
      <c r="G1885" s="1351" t="str">
        <f t="shared" si="293"/>
        <v/>
      </c>
      <c r="H1885" s="1351" t="s">
        <v>1991</v>
      </c>
      <c r="I1885" s="1307"/>
      <c r="J1885" s="1351"/>
      <c r="K1885" s="1351"/>
      <c r="L1885" s="852"/>
      <c r="M1885" s="1366"/>
      <c r="N1885" s="1351"/>
      <c r="O1885" s="1348"/>
      <c r="P1885" s="1348"/>
      <c r="Q1885" s="1348"/>
      <c r="R1885" s="1351" t="s">
        <v>1697</v>
      </c>
      <c r="S1885" s="1348"/>
      <c r="T1885" s="1351" t="str">
        <f>IF(Q$987="Yes",22,"")</f>
        <v/>
      </c>
      <c r="U1885" s="1348"/>
      <c r="V1885" s="1348"/>
      <c r="W1885" s="1348"/>
      <c r="X1885" s="1348"/>
      <c r="Y1885" s="1348"/>
      <c r="Z1885" s="134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51" t="str">
        <f>IF(T1886&lt;&gt;"","R","")</f>
        <v/>
      </c>
      <c r="H1886" s="1351" t="s">
        <v>1991</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51" t="str">
        <f t="shared" ref="G1887:G1899" si="296">IF(T1887&lt;&gt;"","R","")</f>
        <v/>
      </c>
      <c r="H1887" s="1351" t="s">
        <v>1991</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51" t="str">
        <f t="shared" si="296"/>
        <v/>
      </c>
      <c r="H1888" s="1351" t="s">
        <v>1991</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51" t="str">
        <f t="shared" si="296"/>
        <v/>
      </c>
      <c r="H1889" s="1351" t="s">
        <v>1991</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51" t="str">
        <f t="shared" si="296"/>
        <v/>
      </c>
      <c r="H1890" s="1351" t="s">
        <v>1991</v>
      </c>
      <c r="I1890" s="241"/>
      <c r="J1890" s="1348"/>
      <c r="K1890" s="1348"/>
      <c r="L1890" s="1348"/>
      <c r="N1890" s="1348"/>
      <c r="O1890" s="1348"/>
      <c r="P1890" s="1348"/>
      <c r="Q1890" s="1348"/>
      <c r="R1890" s="1351" t="s">
        <v>1532</v>
      </c>
      <c r="S1890" s="1348"/>
      <c r="T1890" s="1351" t="str">
        <f t="shared" ref="T1890" si="297">IF(Q$892="Yes",17,"")</f>
        <v/>
      </c>
      <c r="U1890" s="1348"/>
      <c r="V1890" s="1348"/>
      <c r="W1890" s="1348"/>
      <c r="X1890" s="1348"/>
      <c r="Y1890" s="1348"/>
      <c r="Z1890" s="134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51" t="str">
        <f t="shared" si="296"/>
        <v/>
      </c>
      <c r="H1891" s="1351" t="s">
        <v>1991</v>
      </c>
      <c r="I1891" s="241"/>
      <c r="J1891" s="1348"/>
      <c r="K1891" s="1348"/>
      <c r="L1891" s="1348"/>
      <c r="N1891" s="1348"/>
      <c r="O1891" s="1348"/>
      <c r="P1891" s="1348"/>
      <c r="Q1891" s="1348"/>
      <c r="R1891" s="1351" t="s">
        <v>1532</v>
      </c>
      <c r="S1891" s="1348"/>
      <c r="T1891" s="1351" t="str">
        <f>IF(Q$911="Yes",18,"")</f>
        <v/>
      </c>
      <c r="U1891" s="1348"/>
      <c r="V1891" s="1348"/>
      <c r="W1891" s="1348"/>
      <c r="X1891" s="1348"/>
      <c r="Y1891" s="1348"/>
      <c r="Z1891" s="134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51" t="str">
        <f t="shared" si="296"/>
        <v/>
      </c>
      <c r="H1892" s="1351" t="s">
        <v>1991</v>
      </c>
      <c r="I1892" s="241"/>
      <c r="J1892" s="1348"/>
      <c r="K1892" s="1348"/>
      <c r="L1892" s="1348"/>
      <c r="N1892" s="1348"/>
      <c r="O1892" s="1348"/>
      <c r="P1892" s="1348"/>
      <c r="Q1892" s="1348"/>
      <c r="R1892" s="1351" t="s">
        <v>1532</v>
      </c>
      <c r="S1892" s="1348"/>
      <c r="T1892" s="1351" t="str">
        <f>IF(Q$930="Yes",19,"")</f>
        <v/>
      </c>
      <c r="U1892" s="1348"/>
      <c r="V1892" s="1348"/>
      <c r="W1892" s="1348"/>
      <c r="X1892" s="1348"/>
      <c r="Y1892" s="1348"/>
      <c r="Z1892" s="134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51" t="str">
        <f t="shared" si="296"/>
        <v/>
      </c>
      <c r="H1893" s="1351" t="s">
        <v>1991</v>
      </c>
      <c r="I1893" s="241"/>
      <c r="J1893" s="1348"/>
      <c r="K1893" s="1348"/>
      <c r="L1893" s="1348"/>
      <c r="N1893" s="1348"/>
      <c r="O1893" s="1348"/>
      <c r="P1893" s="1348"/>
      <c r="Q1893" s="1348"/>
      <c r="R1893" s="1351" t="s">
        <v>1532</v>
      </c>
      <c r="S1893" s="1348"/>
      <c r="T1893" s="1351" t="str">
        <f>IF(Q$949="Yes",20,"")</f>
        <v/>
      </c>
      <c r="U1893" s="1348"/>
      <c r="V1893" s="1348"/>
      <c r="W1893" s="1348"/>
      <c r="X1893" s="1348"/>
      <c r="Y1893" s="1348"/>
      <c r="Z1893" s="134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51" t="str">
        <f t="shared" si="296"/>
        <v/>
      </c>
      <c r="H1894" s="1351" t="s">
        <v>1991</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51" t="str">
        <f t="shared" si="296"/>
        <v/>
      </c>
      <c r="H1895" s="1351" t="s">
        <v>1991</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51" t="str">
        <f t="shared" si="296"/>
        <v/>
      </c>
      <c r="H1896" s="1351" t="s">
        <v>1991</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51" t="str">
        <f t="shared" si="296"/>
        <v/>
      </c>
      <c r="H1897" s="1351" t="s">
        <v>1991</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51" t="str">
        <f t="shared" si="296"/>
        <v/>
      </c>
      <c r="H1898" s="1351" t="s">
        <v>1991</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51" t="str">
        <f t="shared" si="296"/>
        <v/>
      </c>
      <c r="H1899" s="1351" t="s">
        <v>1991</v>
      </c>
      <c r="I1899" s="241"/>
      <c r="J1899" s="1348"/>
      <c r="K1899" s="1348"/>
      <c r="L1899" s="1348"/>
      <c r="N1899" s="1348"/>
      <c r="O1899" s="1348"/>
      <c r="P1899" s="1348"/>
      <c r="Q1899" s="1348"/>
      <c r="R1899" s="1351" t="s">
        <v>1697</v>
      </c>
      <c r="S1899" s="1348"/>
      <c r="T1899" s="1351" t="str">
        <f>IF(Q$987="Yes",22,"")</f>
        <v/>
      </c>
      <c r="U1899" s="1348"/>
      <c r="V1899" s="1348"/>
      <c r="W1899" s="1348"/>
      <c r="X1899" s="1348"/>
      <c r="Y1899" s="1348"/>
      <c r="Z1899" s="1348"/>
    </row>
    <row r="1900" spans="1:26" x14ac:dyDescent="0.25">
      <c r="A1900" s="1110"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0" t="s">
        <v>1476</v>
      </c>
      <c r="G1900" s="1351" t="str">
        <f>IF(T1900&lt;&gt;"","U","")</f>
        <v/>
      </c>
      <c r="H1900" s="1351" t="s">
        <v>1991</v>
      </c>
      <c r="I1900" s="1307" t="str">
        <f t="shared" ref="I1900" si="298">IF(J1900&lt;&gt;"",A1900,"")</f>
        <v/>
      </c>
      <c r="J1900" s="1351"/>
      <c r="K1900" s="1351" t="str">
        <f t="shared" ref="K1900" si="299">IF(J1900&lt;&gt;"",E1900,"")</f>
        <v/>
      </c>
      <c r="L1900" s="852"/>
      <c r="M1900" s="1366"/>
      <c r="N1900" s="1351"/>
      <c r="O1900" s="1348"/>
      <c r="P1900" s="1348"/>
      <c r="Q1900" s="1348"/>
      <c r="R1900" s="1351" t="s">
        <v>1701</v>
      </c>
      <c r="S1900" s="1348"/>
      <c r="T1900" s="1351" t="str">
        <f t="shared" ref="T1900:T1905" si="300">IF(Q$1052="Yes",27,"")</f>
        <v/>
      </c>
      <c r="U1900" s="1348"/>
      <c r="V1900" s="1348"/>
      <c r="W1900" s="1348"/>
      <c r="X1900" s="1348"/>
      <c r="Y1900" s="1348"/>
      <c r="Z1900" s="134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51" t="s">
        <v>1475</v>
      </c>
      <c r="G1901" s="1351" t="str">
        <f>IF(T1901&lt;&gt;"","Z","")</f>
        <v/>
      </c>
      <c r="H1901" s="1351" t="s">
        <v>1991</v>
      </c>
      <c r="I1901" s="1307"/>
      <c r="J1901" s="1351"/>
      <c r="K1901" s="1351"/>
      <c r="L1901" s="852"/>
      <c r="M1901" s="1366"/>
      <c r="N1901" s="1351"/>
      <c r="O1901" s="1348"/>
      <c r="P1901" s="1348"/>
      <c r="Q1901" s="1348"/>
      <c r="R1901" s="1351" t="s">
        <v>1701</v>
      </c>
      <c r="S1901" s="1348"/>
      <c r="T1901" s="1351" t="str">
        <f t="shared" si="300"/>
        <v/>
      </c>
      <c r="U1901" s="1348"/>
      <c r="V1901" s="1348"/>
      <c r="W1901" s="1348"/>
      <c r="X1901" s="1348"/>
      <c r="Y1901" s="1348"/>
      <c r="Z1901" s="134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51" t="s">
        <v>1479</v>
      </c>
      <c r="G1902" s="1351" t="str">
        <f>IF(T1902&lt;&gt;"","V","")</f>
        <v/>
      </c>
      <c r="H1902" s="1351" t="s">
        <v>1991</v>
      </c>
      <c r="I1902" s="1307"/>
      <c r="J1902" s="1351"/>
      <c r="K1902" s="1351"/>
      <c r="L1902" s="852" t="s">
        <v>1479</v>
      </c>
      <c r="M1902" s="1366">
        <v>1206</v>
      </c>
      <c r="N1902" s="1351"/>
      <c r="O1902" s="1348"/>
      <c r="P1902" s="1348"/>
      <c r="Q1902" s="1348"/>
      <c r="R1902" s="1351" t="s">
        <v>1701</v>
      </c>
      <c r="S1902" s="1348"/>
      <c r="T1902" s="1351" t="str">
        <f t="shared" si="300"/>
        <v/>
      </c>
      <c r="U1902" s="1348"/>
      <c r="V1902" s="1348"/>
      <c r="W1902" s="1348"/>
      <c r="X1902" s="1348"/>
      <c r="Y1902" s="1348"/>
      <c r="Z1902" s="134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51" t="s">
        <v>1135</v>
      </c>
      <c r="G1903" s="1351" t="str">
        <f>IF(T1903&lt;&gt;"","W","")</f>
        <v/>
      </c>
      <c r="H1903" s="1351" t="s">
        <v>1991</v>
      </c>
      <c r="I1903" s="1307"/>
      <c r="J1903" s="1351"/>
      <c r="K1903" s="1351"/>
      <c r="L1903" s="852"/>
      <c r="M1903" s="1366"/>
      <c r="N1903" s="1351"/>
      <c r="O1903" s="1348"/>
      <c r="P1903" s="1348"/>
      <c r="Q1903" s="1348"/>
      <c r="R1903" s="1351" t="s">
        <v>1701</v>
      </c>
      <c r="S1903" s="1348"/>
      <c r="T1903" s="1351" t="str">
        <f t="shared" si="300"/>
        <v/>
      </c>
      <c r="U1903" s="1348"/>
      <c r="V1903" s="1348"/>
      <c r="W1903" s="1348"/>
      <c r="X1903" s="1348"/>
      <c r="Y1903" s="1348"/>
      <c r="Z1903" s="134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51" t="s">
        <v>1481</v>
      </c>
      <c r="G1904" s="1351" t="str">
        <f>IF(T1904&lt;&gt;"","X","")</f>
        <v/>
      </c>
      <c r="H1904" s="1351" t="s">
        <v>1991</v>
      </c>
      <c r="I1904" s="1307"/>
      <c r="J1904" s="1351"/>
      <c r="K1904" s="1351"/>
      <c r="L1904" s="852"/>
      <c r="M1904" s="1366"/>
      <c r="N1904" s="1351"/>
      <c r="O1904" s="1348"/>
      <c r="P1904" s="1348"/>
      <c r="Q1904" s="1348"/>
      <c r="R1904" s="1351" t="s">
        <v>1701</v>
      </c>
      <c r="S1904" s="1348"/>
      <c r="T1904" s="1351" t="str">
        <f t="shared" si="300"/>
        <v/>
      </c>
      <c r="U1904" s="1348"/>
      <c r="V1904" s="1348"/>
      <c r="W1904" s="1348"/>
      <c r="X1904" s="1348"/>
      <c r="Y1904" s="1348"/>
      <c r="Z1904" s="134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51" t="s">
        <v>1134</v>
      </c>
      <c r="G1905" s="1351" t="str">
        <f>IF(T1905&lt;&gt;"","Y","")</f>
        <v/>
      </c>
      <c r="H1905" s="1351" t="s">
        <v>1991</v>
      </c>
      <c r="I1905" s="1307"/>
      <c r="J1905" s="1351"/>
      <c r="K1905" s="1351"/>
      <c r="L1905" s="852"/>
      <c r="M1905" s="1366"/>
      <c r="N1905" s="1351"/>
      <c r="O1905" s="1348"/>
      <c r="P1905" s="1348"/>
      <c r="Q1905" s="1348"/>
      <c r="R1905" s="1351" t="s">
        <v>1701</v>
      </c>
      <c r="S1905" s="1348"/>
      <c r="T1905" s="1351" t="str">
        <f t="shared" si="300"/>
        <v/>
      </c>
      <c r="U1905" s="1348"/>
      <c r="V1905" s="1348"/>
      <c r="W1905" s="1348"/>
      <c r="X1905" s="1348"/>
      <c r="Y1905" s="1348"/>
      <c r="Z1905" s="1348"/>
    </row>
    <row r="1906" spans="1:26" x14ac:dyDescent="0.25">
      <c r="A1906" s="1039"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51" t="s">
        <v>1475</v>
      </c>
      <c r="G1906" s="1351" t="str">
        <f>IF(T1906&lt;&gt;"","Z","")</f>
        <v/>
      </c>
      <c r="H1906" s="1351" t="s">
        <v>1991</v>
      </c>
      <c r="I1906" s="1307"/>
      <c r="J1906" s="1351"/>
      <c r="K1906" s="1351"/>
      <c r="L1906" s="852"/>
      <c r="M1906" s="1366"/>
      <c r="N1906" s="1351"/>
      <c r="O1906" s="1348"/>
      <c r="P1906" s="1348"/>
      <c r="Q1906" s="1348"/>
      <c r="R1906" s="1351" t="s">
        <v>1701</v>
      </c>
      <c r="S1906" s="1348"/>
      <c r="T1906" s="1351" t="str">
        <f t="shared" ref="T1906:T1910" si="301">IF(Q$1069="Yes",28,"")</f>
        <v/>
      </c>
      <c r="U1906" s="1348"/>
      <c r="V1906" s="1348"/>
      <c r="W1906" s="1348"/>
      <c r="X1906" s="1348"/>
      <c r="Y1906" s="1348"/>
      <c r="Z1906" s="1348"/>
    </row>
    <row r="1907" spans="1:26" x14ac:dyDescent="0.25">
      <c r="A1907" s="1039"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51" t="s">
        <v>1479</v>
      </c>
      <c r="G1907" s="1351" t="str">
        <f>IF(T1907&lt;&gt;"","V","")</f>
        <v/>
      </c>
      <c r="H1907" s="1351" t="s">
        <v>1991</v>
      </c>
      <c r="I1907" s="1307"/>
      <c r="J1907" s="1351"/>
      <c r="K1907" s="1351"/>
      <c r="L1907" s="852" t="s">
        <v>1479</v>
      </c>
      <c r="M1907" s="1366">
        <v>1207</v>
      </c>
      <c r="N1907" s="1351"/>
      <c r="O1907" s="1348"/>
      <c r="P1907" s="1348"/>
      <c r="Q1907" s="1348"/>
      <c r="R1907" s="1351" t="s">
        <v>1701</v>
      </c>
      <c r="S1907" s="1348"/>
      <c r="T1907" s="1351" t="str">
        <f t="shared" si="301"/>
        <v/>
      </c>
      <c r="U1907" s="1348"/>
      <c r="V1907" s="1348"/>
      <c r="W1907" s="1348"/>
      <c r="X1907" s="1348"/>
      <c r="Y1907" s="1348"/>
      <c r="Z1907" s="1348"/>
    </row>
    <row r="1908" spans="1:26" x14ac:dyDescent="0.25">
      <c r="A1908" s="1039"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51" t="s">
        <v>1135</v>
      </c>
      <c r="G1908" s="1351" t="str">
        <f>IF(T1908&lt;&gt;"","W","")</f>
        <v/>
      </c>
      <c r="H1908" s="1351" t="s">
        <v>1991</v>
      </c>
      <c r="I1908" s="1307"/>
      <c r="J1908" s="1351"/>
      <c r="K1908" s="1351"/>
      <c r="L1908" s="852"/>
      <c r="M1908" s="1366"/>
      <c r="N1908" s="1351"/>
      <c r="O1908" s="1348"/>
      <c r="P1908" s="1348"/>
      <c r="Q1908" s="1348"/>
      <c r="R1908" s="1351" t="s">
        <v>1701</v>
      </c>
      <c r="S1908" s="1348"/>
      <c r="T1908" s="1351" t="str">
        <f t="shared" si="301"/>
        <v/>
      </c>
      <c r="U1908" s="1348"/>
      <c r="V1908" s="1348"/>
      <c r="W1908" s="1348"/>
      <c r="X1908" s="1348"/>
      <c r="Y1908" s="1348"/>
      <c r="Z1908" s="1348"/>
    </row>
    <row r="1909" spans="1:26" x14ac:dyDescent="0.25">
      <c r="A1909" s="1039"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51" t="s">
        <v>1481</v>
      </c>
      <c r="G1909" s="1351" t="str">
        <f>IF(T1909&lt;&gt;"","X","")</f>
        <v/>
      </c>
      <c r="H1909" s="1351" t="s">
        <v>1991</v>
      </c>
      <c r="I1909" s="1307"/>
      <c r="J1909" s="1351"/>
      <c r="K1909" s="1351"/>
      <c r="L1909" s="852"/>
      <c r="M1909" s="1366"/>
      <c r="N1909" s="1351"/>
      <c r="O1909" s="1348"/>
      <c r="P1909" s="1348"/>
      <c r="Q1909" s="1348"/>
      <c r="R1909" s="1351" t="s">
        <v>1701</v>
      </c>
      <c r="S1909" s="1348"/>
      <c r="T1909" s="1351" t="str">
        <f t="shared" si="301"/>
        <v/>
      </c>
      <c r="U1909" s="1348"/>
      <c r="V1909" s="1348"/>
      <c r="W1909" s="1348"/>
      <c r="X1909" s="1348"/>
      <c r="Y1909" s="1348"/>
      <c r="Z1909" s="1348"/>
    </row>
    <row r="1910" spans="1:26" x14ac:dyDescent="0.25">
      <c r="A1910" s="1039"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51" t="s">
        <v>1134</v>
      </c>
      <c r="G1910" s="1351" t="str">
        <f>IF(T1910&lt;&gt;"","Y","")</f>
        <v/>
      </c>
      <c r="H1910" s="1351" t="s">
        <v>1991</v>
      </c>
      <c r="I1910" s="1307"/>
      <c r="J1910" s="1351"/>
      <c r="K1910" s="1351"/>
      <c r="L1910" s="852"/>
      <c r="M1910" s="1366"/>
      <c r="N1910" s="1351"/>
      <c r="O1910" s="1348"/>
      <c r="P1910" s="1348"/>
      <c r="Q1910" s="1348"/>
      <c r="R1910" s="1351" t="s">
        <v>1701</v>
      </c>
      <c r="S1910" s="1348"/>
      <c r="T1910" s="1351" t="str">
        <f t="shared" si="301"/>
        <v/>
      </c>
      <c r="U1910" s="1348"/>
      <c r="V1910" s="1348"/>
      <c r="W1910" s="1348"/>
      <c r="X1910" s="1348"/>
      <c r="Y1910" s="1348"/>
      <c r="Z1910" s="134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51" t="s">
        <v>2000</v>
      </c>
      <c r="G1911" s="1351" t="str">
        <f>IF(T1911&lt;&gt;"","AB","")</f>
        <v/>
      </c>
      <c r="H1911" s="1351" t="s">
        <v>1991</v>
      </c>
      <c r="I1911" s="1307" t="str">
        <f t="shared" ref="I1911:I1921" si="302">IF(J1911&lt;&gt;"",A1911,"")</f>
        <v/>
      </c>
      <c r="J1911" s="1351"/>
      <c r="K1911" s="1351" t="str">
        <f t="shared" ref="K1911:K1921" si="303">IF(J1911&lt;&gt;"",E1911,"")</f>
        <v/>
      </c>
      <c r="L1911" s="852"/>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51" t="s">
        <v>2000</v>
      </c>
      <c r="G1912" s="1351" t="str">
        <f t="shared" ref="G1912:G1921" si="304">IF(T1912&lt;&gt;"","AB","")</f>
        <v/>
      </c>
      <c r="H1912" s="1351" t="s">
        <v>1991</v>
      </c>
      <c r="I1912" s="1307" t="str">
        <f t="shared" si="302"/>
        <v/>
      </c>
      <c r="J1912" s="1351"/>
      <c r="K1912" s="1351" t="str">
        <f t="shared" si="303"/>
        <v/>
      </c>
      <c r="L1912" s="852"/>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51" t="s">
        <v>2000</v>
      </c>
      <c r="G1913" s="1351" t="str">
        <f t="shared" si="304"/>
        <v/>
      </c>
      <c r="H1913" s="1351" t="s">
        <v>1991</v>
      </c>
      <c r="I1913" s="1307" t="str">
        <f t="shared" si="302"/>
        <v/>
      </c>
      <c r="J1913" s="1351"/>
      <c r="K1913" s="1351" t="str">
        <f t="shared" si="303"/>
        <v/>
      </c>
      <c r="L1913" s="852"/>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51" t="s">
        <v>2000</v>
      </c>
      <c r="G1914" s="1351" t="str">
        <f t="shared" si="304"/>
        <v/>
      </c>
      <c r="H1914" s="1351" t="s">
        <v>1991</v>
      </c>
      <c r="I1914" s="1307" t="str">
        <f t="shared" si="302"/>
        <v/>
      </c>
      <c r="J1914" s="1351"/>
      <c r="K1914" s="1351" t="str">
        <f t="shared" si="303"/>
        <v/>
      </c>
      <c r="L1914" s="852"/>
      <c r="M1914" s="1366"/>
      <c r="N1914" s="1351"/>
      <c r="O1914" s="1348"/>
      <c r="P1914" s="1348"/>
      <c r="Q1914" s="1348"/>
      <c r="R1914" s="1351" t="s">
        <v>1701</v>
      </c>
      <c r="S1914" s="1348"/>
      <c r="T1914" s="1351" t="str">
        <f>IF(Q$1052="Yes",27,"")</f>
        <v/>
      </c>
      <c r="U1914" s="1348"/>
      <c r="V1914" s="1348"/>
      <c r="W1914" s="1348"/>
      <c r="X1914" s="1348"/>
      <c r="Y1914" s="1348"/>
      <c r="Z1914" s="134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51" t="s">
        <v>2000</v>
      </c>
      <c r="G1915" s="1351" t="str">
        <f t="shared" si="304"/>
        <v/>
      </c>
      <c r="H1915" s="1351" t="s">
        <v>1991</v>
      </c>
      <c r="I1915" s="1307" t="str">
        <f t="shared" si="302"/>
        <v/>
      </c>
      <c r="J1915" s="1351"/>
      <c r="K1915" s="1351" t="str">
        <f t="shared" si="303"/>
        <v/>
      </c>
      <c r="L1915" s="852"/>
      <c r="M1915" s="1366"/>
      <c r="N1915" s="1351"/>
      <c r="O1915" s="1348"/>
      <c r="P1915" s="1348"/>
      <c r="Q1915" s="1348"/>
      <c r="R1915" s="1351" t="s">
        <v>1701</v>
      </c>
      <c r="S1915" s="1348"/>
      <c r="T1915" s="1351" t="str">
        <f>IF(Q$1069="Yes",28,"")</f>
        <v/>
      </c>
      <c r="U1915" s="1348"/>
      <c r="V1915" s="1348"/>
      <c r="W1915" s="1348"/>
      <c r="X1915" s="1348"/>
      <c r="Y1915" s="1348"/>
      <c r="Z1915" s="134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51" t="s">
        <v>2000</v>
      </c>
      <c r="G1916" s="1351" t="str">
        <f t="shared" si="304"/>
        <v/>
      </c>
      <c r="H1916" s="1351" t="s">
        <v>1991</v>
      </c>
      <c r="I1916" s="1307" t="str">
        <f t="shared" si="302"/>
        <v/>
      </c>
      <c r="J1916" s="1351"/>
      <c r="K1916" s="1351" t="str">
        <f t="shared" si="303"/>
        <v/>
      </c>
      <c r="L1916" s="852"/>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51" t="s">
        <v>2000</v>
      </c>
      <c r="G1917" s="1351" t="str">
        <f t="shared" si="304"/>
        <v/>
      </c>
      <c r="H1917" s="1351" t="s">
        <v>1991</v>
      </c>
      <c r="I1917" s="1307" t="str">
        <f t="shared" si="302"/>
        <v/>
      </c>
      <c r="J1917" s="1351"/>
      <c r="K1917" s="1351" t="str">
        <f t="shared" si="303"/>
        <v/>
      </c>
      <c r="L1917" s="852"/>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51" t="s">
        <v>2000</v>
      </c>
      <c r="G1918" s="1351" t="str">
        <f t="shared" si="304"/>
        <v/>
      </c>
      <c r="H1918" s="1351" t="s">
        <v>1991</v>
      </c>
      <c r="I1918" s="1307" t="str">
        <f t="shared" si="302"/>
        <v/>
      </c>
      <c r="J1918" s="1351"/>
      <c r="K1918" s="1351" t="str">
        <f t="shared" si="303"/>
        <v/>
      </c>
      <c r="L1918" s="852"/>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51" t="s">
        <v>2000</v>
      </c>
      <c r="G1919" s="1351" t="str">
        <f t="shared" si="304"/>
        <v/>
      </c>
      <c r="H1919" s="1351" t="s">
        <v>1991</v>
      </c>
      <c r="I1919" s="1307" t="str">
        <f t="shared" si="302"/>
        <v/>
      </c>
      <c r="J1919" s="1351"/>
      <c r="K1919" s="1351" t="str">
        <f t="shared" si="303"/>
        <v/>
      </c>
      <c r="L1919" s="852"/>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51" t="s">
        <v>2000</v>
      </c>
      <c r="G1920" s="1351" t="str">
        <f t="shared" si="304"/>
        <v/>
      </c>
      <c r="H1920" s="1351" t="s">
        <v>1991</v>
      </c>
      <c r="I1920" s="1307" t="str">
        <f t="shared" si="302"/>
        <v/>
      </c>
      <c r="J1920" s="1351"/>
      <c r="K1920" s="1351" t="str">
        <f t="shared" si="303"/>
        <v/>
      </c>
      <c r="L1920" s="852"/>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51" t="s">
        <v>2000</v>
      </c>
      <c r="G1921" s="1351" t="str">
        <f t="shared" si="304"/>
        <v/>
      </c>
      <c r="H1921" s="1351" t="s">
        <v>1991</v>
      </c>
      <c r="I1921" s="1307" t="str">
        <f t="shared" si="302"/>
        <v/>
      </c>
      <c r="J1921" s="1351"/>
      <c r="K1921" s="1351" t="str">
        <f t="shared" si="303"/>
        <v/>
      </c>
      <c r="L1921" s="852"/>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51" t="str">
        <f>IF(T1922&lt;&gt;"","AJ","")</f>
        <v/>
      </c>
      <c r="H1922" s="1351" t="s">
        <v>1991</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51" t="str">
        <f t="shared" ref="G1923:G1933" si="306">IF(T1923&lt;&gt;"","AJ","")</f>
        <v/>
      </c>
      <c r="H1923" s="1351" t="s">
        <v>1991</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51" t="str">
        <f t="shared" si="306"/>
        <v/>
      </c>
      <c r="H1924" s="1351" t="s">
        <v>1991</v>
      </c>
      <c r="I1924" s="1307"/>
      <c r="J1924" s="1351"/>
      <c r="K1924" s="1351"/>
      <c r="L1924" s="1351"/>
      <c r="M1924" s="1366"/>
      <c r="N1924" s="1351"/>
      <c r="O1924" s="1348"/>
      <c r="P1924" s="1348"/>
      <c r="Q1924" s="1348"/>
      <c r="R1924" s="1351" t="s">
        <v>1526</v>
      </c>
      <c r="S1924" s="1348"/>
      <c r="T1924" s="1351" t="str">
        <f t="shared" ref="T1924" si="308">IF(Q$670="Yes",7,"")</f>
        <v/>
      </c>
      <c r="U1924" s="1348"/>
      <c r="V1924" s="1348"/>
      <c r="W1924" s="1348"/>
      <c r="X1924" s="1348"/>
      <c r="Y1924" s="1348"/>
      <c r="Z1924" s="134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51" t="str">
        <f t="shared" si="306"/>
        <v/>
      </c>
      <c r="H1925" s="1351" t="s">
        <v>1991</v>
      </c>
      <c r="I1925" s="1307"/>
      <c r="J1925" s="1351"/>
      <c r="K1925" s="1351"/>
      <c r="L1925" s="1351"/>
      <c r="M1925" s="1366"/>
      <c r="N1925" s="1351"/>
      <c r="O1925" s="1348"/>
      <c r="P1925" s="1348"/>
      <c r="Q1925" s="1348"/>
      <c r="R1925" s="1351" t="s">
        <v>1526</v>
      </c>
      <c r="S1925" s="1348"/>
      <c r="T1925" s="1351" t="str">
        <f t="shared" ref="T1925" si="309">IF(Q$688="Yes",8,"")</f>
        <v/>
      </c>
      <c r="U1925" s="1348"/>
      <c r="V1925" s="1348"/>
      <c r="W1925" s="1348"/>
      <c r="X1925" s="1348"/>
      <c r="Y1925" s="1348"/>
      <c r="Z1925" s="134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51" t="str">
        <f t="shared" si="306"/>
        <v/>
      </c>
      <c r="H1926" s="1351" t="s">
        <v>1991</v>
      </c>
      <c r="I1926" s="1307"/>
      <c r="J1926" s="1351"/>
      <c r="K1926" s="1351"/>
      <c r="L1926" s="1351"/>
      <c r="M1926" s="1366"/>
      <c r="N1926" s="1351"/>
      <c r="O1926" s="1348"/>
      <c r="P1926" s="1348"/>
      <c r="Q1926" s="1348"/>
      <c r="R1926" s="1351" t="s">
        <v>1532</v>
      </c>
      <c r="S1926" s="1348"/>
      <c r="T1926" s="1351" t="str">
        <f t="shared" ref="T1926" si="310">IF(Q$796="Yes",13,"")</f>
        <v/>
      </c>
      <c r="U1926" s="1348"/>
      <c r="V1926" s="1348"/>
      <c r="W1926" s="1348"/>
      <c r="X1926" s="1348"/>
      <c r="Y1926" s="1348"/>
      <c r="Z1926" s="134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51" t="str">
        <f t="shared" si="306"/>
        <v/>
      </c>
      <c r="H1927" s="1351" t="s">
        <v>1991</v>
      </c>
      <c r="I1927" s="1307"/>
      <c r="J1927" s="1351"/>
      <c r="K1927" s="1351"/>
      <c r="L1927" s="1351"/>
      <c r="M1927" s="1366"/>
      <c r="N1927" s="1351"/>
      <c r="O1927" s="1348"/>
      <c r="P1927" s="1348"/>
      <c r="Q1927" s="1348"/>
      <c r="R1927" s="1351" t="s">
        <v>1532</v>
      </c>
      <c r="S1927" s="1348"/>
      <c r="T1927" s="1351" t="str">
        <f t="shared" ref="T1927" si="311">IF(Q$814="Yes",14,"")</f>
        <v/>
      </c>
      <c r="U1927" s="1348"/>
      <c r="V1927" s="1348"/>
      <c r="W1927" s="1348"/>
      <c r="X1927" s="1348"/>
      <c r="Y1927" s="1348"/>
      <c r="Z1927" s="134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51" t="str">
        <f t="shared" si="306"/>
        <v/>
      </c>
      <c r="H1928" s="1351" t="s">
        <v>1991</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51" t="str">
        <f t="shared" si="306"/>
        <v/>
      </c>
      <c r="H1929" s="1351" t="s">
        <v>1991</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51" t="str">
        <f t="shared" si="306"/>
        <v/>
      </c>
      <c r="H1930" s="1351" t="s">
        <v>1991</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51" t="str">
        <f t="shared" si="306"/>
        <v/>
      </c>
      <c r="H1931" s="1351" t="s">
        <v>1991</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51" t="str">
        <f t="shared" si="306"/>
        <v/>
      </c>
      <c r="H1932" s="1351" t="s">
        <v>1991</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51" t="str">
        <f t="shared" si="306"/>
        <v/>
      </c>
      <c r="H1933" s="1351" t="s">
        <v>1991</v>
      </c>
      <c r="I1933" s="1307"/>
      <c r="J1933" s="1351"/>
      <c r="K1933" s="1351"/>
      <c r="L1933" s="1351"/>
      <c r="M1933" s="1366"/>
      <c r="N1933" s="1351"/>
      <c r="O1933" s="1348"/>
      <c r="P1933" s="1348"/>
      <c r="Q1933" s="1348"/>
      <c r="R1933" s="1351" t="s">
        <v>1697</v>
      </c>
      <c r="S1933" s="1348"/>
      <c r="T1933" s="1351" t="str">
        <f t="shared" ref="T1933" si="317">IF(Q$987="Yes",22,"")</f>
        <v/>
      </c>
      <c r="U1933" s="1348"/>
      <c r="V1933" s="1348"/>
      <c r="W1933" s="1348"/>
      <c r="X1933" s="1348"/>
      <c r="Y1933" s="1348"/>
      <c r="Z1933" s="1348"/>
    </row>
    <row r="1934" spans="1:26" x14ac:dyDescent="0.25">
      <c r="A1934" s="1039"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51" t="s">
        <v>1605</v>
      </c>
      <c r="G1934" s="1351" t="str">
        <f>IF(T1934&lt;&gt;"","AP","")</f>
        <v/>
      </c>
      <c r="H1934" s="1351" t="s">
        <v>1991</v>
      </c>
      <c r="I1934" s="1307" t="str">
        <f t="shared" ref="I1934:I1944" si="318">IF(J1934&lt;&gt;"",A1934,"")</f>
        <v/>
      </c>
      <c r="J1934" s="1351"/>
      <c r="K1934" s="1351" t="str">
        <f t="shared" ref="K1934:K1944" si="319">IF(J1934&lt;&gt;"",E1934,"")</f>
        <v/>
      </c>
      <c r="L1934" s="852"/>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51" t="s">
        <v>1605</v>
      </c>
      <c r="G1935" s="1351" t="str">
        <f t="shared" ref="G1935:G1944" si="320">IF(T1935&lt;&gt;"","AP","")</f>
        <v/>
      </c>
      <c r="H1935" s="1351" t="s">
        <v>1991</v>
      </c>
      <c r="I1935" s="1307" t="str">
        <f t="shared" si="318"/>
        <v/>
      </c>
      <c r="J1935" s="1351"/>
      <c r="K1935" s="1351" t="str">
        <f t="shared" si="319"/>
        <v/>
      </c>
      <c r="L1935" s="852"/>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51" t="s">
        <v>1605</v>
      </c>
      <c r="G1936" s="1351" t="str">
        <f t="shared" si="320"/>
        <v/>
      </c>
      <c r="H1936" s="1351" t="s">
        <v>1991</v>
      </c>
      <c r="I1936" s="1307" t="str">
        <f t="shared" si="318"/>
        <v/>
      </c>
      <c r="J1936" s="1351"/>
      <c r="K1936" s="1351" t="str">
        <f t="shared" si="319"/>
        <v/>
      </c>
      <c r="L1936" s="852"/>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51" t="s">
        <v>1605</v>
      </c>
      <c r="G1937" s="1351" t="str">
        <f t="shared" si="320"/>
        <v/>
      </c>
      <c r="H1937" s="1351" t="s">
        <v>1991</v>
      </c>
      <c r="I1937" s="1307" t="str">
        <f t="shared" si="318"/>
        <v/>
      </c>
      <c r="J1937" s="1351"/>
      <c r="K1937" s="1351" t="str">
        <f t="shared" si="319"/>
        <v/>
      </c>
      <c r="L1937" s="852"/>
      <c r="M1937" s="1366"/>
      <c r="N1937" s="1351"/>
      <c r="O1937" s="1348"/>
      <c r="P1937" s="1348"/>
      <c r="Q1937" s="1348"/>
      <c r="R1937" s="1351" t="s">
        <v>1701</v>
      </c>
      <c r="S1937" s="1348"/>
      <c r="T1937" s="1351" t="str">
        <f>IF(Q$1052="Yes",27,"")</f>
        <v/>
      </c>
      <c r="U1937" s="1348"/>
      <c r="V1937" s="1348"/>
      <c r="W1937" s="1348"/>
      <c r="X1937" s="1348"/>
      <c r="Y1937" s="1348"/>
      <c r="Z1937" s="1348"/>
    </row>
    <row r="1938" spans="1:26" x14ac:dyDescent="0.25">
      <c r="A1938" s="1039"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51" t="s">
        <v>1605</v>
      </c>
      <c r="G1938" s="1351" t="str">
        <f t="shared" si="320"/>
        <v/>
      </c>
      <c r="H1938" s="1351" t="s">
        <v>1991</v>
      </c>
      <c r="I1938" s="1307" t="str">
        <f t="shared" si="318"/>
        <v/>
      </c>
      <c r="J1938" s="1351"/>
      <c r="K1938" s="1351" t="str">
        <f t="shared" si="319"/>
        <v/>
      </c>
      <c r="L1938" s="852"/>
      <c r="M1938" s="1366"/>
      <c r="N1938" s="1351"/>
      <c r="O1938" s="1348"/>
      <c r="P1938" s="1348"/>
      <c r="Q1938" s="1348"/>
      <c r="R1938" s="1351" t="s">
        <v>1701</v>
      </c>
      <c r="S1938" s="1348"/>
      <c r="T1938" s="1351" t="str">
        <f>IF(Q$1069="Yes",28,"")</f>
        <v/>
      </c>
      <c r="U1938" s="1348"/>
      <c r="V1938" s="1348"/>
      <c r="W1938" s="1348"/>
      <c r="X1938" s="1348"/>
      <c r="Y1938" s="1348"/>
      <c r="Z1938" s="134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51" t="s">
        <v>1605</v>
      </c>
      <c r="G1939" s="1351" t="str">
        <f t="shared" si="320"/>
        <v/>
      </c>
      <c r="H1939" s="1351" t="s">
        <v>1991</v>
      </c>
      <c r="I1939" s="1307" t="str">
        <f t="shared" si="318"/>
        <v/>
      </c>
      <c r="J1939" s="1351"/>
      <c r="K1939" s="1351" t="str">
        <f t="shared" si="319"/>
        <v/>
      </c>
      <c r="L1939" s="852"/>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51" t="s">
        <v>1605</v>
      </c>
      <c r="G1940" s="1351" t="str">
        <f t="shared" si="320"/>
        <v/>
      </c>
      <c r="H1940" s="1351" t="s">
        <v>1991</v>
      </c>
      <c r="I1940" s="1307" t="str">
        <f t="shared" si="318"/>
        <v/>
      </c>
      <c r="J1940" s="1351"/>
      <c r="K1940" s="1351" t="str">
        <f t="shared" si="319"/>
        <v/>
      </c>
      <c r="L1940" s="852"/>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51" t="s">
        <v>1605</v>
      </c>
      <c r="G1941" s="1351" t="str">
        <f t="shared" si="320"/>
        <v/>
      </c>
      <c r="H1941" s="1351" t="s">
        <v>1991</v>
      </c>
      <c r="I1941" s="1307" t="str">
        <f t="shared" si="318"/>
        <v/>
      </c>
      <c r="J1941" s="1351"/>
      <c r="K1941" s="1351" t="str">
        <f t="shared" si="319"/>
        <v/>
      </c>
      <c r="L1941" s="852"/>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51" t="s">
        <v>1605</v>
      </c>
      <c r="G1942" s="1351" t="str">
        <f t="shared" si="320"/>
        <v/>
      </c>
      <c r="H1942" s="1351" t="s">
        <v>1991</v>
      </c>
      <c r="I1942" s="1307" t="str">
        <f t="shared" si="318"/>
        <v/>
      </c>
      <c r="J1942" s="1351"/>
      <c r="K1942" s="1351" t="str">
        <f t="shared" si="319"/>
        <v/>
      </c>
      <c r="L1942" s="852"/>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51" t="s">
        <v>1605</v>
      </c>
      <c r="G1943" s="1351" t="str">
        <f t="shared" si="320"/>
        <v/>
      </c>
      <c r="H1943" s="1351" t="s">
        <v>1991</v>
      </c>
      <c r="I1943" s="1307" t="str">
        <f t="shared" si="318"/>
        <v/>
      </c>
      <c r="J1943" s="1351"/>
      <c r="K1943" s="1351" t="str">
        <f t="shared" si="319"/>
        <v/>
      </c>
      <c r="L1943" s="852"/>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51" t="s">
        <v>1605</v>
      </c>
      <c r="G1944" s="1351" t="str">
        <f t="shared" si="320"/>
        <v/>
      </c>
      <c r="H1944" s="1351" t="s">
        <v>1991</v>
      </c>
      <c r="I1944" s="1307" t="str">
        <f t="shared" si="318"/>
        <v/>
      </c>
      <c r="J1944" s="1351"/>
      <c r="K1944" s="1351" t="str">
        <f t="shared" si="319"/>
        <v/>
      </c>
      <c r="L1944" s="852"/>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51" t="s">
        <v>1510</v>
      </c>
      <c r="G1945" s="1351" t="str">
        <f>IF(T1945&lt;&gt;"","AR","")</f>
        <v/>
      </c>
      <c r="H1945" s="1351" t="s">
        <v>1991</v>
      </c>
      <c r="I1945" s="1307"/>
      <c r="J1945" s="1351"/>
      <c r="K1945" s="1351"/>
      <c r="L1945" s="852"/>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51" t="s">
        <v>1510</v>
      </c>
      <c r="G1946" s="1351" t="str">
        <f t="shared" ref="G1946:G1953" si="321">IF(T1946&lt;&gt;"","AR","")</f>
        <v/>
      </c>
      <c r="H1946" s="1351" t="s">
        <v>1991</v>
      </c>
      <c r="I1946" s="1307"/>
      <c r="J1946" s="1351"/>
      <c r="K1946" s="1351"/>
      <c r="L1946" s="852"/>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51" t="s">
        <v>1510</v>
      </c>
      <c r="G1947" s="1351" t="str">
        <f t="shared" si="321"/>
        <v/>
      </c>
      <c r="H1947" s="1351" t="s">
        <v>1991</v>
      </c>
      <c r="I1947" s="1307"/>
      <c r="J1947" s="1351"/>
      <c r="K1947" s="1351"/>
      <c r="L1947" s="852"/>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51" t="s">
        <v>1510</v>
      </c>
      <c r="G1948" s="1351" t="str">
        <f t="shared" si="321"/>
        <v/>
      </c>
      <c r="H1948" s="1351" t="s">
        <v>1991</v>
      </c>
      <c r="I1948" s="1307"/>
      <c r="J1948" s="1351"/>
      <c r="K1948" s="1351"/>
      <c r="L1948" s="852"/>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51" t="s">
        <v>1510</v>
      </c>
      <c r="G1949" s="1351" t="str">
        <f t="shared" si="321"/>
        <v/>
      </c>
      <c r="H1949" s="1351" t="s">
        <v>1991</v>
      </c>
      <c r="I1949" s="1307"/>
      <c r="J1949" s="1351"/>
      <c r="K1949" s="1351"/>
      <c r="L1949" s="852"/>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51" t="s">
        <v>1510</v>
      </c>
      <c r="G1950" s="1351" t="str">
        <f t="shared" si="321"/>
        <v/>
      </c>
      <c r="H1950" s="1351" t="s">
        <v>1991</v>
      </c>
      <c r="I1950" s="1307"/>
      <c r="J1950" s="1351"/>
      <c r="K1950" s="1351"/>
      <c r="L1950" s="852"/>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51" t="s">
        <v>1510</v>
      </c>
      <c r="G1951" s="1351" t="str">
        <f t="shared" si="321"/>
        <v/>
      </c>
      <c r="H1951" s="1351" t="s">
        <v>1991</v>
      </c>
      <c r="I1951" s="1307"/>
      <c r="J1951" s="1351"/>
      <c r="K1951" s="1351"/>
      <c r="L1951" s="852"/>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51" t="s">
        <v>1510</v>
      </c>
      <c r="G1952" s="1351" t="str">
        <f t="shared" si="321"/>
        <v/>
      </c>
      <c r="H1952" s="1351" t="s">
        <v>1991</v>
      </c>
      <c r="I1952" s="1307"/>
      <c r="J1952" s="1351"/>
      <c r="K1952" s="1351"/>
      <c r="L1952" s="852"/>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51" t="s">
        <v>1510</v>
      </c>
      <c r="G1953" s="1351" t="str">
        <f t="shared" si="321"/>
        <v/>
      </c>
      <c r="H1953" s="1351" t="s">
        <v>1991</v>
      </c>
      <c r="I1953" s="1307"/>
      <c r="J1953" s="1351"/>
      <c r="K1953" s="1351"/>
      <c r="L1953" s="852"/>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51" t="s">
        <v>1497</v>
      </c>
      <c r="G1954" s="1351" t="str">
        <f>IF(T1954&lt;&gt;"","AS","")</f>
        <v/>
      </c>
      <c r="H1954" s="1351" t="s">
        <v>1991</v>
      </c>
      <c r="I1954" s="1307" t="str">
        <f t="shared" ref="I1954:I1987" si="324">IF(J1954&lt;&gt;"",A1954,"")</f>
        <v/>
      </c>
      <c r="J1954" s="1351"/>
      <c r="K1954" s="1351" t="str">
        <f t="shared" ref="K1954:K1988" si="325">IF(J1954&lt;&gt;"",E1954,"")</f>
        <v/>
      </c>
      <c r="L1954" s="852"/>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51" t="s">
        <v>1497</v>
      </c>
      <c r="G1955" s="1351" t="str">
        <f t="shared" ref="G1955:G1987" si="326">IF(T1955&lt;&gt;"","AS","")</f>
        <v/>
      </c>
      <c r="H1955" s="1351" t="s">
        <v>1991</v>
      </c>
      <c r="I1955" s="1307" t="str">
        <f t="shared" si="324"/>
        <v/>
      </c>
      <c r="J1955" s="1351"/>
      <c r="K1955" s="1351" t="str">
        <f t="shared" si="325"/>
        <v/>
      </c>
      <c r="L1955" s="852"/>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51" t="s">
        <v>1497</v>
      </c>
      <c r="G1956" s="1351" t="str">
        <f t="shared" si="326"/>
        <v/>
      </c>
      <c r="H1956" s="1351" t="s">
        <v>1991</v>
      </c>
      <c r="I1956" s="1307" t="str">
        <f t="shared" si="324"/>
        <v/>
      </c>
      <c r="J1956" s="1351"/>
      <c r="K1956" s="1351" t="str">
        <f t="shared" si="325"/>
        <v/>
      </c>
      <c r="L1956" s="852"/>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51" t="s">
        <v>1497</v>
      </c>
      <c r="G1957" s="1351" t="str">
        <f t="shared" si="326"/>
        <v/>
      </c>
      <c r="H1957" s="1351" t="s">
        <v>1991</v>
      </c>
      <c r="I1957" s="1307" t="str">
        <f t="shared" si="324"/>
        <v/>
      </c>
      <c r="J1957" s="1351"/>
      <c r="K1957" s="1351" t="str">
        <f t="shared" si="325"/>
        <v/>
      </c>
      <c r="L1957" s="852"/>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51" t="s">
        <v>1497</v>
      </c>
      <c r="G1958" s="1351" t="str">
        <f t="shared" si="326"/>
        <v/>
      </c>
      <c r="H1958" s="1351" t="s">
        <v>1991</v>
      </c>
      <c r="I1958" s="1307" t="str">
        <f t="shared" si="324"/>
        <v/>
      </c>
      <c r="J1958" s="1351"/>
      <c r="K1958" s="1351" t="str">
        <f t="shared" si="325"/>
        <v/>
      </c>
      <c r="L1958" s="852"/>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51" t="s">
        <v>1497</v>
      </c>
      <c r="G1959" s="1351" t="str">
        <f t="shared" si="326"/>
        <v/>
      </c>
      <c r="H1959" s="1351" t="s">
        <v>1991</v>
      </c>
      <c r="I1959" s="1307" t="str">
        <f t="shared" si="324"/>
        <v/>
      </c>
      <c r="J1959" s="1351"/>
      <c r="K1959" s="1351" t="str">
        <f t="shared" si="325"/>
        <v/>
      </c>
      <c r="L1959" s="852"/>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51" t="s">
        <v>1497</v>
      </c>
      <c r="G1960" s="1351" t="str">
        <f t="shared" si="326"/>
        <v/>
      </c>
      <c r="H1960" s="1351" t="s">
        <v>1991</v>
      </c>
      <c r="I1960" s="1307" t="str">
        <f t="shared" si="324"/>
        <v/>
      </c>
      <c r="J1960" s="1351"/>
      <c r="K1960" s="1351" t="str">
        <f t="shared" si="325"/>
        <v/>
      </c>
      <c r="L1960" s="852"/>
      <c r="M1960" s="1366"/>
      <c r="N1960" s="1351"/>
      <c r="O1960" s="1348"/>
      <c r="P1960" s="1348"/>
      <c r="Q1960" s="1348"/>
      <c r="R1960" s="1351" t="s">
        <v>1526</v>
      </c>
      <c r="S1960" s="1348"/>
      <c r="T1960" s="1351" t="str">
        <f>IF(Q$670="Yes",7,"")</f>
        <v/>
      </c>
      <c r="U1960" s="1348"/>
      <c r="V1960" s="1348"/>
      <c r="W1960" s="1348"/>
      <c r="X1960" s="1348"/>
      <c r="Y1960" s="1348"/>
      <c r="Z1960" s="134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51" t="s">
        <v>1497</v>
      </c>
      <c r="G1961" s="1351" t="str">
        <f t="shared" si="326"/>
        <v/>
      </c>
      <c r="H1961" s="1351" t="s">
        <v>1991</v>
      </c>
      <c r="I1961" s="1307" t="str">
        <f t="shared" si="324"/>
        <v/>
      </c>
      <c r="J1961" s="1351"/>
      <c r="K1961" s="1351" t="str">
        <f t="shared" si="325"/>
        <v/>
      </c>
      <c r="L1961" s="852"/>
      <c r="M1961" s="1366"/>
      <c r="N1961" s="1351"/>
      <c r="O1961" s="1348"/>
      <c r="P1961" s="1348"/>
      <c r="Q1961" s="1348"/>
      <c r="R1961" s="1351" t="s">
        <v>1526</v>
      </c>
      <c r="S1961" s="1348"/>
      <c r="T1961" s="1351" t="str">
        <f>IF(Q$688="Yes",8,"")</f>
        <v/>
      </c>
      <c r="U1961" s="1348"/>
      <c r="V1961" s="1348"/>
      <c r="W1961" s="1348"/>
      <c r="X1961" s="1348"/>
      <c r="Y1961" s="1348"/>
      <c r="Z1961" s="134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51" t="s">
        <v>1497</v>
      </c>
      <c r="G1962" s="1351" t="str">
        <f t="shared" si="326"/>
        <v/>
      </c>
      <c r="H1962" s="1351" t="s">
        <v>1991</v>
      </c>
      <c r="I1962" s="1307" t="str">
        <f t="shared" si="324"/>
        <v/>
      </c>
      <c r="J1962" s="1351"/>
      <c r="K1962" s="1351" t="str">
        <f t="shared" si="325"/>
        <v/>
      </c>
      <c r="L1962" s="852"/>
      <c r="M1962" s="1366"/>
      <c r="N1962" s="1351"/>
      <c r="O1962" s="1348"/>
      <c r="P1962" s="1348"/>
      <c r="Q1962" s="1348"/>
      <c r="R1962" s="1351" t="s">
        <v>1526</v>
      </c>
      <c r="S1962" s="1348"/>
      <c r="T1962" s="1351" t="str">
        <f>IF(Q$706="Yes",9,"")</f>
        <v/>
      </c>
      <c r="U1962" s="1348"/>
      <c r="V1962" s="1348"/>
      <c r="W1962" s="1348"/>
      <c r="X1962" s="1348"/>
      <c r="Y1962" s="1348"/>
      <c r="Z1962" s="134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51" t="s">
        <v>1497</v>
      </c>
      <c r="G1963" s="1351" t="str">
        <f t="shared" si="326"/>
        <v/>
      </c>
      <c r="H1963" s="1351" t="s">
        <v>1991</v>
      </c>
      <c r="I1963" s="1307" t="str">
        <f t="shared" si="324"/>
        <v/>
      </c>
      <c r="J1963" s="1351"/>
      <c r="K1963" s="1351" t="str">
        <f t="shared" si="325"/>
        <v/>
      </c>
      <c r="L1963" s="852"/>
      <c r="M1963" s="1366"/>
      <c r="N1963" s="1351"/>
      <c r="O1963" s="1348"/>
      <c r="P1963" s="1348"/>
      <c r="Q1963" s="1348"/>
      <c r="R1963" s="1351" t="s">
        <v>1526</v>
      </c>
      <c r="S1963" s="1348"/>
      <c r="T1963" s="1351" t="str">
        <f>IF(Q$736="Yes",10,"")</f>
        <v/>
      </c>
      <c r="U1963" s="1348"/>
      <c r="V1963" s="1348"/>
      <c r="W1963" s="1348"/>
      <c r="X1963" s="1348"/>
      <c r="Y1963" s="1348"/>
      <c r="Z1963" s="134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51" t="s">
        <v>1497</v>
      </c>
      <c r="G1964" s="1351" t="str">
        <f t="shared" si="326"/>
        <v/>
      </c>
      <c r="H1964" s="1351" t="s">
        <v>1991</v>
      </c>
      <c r="I1964" s="1307" t="str">
        <f t="shared" si="324"/>
        <v/>
      </c>
      <c r="J1964" s="1351"/>
      <c r="K1964" s="1351" t="str">
        <f t="shared" si="325"/>
        <v/>
      </c>
      <c r="L1964" s="852"/>
      <c r="M1964" s="1366"/>
      <c r="N1964" s="1351"/>
      <c r="O1964" s="1348"/>
      <c r="P1964" s="1348"/>
      <c r="Q1964" s="1348"/>
      <c r="R1964" s="1351" t="s">
        <v>1532</v>
      </c>
      <c r="S1964" s="1348"/>
      <c r="T1964" s="1351" t="str">
        <f>IF(Q$766="Yes",11,"")</f>
        <v/>
      </c>
      <c r="U1964" s="1348"/>
      <c r="V1964" s="1348"/>
      <c r="W1964" s="1348"/>
      <c r="X1964" s="1348"/>
      <c r="Y1964" s="1348"/>
      <c r="Z1964" s="134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51" t="s">
        <v>1497</v>
      </c>
      <c r="G1965" s="1351" t="str">
        <f t="shared" si="326"/>
        <v/>
      </c>
      <c r="H1965" s="1351" t="s">
        <v>1991</v>
      </c>
      <c r="I1965" s="1307" t="str">
        <f t="shared" si="324"/>
        <v/>
      </c>
      <c r="J1965" s="1351"/>
      <c r="K1965" s="1351" t="str">
        <f t="shared" si="325"/>
        <v/>
      </c>
      <c r="L1965" s="852"/>
      <c r="M1965" s="1366"/>
      <c r="N1965" s="1351"/>
      <c r="O1965" s="1348"/>
      <c r="P1965" s="1348"/>
      <c r="Q1965" s="1348"/>
      <c r="R1965" s="1351" t="s">
        <v>1532</v>
      </c>
      <c r="S1965" s="1348"/>
      <c r="T1965" s="1351" t="str">
        <f>IF(Q$781="Yes",12,"")</f>
        <v/>
      </c>
      <c r="U1965" s="1348"/>
      <c r="V1965" s="1348"/>
      <c r="W1965" s="1348"/>
      <c r="X1965" s="1348"/>
      <c r="Y1965" s="1348"/>
      <c r="Z1965" s="134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51" t="s">
        <v>1497</v>
      </c>
      <c r="G1966" s="1351" t="str">
        <f t="shared" si="326"/>
        <v/>
      </c>
      <c r="H1966" s="1351" t="s">
        <v>1991</v>
      </c>
      <c r="I1966" s="1307" t="str">
        <f t="shared" si="324"/>
        <v/>
      </c>
      <c r="J1966" s="1351"/>
      <c r="K1966" s="1351" t="str">
        <f t="shared" si="325"/>
        <v/>
      </c>
      <c r="L1966" s="852"/>
      <c r="M1966" s="1366"/>
      <c r="N1966" s="1351"/>
      <c r="O1966" s="1348"/>
      <c r="P1966" s="1348"/>
      <c r="Q1966" s="1348"/>
      <c r="R1966" s="1351" t="s">
        <v>1532</v>
      </c>
      <c r="S1966" s="1348"/>
      <c r="T1966" s="1351" t="str">
        <f>IF(Q$796="Yes",13,"")</f>
        <v/>
      </c>
      <c r="U1966" s="1348"/>
      <c r="V1966" s="1348"/>
      <c r="W1966" s="1348"/>
      <c r="X1966" s="1348"/>
      <c r="Y1966" s="1348"/>
      <c r="Z1966" s="134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51" t="s">
        <v>1497</v>
      </c>
      <c r="G1967" s="1351" t="str">
        <f t="shared" si="326"/>
        <v/>
      </c>
      <c r="H1967" s="1351" t="s">
        <v>1991</v>
      </c>
      <c r="I1967" s="1307" t="str">
        <f t="shared" si="324"/>
        <v/>
      </c>
      <c r="J1967" s="1351"/>
      <c r="K1967" s="1351" t="str">
        <f t="shared" si="325"/>
        <v/>
      </c>
      <c r="L1967" s="852"/>
      <c r="M1967" s="1366"/>
      <c r="N1967" s="1351"/>
      <c r="O1967" s="1348"/>
      <c r="P1967" s="1348"/>
      <c r="Q1967" s="1348"/>
      <c r="R1967" s="1351" t="s">
        <v>1532</v>
      </c>
      <c r="S1967" s="1348"/>
      <c r="T1967" s="1351" t="str">
        <f>IF(Q$814="Yes",14,"")</f>
        <v/>
      </c>
      <c r="U1967" s="1348"/>
      <c r="V1967" s="1348"/>
      <c r="W1967" s="1348"/>
      <c r="X1967" s="1348"/>
      <c r="Y1967" s="1348"/>
      <c r="Z1967" s="134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51" t="s">
        <v>1497</v>
      </c>
      <c r="G1968" s="1351" t="str">
        <f t="shared" si="326"/>
        <v/>
      </c>
      <c r="H1968" s="1351" t="s">
        <v>1991</v>
      </c>
      <c r="I1968" s="1307" t="str">
        <f t="shared" si="324"/>
        <v/>
      </c>
      <c r="J1968" s="1351"/>
      <c r="K1968" s="1351" t="str">
        <f t="shared" si="325"/>
        <v/>
      </c>
      <c r="L1968" s="852"/>
      <c r="M1968" s="1366"/>
      <c r="N1968" s="1351"/>
      <c r="O1968" s="1348"/>
      <c r="P1968" s="1348"/>
      <c r="Q1968" s="1348"/>
      <c r="R1968" s="1351" t="s">
        <v>1532</v>
      </c>
      <c r="S1968" s="1348"/>
      <c r="T1968" s="1351" t="str">
        <f>IF(Q$832="Yes",15,"")</f>
        <v/>
      </c>
      <c r="U1968" s="1348"/>
      <c r="V1968" s="1348"/>
      <c r="W1968" s="1348"/>
      <c r="X1968" s="1348"/>
      <c r="Y1968" s="1348"/>
      <c r="Z1968" s="134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51" t="s">
        <v>1497</v>
      </c>
      <c r="G1969" s="1351" t="str">
        <f t="shared" si="326"/>
        <v/>
      </c>
      <c r="H1969" s="1351" t="s">
        <v>1991</v>
      </c>
      <c r="I1969" s="1307" t="str">
        <f t="shared" si="324"/>
        <v/>
      </c>
      <c r="J1969" s="1351"/>
      <c r="K1969" s="1351" t="str">
        <f t="shared" si="325"/>
        <v/>
      </c>
      <c r="L1969" s="852"/>
      <c r="M1969" s="1366"/>
      <c r="N1969" s="1351"/>
      <c r="O1969" s="1348"/>
      <c r="P1969" s="1348"/>
      <c r="Q1969" s="1348"/>
      <c r="R1969" s="1351" t="s">
        <v>1532</v>
      </c>
      <c r="S1969" s="1348"/>
      <c r="T1969" s="1351" t="str">
        <f>IF(Q$862="Yes",16,"")</f>
        <v/>
      </c>
      <c r="U1969" s="1348"/>
      <c r="V1969" s="1348"/>
      <c r="W1969" s="1348"/>
      <c r="X1969" s="1348"/>
      <c r="Y1969" s="1348"/>
      <c r="Z1969" s="134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51" t="s">
        <v>1497</v>
      </c>
      <c r="G1970" s="1351" t="str">
        <f t="shared" si="326"/>
        <v/>
      </c>
      <c r="H1970" s="1351" t="s">
        <v>1991</v>
      </c>
      <c r="I1970" s="1307" t="str">
        <f t="shared" si="324"/>
        <v/>
      </c>
      <c r="J1970" s="1351"/>
      <c r="K1970" s="1351" t="str">
        <f t="shared" si="325"/>
        <v/>
      </c>
      <c r="L1970" s="852"/>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51" t="s">
        <v>1497</v>
      </c>
      <c r="G1971" s="1351" t="str">
        <f t="shared" si="326"/>
        <v/>
      </c>
      <c r="H1971" s="1351" t="s">
        <v>1991</v>
      </c>
      <c r="I1971" s="1307" t="str">
        <f t="shared" si="324"/>
        <v/>
      </c>
      <c r="J1971" s="1351"/>
      <c r="K1971" s="1351" t="str">
        <f t="shared" si="325"/>
        <v/>
      </c>
      <c r="L1971" s="852"/>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51" t="s">
        <v>1497</v>
      </c>
      <c r="G1972" s="1351" t="str">
        <f t="shared" si="326"/>
        <v/>
      </c>
      <c r="H1972" s="1351" t="s">
        <v>1991</v>
      </c>
      <c r="I1972" s="1307" t="str">
        <f t="shared" si="324"/>
        <v/>
      </c>
      <c r="J1972" s="1351"/>
      <c r="K1972" s="1351" t="str">
        <f t="shared" si="325"/>
        <v/>
      </c>
      <c r="L1972" s="852"/>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51" t="s">
        <v>1497</v>
      </c>
      <c r="G1973" s="1351" t="str">
        <f t="shared" si="326"/>
        <v/>
      </c>
      <c r="H1973" s="1351" t="s">
        <v>1991</v>
      </c>
      <c r="I1973" s="1307" t="str">
        <f t="shared" si="324"/>
        <v/>
      </c>
      <c r="J1973" s="1351"/>
      <c r="K1973" s="1351" t="str">
        <f t="shared" si="325"/>
        <v/>
      </c>
      <c r="L1973" s="852"/>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51" t="s">
        <v>1497</v>
      </c>
      <c r="G1974" s="1351" t="str">
        <f t="shared" si="326"/>
        <v/>
      </c>
      <c r="H1974" s="1351" t="s">
        <v>1991</v>
      </c>
      <c r="I1974" s="1307" t="str">
        <f t="shared" si="324"/>
        <v/>
      </c>
      <c r="J1974" s="1351"/>
      <c r="K1974" s="1351" t="str">
        <f t="shared" si="325"/>
        <v/>
      </c>
      <c r="L1974" s="852"/>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51" t="s">
        <v>1497</v>
      </c>
      <c r="G1975" s="1351" t="str">
        <f t="shared" si="326"/>
        <v/>
      </c>
      <c r="H1975" s="1351" t="s">
        <v>1991</v>
      </c>
      <c r="I1975" s="1307" t="str">
        <f t="shared" si="324"/>
        <v/>
      </c>
      <c r="J1975" s="1351"/>
      <c r="K1975" s="1351" t="str">
        <f t="shared" si="325"/>
        <v/>
      </c>
      <c r="L1975" s="852"/>
      <c r="M1975" s="1366"/>
      <c r="N1975" s="1351"/>
      <c r="O1975" s="1348"/>
      <c r="P1975" s="1348"/>
      <c r="Q1975" s="1348"/>
      <c r="R1975" s="1351" t="s">
        <v>1697</v>
      </c>
      <c r="S1975" s="1348"/>
      <c r="T1975" s="1351" t="str">
        <f>IF(Q$987="Yes",22,"")</f>
        <v/>
      </c>
      <c r="U1975" s="1348"/>
      <c r="V1975" s="1348"/>
      <c r="W1975" s="1348"/>
      <c r="X1975" s="1348"/>
      <c r="Y1975" s="1348"/>
      <c r="Z1975" s="134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51" t="s">
        <v>1497</v>
      </c>
      <c r="G1976" s="1351" t="str">
        <f t="shared" si="326"/>
        <v/>
      </c>
      <c r="H1976" s="1351" t="s">
        <v>1991</v>
      </c>
      <c r="I1976" s="1307" t="str">
        <f t="shared" si="324"/>
        <v/>
      </c>
      <c r="J1976" s="1351"/>
      <c r="K1976" s="1351" t="str">
        <f t="shared" si="325"/>
        <v/>
      </c>
      <c r="L1976" s="852"/>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51" t="s">
        <v>1497</v>
      </c>
      <c r="G1977" s="1351" t="str">
        <f t="shared" si="326"/>
        <v/>
      </c>
      <c r="H1977" s="1351" t="s">
        <v>1991</v>
      </c>
      <c r="I1977" s="1307" t="str">
        <f t="shared" si="324"/>
        <v/>
      </c>
      <c r="J1977" s="1351"/>
      <c r="K1977" s="1351" t="str">
        <f t="shared" si="325"/>
        <v/>
      </c>
      <c r="L1977" s="852"/>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51" t="s">
        <v>1497</v>
      </c>
      <c r="G1978" s="1351" t="str">
        <f t="shared" si="326"/>
        <v/>
      </c>
      <c r="H1978" s="1351" t="s">
        <v>1991</v>
      </c>
      <c r="I1978" s="1307" t="str">
        <f t="shared" si="324"/>
        <v/>
      </c>
      <c r="J1978" s="1351"/>
      <c r="K1978" s="1351" t="str">
        <f t="shared" si="325"/>
        <v/>
      </c>
      <c r="L1978" s="852"/>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51" t="s">
        <v>1497</v>
      </c>
      <c r="G1979" s="1351" t="str">
        <f t="shared" si="326"/>
        <v/>
      </c>
      <c r="H1979" s="1351" t="s">
        <v>1991</v>
      </c>
      <c r="I1979" s="1307" t="str">
        <f t="shared" si="324"/>
        <v/>
      </c>
      <c r="J1979" s="1351"/>
      <c r="K1979" s="1351" t="str">
        <f t="shared" si="325"/>
        <v/>
      </c>
      <c r="L1979" s="852"/>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51" t="s">
        <v>1497</v>
      </c>
      <c r="G1980" s="1351" t="str">
        <f t="shared" si="326"/>
        <v/>
      </c>
      <c r="H1980" s="1351" t="s">
        <v>1991</v>
      </c>
      <c r="I1980" s="1307" t="str">
        <f t="shared" si="324"/>
        <v/>
      </c>
      <c r="J1980" s="1351"/>
      <c r="K1980" s="1351" t="str">
        <f t="shared" si="325"/>
        <v/>
      </c>
      <c r="L1980" s="852"/>
      <c r="M1980" s="1366"/>
      <c r="N1980" s="1351"/>
      <c r="O1980" s="1348"/>
      <c r="P1980" s="1348"/>
      <c r="Q1980" s="1348"/>
      <c r="R1980" s="1351" t="s">
        <v>1701</v>
      </c>
      <c r="S1980" s="1348"/>
      <c r="T1980" s="1351" t="str">
        <f>IF(Q$1052="Yes",27,"")</f>
        <v/>
      </c>
      <c r="U1980" s="1348"/>
      <c r="V1980" s="1348"/>
      <c r="W1980" s="1348"/>
      <c r="X1980" s="1348"/>
      <c r="Y1980" s="1348"/>
      <c r="Z1980" s="134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51" t="s">
        <v>1497</v>
      </c>
      <c r="G1981" s="1351" t="str">
        <f t="shared" si="326"/>
        <v/>
      </c>
      <c r="H1981" s="1351" t="s">
        <v>1991</v>
      </c>
      <c r="I1981" s="1307" t="str">
        <f t="shared" si="324"/>
        <v/>
      </c>
      <c r="J1981" s="1351"/>
      <c r="K1981" s="1351" t="str">
        <f t="shared" si="325"/>
        <v/>
      </c>
      <c r="L1981" s="852"/>
      <c r="M1981" s="1366"/>
      <c r="N1981" s="1351"/>
      <c r="O1981" s="1348"/>
      <c r="P1981" s="1348"/>
      <c r="Q1981" s="1348"/>
      <c r="R1981" s="1351" t="s">
        <v>1701</v>
      </c>
      <c r="S1981" s="1348"/>
      <c r="T1981" s="1351" t="str">
        <f>IF(Q$1069="Yes",28,"")</f>
        <v/>
      </c>
      <c r="U1981" s="1348"/>
      <c r="V1981" s="1348"/>
      <c r="W1981" s="1348"/>
      <c r="X1981" s="1348"/>
      <c r="Y1981" s="1348"/>
      <c r="Z1981" s="134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51" t="s">
        <v>1497</v>
      </c>
      <c r="G1982" s="1351" t="str">
        <f t="shared" si="326"/>
        <v/>
      </c>
      <c r="H1982" s="1351" t="s">
        <v>1991</v>
      </c>
      <c r="I1982" s="1307" t="str">
        <f t="shared" si="324"/>
        <v/>
      </c>
      <c r="J1982" s="1351"/>
      <c r="K1982" s="1351" t="str">
        <f t="shared" si="325"/>
        <v/>
      </c>
      <c r="L1982" s="852"/>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51" t="s">
        <v>1497</v>
      </c>
      <c r="G1983" s="1351" t="str">
        <f t="shared" si="326"/>
        <v/>
      </c>
      <c r="H1983" s="1351" t="s">
        <v>1991</v>
      </c>
      <c r="I1983" s="1307" t="str">
        <f t="shared" si="324"/>
        <v/>
      </c>
      <c r="J1983" s="1351"/>
      <c r="K1983" s="1351" t="str">
        <f t="shared" si="325"/>
        <v/>
      </c>
      <c r="L1983" s="852"/>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51" t="s">
        <v>1497</v>
      </c>
      <c r="G1984" s="1351" t="str">
        <f t="shared" si="326"/>
        <v/>
      </c>
      <c r="H1984" s="1351" t="s">
        <v>1991</v>
      </c>
      <c r="I1984" s="1307" t="str">
        <f t="shared" si="324"/>
        <v/>
      </c>
      <c r="J1984" s="1351"/>
      <c r="K1984" s="1351" t="str">
        <f t="shared" si="325"/>
        <v/>
      </c>
      <c r="L1984" s="852"/>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51" t="s">
        <v>1497</v>
      </c>
      <c r="G1985" s="1351" t="str">
        <f t="shared" si="326"/>
        <v/>
      </c>
      <c r="H1985" s="1351" t="s">
        <v>1991</v>
      </c>
      <c r="I1985" s="1307" t="str">
        <f t="shared" si="324"/>
        <v/>
      </c>
      <c r="J1985" s="1351"/>
      <c r="K1985" s="1351" t="str">
        <f t="shared" si="325"/>
        <v/>
      </c>
      <c r="L1985" s="852"/>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51" t="s">
        <v>1497</v>
      </c>
      <c r="G1986" s="1351" t="str">
        <f t="shared" si="326"/>
        <v/>
      </c>
      <c r="H1986" s="1351" t="s">
        <v>1991</v>
      </c>
      <c r="I1986" s="1307" t="str">
        <f t="shared" si="324"/>
        <v/>
      </c>
      <c r="J1986" s="1351"/>
      <c r="K1986" s="1351" t="str">
        <f t="shared" si="325"/>
        <v/>
      </c>
      <c r="L1986" s="852"/>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51" t="s">
        <v>1497</v>
      </c>
      <c r="G1987" s="1351" t="str">
        <f t="shared" si="326"/>
        <v/>
      </c>
      <c r="H1987" s="1351" t="s">
        <v>1991</v>
      </c>
      <c r="I1987" s="1307" t="str">
        <f t="shared" si="324"/>
        <v/>
      </c>
      <c r="J1987" s="1351"/>
      <c r="K1987" s="1351" t="str">
        <f t="shared" si="325"/>
        <v/>
      </c>
      <c r="L1987" s="852"/>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51" t="s">
        <v>2003</v>
      </c>
      <c r="G1988" s="817" t="s">
        <v>1353</v>
      </c>
      <c r="H1988" s="817" t="s">
        <v>2079</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390" t="str">
        <f>IF(T1990&lt;&gt;"","A","")</f>
        <v/>
      </c>
      <c r="H1990" s="1390" t="s">
        <v>1991</v>
      </c>
      <c r="I1990" s="852"/>
      <c r="J1990" s="852"/>
      <c r="K1990" s="852"/>
      <c r="L1990" s="852" t="s">
        <v>1492</v>
      </c>
      <c r="M1990" s="1369">
        <v>1209</v>
      </c>
      <c r="N1990" s="852"/>
      <c r="O1990" s="1385" t="s">
        <v>725</v>
      </c>
      <c r="R1990" s="1387" t="s">
        <v>2044</v>
      </c>
      <c r="T1990" s="1390" t="str">
        <f>IF(Q$1991="Yes",36,"")</f>
        <v/>
      </c>
    </row>
    <row r="1991" spans="1:26" s="1385"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390"/>
      <c r="H1991" s="1390"/>
      <c r="I1991" s="852"/>
      <c r="J1991" s="852"/>
      <c r="K1991" s="852"/>
      <c r="L1991" s="852" t="s">
        <v>1706</v>
      </c>
      <c r="M1991" s="1369">
        <v>1210</v>
      </c>
      <c r="N1991" s="852"/>
      <c r="O1991" s="1385">
        <v>503</v>
      </c>
      <c r="P1991" s="18" t="str">
        <f>'Configurable Tab'!J38</f>
        <v>No</v>
      </c>
      <c r="Q1991" s="1385" t="s">
        <v>648</v>
      </c>
      <c r="R1991" s="1387" t="s">
        <v>2044</v>
      </c>
      <c r="T1991" s="1390" t="str">
        <f t="shared" ref="T1991:T2000" si="327">IF(Q$1991="Yes",36,"")</f>
        <v/>
      </c>
    </row>
    <row r="1992" spans="1:26" s="1385"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390" t="str">
        <f>IF(T1992&lt;&gt;"","B","")</f>
        <v/>
      </c>
      <c r="H1992" s="1390" t="s">
        <v>1991</v>
      </c>
      <c r="I1992" s="852"/>
      <c r="J1992" s="852"/>
      <c r="K1992" s="852"/>
      <c r="L1992" s="852" t="s">
        <v>1383</v>
      </c>
      <c r="M1992" s="1369">
        <v>1211</v>
      </c>
      <c r="N1992" s="852"/>
      <c r="O1992" s="1385" t="s">
        <v>726</v>
      </c>
      <c r="R1992" s="1387" t="s">
        <v>2044</v>
      </c>
      <c r="T1992" s="1390" t="str">
        <f t="shared" si="327"/>
        <v/>
      </c>
    </row>
    <row r="1993" spans="1:26" s="1385"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390" t="str">
        <f>IF(T1993&lt;&gt;"","I","")</f>
        <v/>
      </c>
      <c r="H1993" s="1390" t="s">
        <v>1991</v>
      </c>
      <c r="I1993" s="852"/>
      <c r="J1993" s="852"/>
      <c r="K1993" s="852"/>
      <c r="L1993" s="852" t="s">
        <v>1381</v>
      </c>
      <c r="M1993" s="1369">
        <v>1212</v>
      </c>
      <c r="N1993" s="852"/>
      <c r="O1993" s="1385">
        <v>516</v>
      </c>
      <c r="R1993" s="1387" t="s">
        <v>2044</v>
      </c>
      <c r="T1993" s="1390" t="str">
        <f t="shared" si="327"/>
        <v/>
      </c>
    </row>
    <row r="1994" spans="1:26" s="1385"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390" t="str">
        <f>IF(T1994&lt;&gt;"",IF(Q1993="Credit Memo","J",IF(Q1993="Check","K","")),"")</f>
        <v/>
      </c>
      <c r="H1994" s="1390" t="s">
        <v>1991</v>
      </c>
      <c r="I1994" s="852"/>
      <c r="J1994" s="852"/>
      <c r="K1994" s="852"/>
      <c r="L1994" s="852" t="s">
        <v>1382</v>
      </c>
      <c r="M1994" s="1369">
        <v>1213</v>
      </c>
      <c r="N1994" s="852"/>
      <c r="O1994" s="1385" t="s">
        <v>2027</v>
      </c>
      <c r="R1994" s="1387" t="s">
        <v>2044</v>
      </c>
      <c r="T1994" s="1390" t="str">
        <f t="shared" si="327"/>
        <v/>
      </c>
    </row>
    <row r="1995" spans="1:26" s="1385"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390" t="str">
        <f>IF(T1995&lt;&gt;"","C","")</f>
        <v/>
      </c>
      <c r="H1995" s="1390" t="s">
        <v>1991</v>
      </c>
      <c r="I1995" s="852"/>
      <c r="J1995" s="852"/>
      <c r="K1995" s="852"/>
      <c r="L1995" s="852" t="s">
        <v>1385</v>
      </c>
      <c r="M1995" s="1369">
        <v>1214</v>
      </c>
      <c r="N1995" s="852"/>
      <c r="R1995" s="1387" t="s">
        <v>2044</v>
      </c>
      <c r="T1995" s="1390" t="str">
        <f t="shared" si="327"/>
        <v/>
      </c>
    </row>
    <row r="1996" spans="1:26" s="1385"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390" t="str">
        <f>IF(T1996&lt;&gt;"","D","")</f>
        <v/>
      </c>
      <c r="H1996" s="1390" t="s">
        <v>1991</v>
      </c>
      <c r="I1996" s="852"/>
      <c r="J1996" s="852"/>
      <c r="K1996" s="852"/>
      <c r="L1996" s="852" t="s">
        <v>1386</v>
      </c>
      <c r="M1996" s="1369">
        <v>1215</v>
      </c>
      <c r="N1996" s="852"/>
      <c r="R1996" s="1387" t="s">
        <v>2044</v>
      </c>
      <c r="T1996" s="1390" t="str">
        <f t="shared" si="327"/>
        <v/>
      </c>
    </row>
    <row r="1997" spans="1:26" s="1385"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391" t="s">
        <v>1396</v>
      </c>
      <c r="G1997" s="1391" t="str">
        <f>IF(T1997&lt;&gt;"","S","")</f>
        <v/>
      </c>
      <c r="H1997" s="1391" t="s">
        <v>1991</v>
      </c>
      <c r="I1997" s="852"/>
      <c r="J1997" s="852"/>
      <c r="K1997" s="852"/>
      <c r="L1997" s="852" t="s">
        <v>1396</v>
      </c>
      <c r="M1997" s="1369">
        <v>1216</v>
      </c>
      <c r="N1997" s="852"/>
      <c r="R1997" s="1387" t="s">
        <v>2044</v>
      </c>
      <c r="T1997" s="1390" t="str">
        <f t="shared" si="327"/>
        <v/>
      </c>
    </row>
    <row r="1998" spans="1:26" s="1385"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390" t="str">
        <f>IF(T1998&lt;&gt;"","AQ","")</f>
        <v/>
      </c>
      <c r="H1998" s="1390" t="s">
        <v>1991</v>
      </c>
      <c r="I1998" s="852"/>
      <c r="J1998" s="852"/>
      <c r="K1998" s="852"/>
      <c r="L1998" s="852" t="s">
        <v>2006</v>
      </c>
      <c r="M1998" s="1369">
        <v>1217</v>
      </c>
      <c r="N1998" s="852"/>
      <c r="R1998" s="1387" t="s">
        <v>2044</v>
      </c>
      <c r="T1998" s="1390" t="str">
        <f t="shared" si="327"/>
        <v/>
      </c>
    </row>
    <row r="1999" spans="1:26" s="1385"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390" t="str">
        <f>IF(T1999&lt;&gt;"","AA","")</f>
        <v/>
      </c>
      <c r="H1999" s="1390" t="s">
        <v>1991</v>
      </c>
      <c r="I1999" s="852"/>
      <c r="J1999" s="852"/>
      <c r="K1999" s="852"/>
      <c r="L1999" s="852" t="s">
        <v>2007</v>
      </c>
      <c r="M1999" s="1369">
        <v>1218</v>
      </c>
      <c r="N1999" s="852"/>
      <c r="R1999" s="1387" t="s">
        <v>2044</v>
      </c>
      <c r="T1999" s="1390" t="str">
        <f t="shared" si="327"/>
        <v/>
      </c>
    </row>
    <row r="2000" spans="1:26" s="1385"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390" t="str">
        <f>IF(T2000&lt;&gt;"","H","")</f>
        <v/>
      </c>
      <c r="H2000" s="1390" t="s">
        <v>1991</v>
      </c>
      <c r="I2000" s="852"/>
      <c r="J2000" s="852"/>
      <c r="K2000" s="852"/>
      <c r="L2000" s="852" t="s">
        <v>1397</v>
      </c>
      <c r="M2000" s="1369">
        <v>1219</v>
      </c>
      <c r="N2000" s="852"/>
      <c r="R2000" s="1387" t="s">
        <v>2044</v>
      </c>
      <c r="T2000" s="1390" t="str">
        <f t="shared" si="327"/>
        <v/>
      </c>
    </row>
    <row r="2001" spans="1:20" s="1385"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390" t="str">
        <f>IF(T2001&lt;&gt;"","A","")</f>
        <v/>
      </c>
      <c r="H2001" s="1390" t="s">
        <v>1991</v>
      </c>
      <c r="I2001" s="852"/>
      <c r="J2001" s="852"/>
      <c r="K2001" s="852"/>
      <c r="L2001" s="852" t="s">
        <v>1492</v>
      </c>
      <c r="M2001" s="1369">
        <v>1220</v>
      </c>
      <c r="N2001" s="852"/>
      <c r="O2001" s="1385" t="s">
        <v>725</v>
      </c>
      <c r="R2001" s="1387" t="s">
        <v>2045</v>
      </c>
      <c r="T2001" s="1390" t="str">
        <f>IF(Q$2002="Yes",37,"")</f>
        <v/>
      </c>
    </row>
    <row r="2002" spans="1:20" s="1385"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390"/>
      <c r="H2002" s="1390"/>
      <c r="I2002" s="852"/>
      <c r="J2002" s="852"/>
      <c r="K2002" s="852"/>
      <c r="L2002" s="852" t="s">
        <v>1706</v>
      </c>
      <c r="M2002" s="1369">
        <v>1221</v>
      </c>
      <c r="N2002" s="852"/>
      <c r="O2002" s="1385">
        <v>517</v>
      </c>
      <c r="P2002" s="18" t="str">
        <f>'Configurable Tab'!J39</f>
        <v>No</v>
      </c>
      <c r="Q2002" s="1388" t="s">
        <v>648</v>
      </c>
      <c r="R2002" s="1387" t="s">
        <v>2045</v>
      </c>
      <c r="T2002" s="1390" t="str">
        <f t="shared" ref="T2002:T2011" si="328">IF(Q$2002="Yes",37,"")</f>
        <v/>
      </c>
    </row>
    <row r="2003" spans="1:20" s="1385"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390" t="str">
        <f>IF(T2003&lt;&gt;"","B","")</f>
        <v/>
      </c>
      <c r="H2003" s="1390" t="s">
        <v>1991</v>
      </c>
      <c r="I2003" s="852"/>
      <c r="J2003" s="852"/>
      <c r="K2003" s="852"/>
      <c r="L2003" s="852" t="s">
        <v>1383</v>
      </c>
      <c r="M2003" s="1369">
        <v>1222</v>
      </c>
      <c r="N2003" s="852"/>
      <c r="O2003" s="1385" t="s">
        <v>726</v>
      </c>
      <c r="R2003" s="1387" t="s">
        <v>2045</v>
      </c>
      <c r="T2003" s="1604" t="str">
        <f t="shared" si="328"/>
        <v/>
      </c>
    </row>
    <row r="2004" spans="1:20" s="1385"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390" t="str">
        <f>IF(T2004&lt;&gt;"","I","")</f>
        <v/>
      </c>
      <c r="H2004" s="1390" t="s">
        <v>1991</v>
      </c>
      <c r="I2004" s="852"/>
      <c r="J2004" s="852"/>
      <c r="K2004" s="852"/>
      <c r="L2004" s="852" t="s">
        <v>1381</v>
      </c>
      <c r="M2004" s="1369">
        <v>1223</v>
      </c>
      <c r="N2004" s="852"/>
      <c r="O2004" s="1385">
        <v>530</v>
      </c>
      <c r="R2004" s="1387" t="s">
        <v>2045</v>
      </c>
      <c r="T2004" s="1604" t="str">
        <f t="shared" si="328"/>
        <v/>
      </c>
    </row>
    <row r="2005" spans="1:20" s="1385"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390" t="str">
        <f>IF(T2005&lt;&gt;"",IF(Q2004="Credit Memo","J",IF(Q2004="Check","K","")),"")</f>
        <v/>
      </c>
      <c r="H2005" s="1390" t="s">
        <v>1991</v>
      </c>
      <c r="I2005" s="852"/>
      <c r="J2005" s="852"/>
      <c r="K2005" s="852"/>
      <c r="L2005" s="852" t="s">
        <v>1382</v>
      </c>
      <c r="M2005" s="1369">
        <v>1224</v>
      </c>
      <c r="N2005" s="852"/>
      <c r="O2005" s="1385" t="s">
        <v>2028</v>
      </c>
      <c r="R2005" s="1387" t="s">
        <v>2045</v>
      </c>
      <c r="T2005" s="1604" t="str">
        <f t="shared" si="328"/>
        <v/>
      </c>
    </row>
    <row r="2006" spans="1:20" s="1385"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390" t="str">
        <f>IF(T2006&lt;&gt;"","C","")</f>
        <v/>
      </c>
      <c r="H2006" s="1390" t="s">
        <v>1991</v>
      </c>
      <c r="I2006" s="852"/>
      <c r="J2006" s="852"/>
      <c r="K2006" s="852"/>
      <c r="L2006" s="852" t="s">
        <v>1385</v>
      </c>
      <c r="M2006" s="1369">
        <v>1225</v>
      </c>
      <c r="N2006" s="852"/>
      <c r="R2006" s="1387" t="s">
        <v>2045</v>
      </c>
      <c r="T2006" s="1604" t="str">
        <f t="shared" si="328"/>
        <v/>
      </c>
    </row>
    <row r="2007" spans="1:20" s="1385"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390" t="str">
        <f>IF(T2007&lt;&gt;"","D","")</f>
        <v/>
      </c>
      <c r="H2007" s="1390" t="s">
        <v>1991</v>
      </c>
      <c r="I2007" s="852"/>
      <c r="J2007" s="852"/>
      <c r="K2007" s="852"/>
      <c r="L2007" s="852" t="s">
        <v>1386</v>
      </c>
      <c r="M2007" s="1369">
        <v>1226</v>
      </c>
      <c r="N2007" s="852"/>
      <c r="R2007" s="1387" t="s">
        <v>2045</v>
      </c>
      <c r="T2007" s="1604" t="str">
        <f t="shared" si="328"/>
        <v/>
      </c>
    </row>
    <row r="2008" spans="1:20" s="1385"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390" t="s">
        <v>1396</v>
      </c>
      <c r="G2008" s="1390" t="str">
        <f t="shared" ref="G2008:G2052" si="329">IF(T2008&lt;&gt;"","S","")</f>
        <v/>
      </c>
      <c r="H2008" s="1390" t="s">
        <v>1991</v>
      </c>
      <c r="I2008" s="852"/>
      <c r="J2008" s="852"/>
      <c r="K2008" s="852"/>
      <c r="L2008" s="852" t="s">
        <v>1396</v>
      </c>
      <c r="M2008" s="1369">
        <v>1227</v>
      </c>
      <c r="N2008" s="852"/>
      <c r="R2008" s="1387" t="s">
        <v>2045</v>
      </c>
      <c r="T2008" s="1604" t="str">
        <f t="shared" si="328"/>
        <v/>
      </c>
    </row>
    <row r="2009" spans="1:20" s="1385"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390" t="str">
        <f>IF(T2009&lt;&gt;"","AQ","")</f>
        <v/>
      </c>
      <c r="H2009" s="1390" t="s">
        <v>1991</v>
      </c>
      <c r="I2009" s="852"/>
      <c r="J2009" s="852"/>
      <c r="K2009" s="852"/>
      <c r="L2009" s="852" t="s">
        <v>2006</v>
      </c>
      <c r="M2009" s="1369">
        <v>1228</v>
      </c>
      <c r="N2009" s="852"/>
      <c r="R2009" s="1387" t="s">
        <v>2045</v>
      </c>
      <c r="T2009" s="1604" t="str">
        <f t="shared" si="328"/>
        <v/>
      </c>
    </row>
    <row r="2010" spans="1:20" s="1385"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390" t="str">
        <f>IF(T2010&lt;&gt;"","AA","")</f>
        <v/>
      </c>
      <c r="H2010" s="1390" t="s">
        <v>1991</v>
      </c>
      <c r="I2010" s="852"/>
      <c r="J2010" s="852"/>
      <c r="K2010" s="852"/>
      <c r="L2010" s="852" t="s">
        <v>2007</v>
      </c>
      <c r="M2010" s="1369">
        <v>1229</v>
      </c>
      <c r="N2010" s="852"/>
      <c r="R2010" s="1387" t="s">
        <v>2045</v>
      </c>
      <c r="T2010" s="1604" t="str">
        <f t="shared" si="328"/>
        <v/>
      </c>
    </row>
    <row r="2011" spans="1:20" s="1385"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390" t="str">
        <f>IF(T2011&lt;&gt;"","H","")</f>
        <v/>
      </c>
      <c r="H2011" s="1390" t="s">
        <v>1991</v>
      </c>
      <c r="I2011" s="852"/>
      <c r="J2011" s="852"/>
      <c r="K2011" s="852"/>
      <c r="L2011" s="852" t="s">
        <v>1397</v>
      </c>
      <c r="M2011" s="1369">
        <v>1230</v>
      </c>
      <c r="N2011" s="852"/>
      <c r="R2011" s="1387" t="s">
        <v>2045</v>
      </c>
      <c r="T2011" s="1604" t="str">
        <f t="shared" si="328"/>
        <v/>
      </c>
    </row>
    <row r="2012" spans="1:20" s="1385"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390" t="str">
        <f>IF(T2012&lt;&gt;"","A","")</f>
        <v/>
      </c>
      <c r="H2012" s="1390" t="s">
        <v>1991</v>
      </c>
      <c r="I2012" s="852"/>
      <c r="J2012" s="852"/>
      <c r="K2012" s="852"/>
      <c r="L2012" s="852" t="s">
        <v>1492</v>
      </c>
      <c r="M2012" s="1369">
        <v>1231</v>
      </c>
      <c r="N2012" s="852"/>
      <c r="O2012" s="1385" t="s">
        <v>725</v>
      </c>
      <c r="R2012" s="1387" t="s">
        <v>2046</v>
      </c>
      <c r="T2012" s="1390" t="str">
        <f>IF(Q$2013="Yes",38,"")</f>
        <v/>
      </c>
    </row>
    <row r="2013" spans="1:20" s="1385"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390"/>
      <c r="H2013" s="1390"/>
      <c r="I2013" s="852"/>
      <c r="J2013" s="852"/>
      <c r="K2013" s="852"/>
      <c r="L2013" s="852" t="s">
        <v>1706</v>
      </c>
      <c r="M2013" s="1369">
        <v>1232</v>
      </c>
      <c r="N2013" s="852"/>
      <c r="O2013" s="1385">
        <v>531</v>
      </c>
      <c r="P2013" s="18" t="str">
        <f>'Configurable Tab'!J40</f>
        <v>No</v>
      </c>
      <c r="Q2013" s="1388" t="s">
        <v>648</v>
      </c>
      <c r="R2013" s="1387" t="s">
        <v>2046</v>
      </c>
      <c r="T2013" s="1390" t="str">
        <f t="shared" ref="T2013:T2022" si="330">IF(Q$2013="Yes",38,"")</f>
        <v/>
      </c>
    </row>
    <row r="2014" spans="1:20" s="1385"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390" t="str">
        <f>IF(T2014&lt;&gt;"","B","")</f>
        <v/>
      </c>
      <c r="H2014" s="1390" t="s">
        <v>1991</v>
      </c>
      <c r="I2014" s="852"/>
      <c r="J2014" s="852"/>
      <c r="K2014" s="852"/>
      <c r="L2014" s="852" t="s">
        <v>1383</v>
      </c>
      <c r="M2014" s="1369">
        <v>1233</v>
      </c>
      <c r="N2014" s="852"/>
      <c r="O2014" s="1385" t="s">
        <v>726</v>
      </c>
      <c r="R2014" s="1387" t="s">
        <v>2046</v>
      </c>
      <c r="T2014" s="1604" t="str">
        <f t="shared" si="330"/>
        <v/>
      </c>
    </row>
    <row r="2015" spans="1:20" s="1385"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390" t="str">
        <f>IF(T2015&lt;&gt;"","I","")</f>
        <v/>
      </c>
      <c r="H2015" s="1390" t="s">
        <v>1991</v>
      </c>
      <c r="I2015" s="852"/>
      <c r="J2015" s="852"/>
      <c r="K2015" s="852"/>
      <c r="L2015" s="852" t="s">
        <v>1381</v>
      </c>
      <c r="M2015" s="1369">
        <v>1234</v>
      </c>
      <c r="N2015" s="852"/>
      <c r="O2015" s="1385">
        <v>544</v>
      </c>
      <c r="R2015" s="1387" t="s">
        <v>2046</v>
      </c>
      <c r="T2015" s="1604" t="str">
        <f t="shared" si="330"/>
        <v/>
      </c>
    </row>
    <row r="2016" spans="1:20" s="1385"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390" t="str">
        <f>IF(T2016&lt;&gt;"",IF(Q2015="Credit Memo","J",IF(Q2015="Check","K","")),"")</f>
        <v/>
      </c>
      <c r="H2016" s="1390" t="s">
        <v>1991</v>
      </c>
      <c r="I2016" s="852"/>
      <c r="J2016" s="852"/>
      <c r="K2016" s="852"/>
      <c r="L2016" s="852" t="s">
        <v>1382</v>
      </c>
      <c r="M2016" s="1369">
        <v>1235</v>
      </c>
      <c r="N2016" s="852"/>
      <c r="O2016" s="1385" t="s">
        <v>2029</v>
      </c>
      <c r="R2016" s="1387" t="s">
        <v>2046</v>
      </c>
      <c r="T2016" s="1604" t="str">
        <f t="shared" si="330"/>
        <v/>
      </c>
    </row>
    <row r="2017" spans="1:20" s="1385"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390" t="str">
        <f>IF(T2017&lt;&gt;"","C","")</f>
        <v/>
      </c>
      <c r="H2017" s="1390" t="s">
        <v>1991</v>
      </c>
      <c r="I2017" s="852"/>
      <c r="J2017" s="852"/>
      <c r="K2017" s="852"/>
      <c r="L2017" s="852" t="s">
        <v>1385</v>
      </c>
      <c r="M2017" s="1369">
        <v>1236</v>
      </c>
      <c r="N2017" s="852"/>
      <c r="R2017" s="1387" t="s">
        <v>2046</v>
      </c>
      <c r="T2017" s="1604" t="str">
        <f t="shared" si="330"/>
        <v/>
      </c>
    </row>
    <row r="2018" spans="1:20" s="1385"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390" t="str">
        <f>IF(T2018&lt;&gt;"","D","")</f>
        <v/>
      </c>
      <c r="H2018" s="1390" t="s">
        <v>1991</v>
      </c>
      <c r="I2018" s="852"/>
      <c r="J2018" s="852"/>
      <c r="K2018" s="852"/>
      <c r="L2018" s="852" t="s">
        <v>1386</v>
      </c>
      <c r="M2018" s="1369">
        <v>1237</v>
      </c>
      <c r="N2018" s="852"/>
      <c r="R2018" s="1387" t="s">
        <v>2046</v>
      </c>
      <c r="T2018" s="1604" t="str">
        <f t="shared" si="330"/>
        <v/>
      </c>
    </row>
    <row r="2019" spans="1:20" s="1385"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390" t="s">
        <v>1396</v>
      </c>
      <c r="G2019" s="1390" t="str">
        <f t="shared" si="329"/>
        <v/>
      </c>
      <c r="H2019" s="1390" t="s">
        <v>1991</v>
      </c>
      <c r="I2019" s="852"/>
      <c r="J2019" s="852"/>
      <c r="K2019" s="852"/>
      <c r="L2019" s="852" t="s">
        <v>1396</v>
      </c>
      <c r="M2019" s="1369">
        <v>1238</v>
      </c>
      <c r="N2019" s="852"/>
      <c r="R2019" s="1387" t="s">
        <v>2046</v>
      </c>
      <c r="T2019" s="1604" t="str">
        <f t="shared" si="330"/>
        <v/>
      </c>
    </row>
    <row r="2020" spans="1:20" s="1385"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390" t="str">
        <f>IF(T2020&lt;&gt;"","AQ","")</f>
        <v/>
      </c>
      <c r="H2020" s="1390" t="s">
        <v>1991</v>
      </c>
      <c r="I2020" s="852"/>
      <c r="J2020" s="852"/>
      <c r="K2020" s="852"/>
      <c r="L2020" s="852" t="s">
        <v>2006</v>
      </c>
      <c r="M2020" s="1369">
        <v>1239</v>
      </c>
      <c r="N2020" s="852"/>
      <c r="R2020" s="1387" t="s">
        <v>2046</v>
      </c>
      <c r="T2020" s="1604" t="str">
        <f t="shared" si="330"/>
        <v/>
      </c>
    </row>
    <row r="2021" spans="1:20" s="1385"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390" t="str">
        <f>IF(T2021&lt;&gt;"","AA","")</f>
        <v/>
      </c>
      <c r="H2021" s="1390" t="s">
        <v>1991</v>
      </c>
      <c r="I2021" s="852"/>
      <c r="J2021" s="852"/>
      <c r="K2021" s="852"/>
      <c r="L2021" s="852" t="s">
        <v>2007</v>
      </c>
      <c r="M2021" s="1369">
        <v>1240</v>
      </c>
      <c r="N2021" s="852"/>
      <c r="R2021" s="1387" t="s">
        <v>2046</v>
      </c>
      <c r="T2021" s="1604" t="str">
        <f t="shared" si="330"/>
        <v/>
      </c>
    </row>
    <row r="2022" spans="1:20" s="1385"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390" t="str">
        <f>IF(T2022&lt;&gt;"","H","")</f>
        <v/>
      </c>
      <c r="H2022" s="1390" t="s">
        <v>1991</v>
      </c>
      <c r="I2022" s="852"/>
      <c r="J2022" s="852"/>
      <c r="K2022" s="852"/>
      <c r="L2022" s="852" t="s">
        <v>1397</v>
      </c>
      <c r="M2022" s="1369">
        <v>1241</v>
      </c>
      <c r="N2022" s="852"/>
      <c r="R2022" s="1387" t="s">
        <v>2046</v>
      </c>
      <c r="T2022" s="1604" t="str">
        <f t="shared" si="330"/>
        <v/>
      </c>
    </row>
    <row r="2023" spans="1:20" s="1385"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390" t="str">
        <f>IF(T2023&lt;&gt;"","A","")</f>
        <v/>
      </c>
      <c r="H2023" s="1390" t="s">
        <v>1991</v>
      </c>
      <c r="I2023" s="852"/>
      <c r="J2023" s="852"/>
      <c r="K2023" s="852"/>
      <c r="L2023" s="852" t="s">
        <v>1492</v>
      </c>
      <c r="M2023" s="1369">
        <v>1242</v>
      </c>
      <c r="N2023" s="852"/>
      <c r="O2023" s="1385" t="s">
        <v>725</v>
      </c>
      <c r="R2023" s="1387" t="s">
        <v>2047</v>
      </c>
      <c r="T2023" s="1390" t="str">
        <f>IF(Q$2024="Yes",39,"")</f>
        <v/>
      </c>
    </row>
    <row r="2024" spans="1:20" s="1385"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390"/>
      <c r="H2024" s="1390"/>
      <c r="I2024" s="852"/>
      <c r="J2024" s="852"/>
      <c r="K2024" s="852"/>
      <c r="L2024" s="852" t="s">
        <v>1706</v>
      </c>
      <c r="M2024" s="1369">
        <v>1243</v>
      </c>
      <c r="N2024" s="852"/>
      <c r="O2024" s="1385">
        <v>545</v>
      </c>
      <c r="P2024" s="18" t="str">
        <f>'Configurable Tab'!J41</f>
        <v>No</v>
      </c>
      <c r="Q2024" s="1388" t="s">
        <v>648</v>
      </c>
      <c r="R2024" s="1387" t="s">
        <v>2047</v>
      </c>
      <c r="T2024" s="1390" t="str">
        <f t="shared" ref="T2024:T2033" si="331">IF(Q$2024="Yes",39,"")</f>
        <v/>
      </c>
    </row>
    <row r="2025" spans="1:20" s="1385"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390" t="str">
        <f>IF(T2025&lt;&gt;"","B","")</f>
        <v/>
      </c>
      <c r="H2025" s="1390" t="s">
        <v>1991</v>
      </c>
      <c r="I2025" s="852"/>
      <c r="J2025" s="852"/>
      <c r="K2025" s="852"/>
      <c r="L2025" s="852" t="s">
        <v>1383</v>
      </c>
      <c r="M2025" s="1369">
        <v>1244</v>
      </c>
      <c r="N2025" s="852"/>
      <c r="O2025" s="1385" t="s">
        <v>726</v>
      </c>
      <c r="R2025" s="1387" t="s">
        <v>2047</v>
      </c>
      <c r="T2025" s="1604" t="str">
        <f t="shared" si="331"/>
        <v/>
      </c>
    </row>
    <row r="2026" spans="1:20" s="1385"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390" t="str">
        <f>IF(T2026&lt;&gt;"","I","")</f>
        <v/>
      </c>
      <c r="H2026" s="1390" t="s">
        <v>1991</v>
      </c>
      <c r="I2026" s="852"/>
      <c r="J2026" s="852"/>
      <c r="K2026" s="852"/>
      <c r="L2026" s="852" t="s">
        <v>1381</v>
      </c>
      <c r="M2026" s="1369">
        <v>1245</v>
      </c>
      <c r="N2026" s="852"/>
      <c r="O2026" s="1385">
        <v>558</v>
      </c>
      <c r="R2026" s="1387" t="s">
        <v>2047</v>
      </c>
      <c r="T2026" s="1604" t="str">
        <f t="shared" si="331"/>
        <v/>
      </c>
    </row>
    <row r="2027" spans="1:20" s="1385"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390" t="str">
        <f>IF(T2027&lt;&gt;"",IF(Q2026="Credit Memo","J",IF(Q2026="Check","K","")),"")</f>
        <v/>
      </c>
      <c r="H2027" s="1390" t="s">
        <v>1991</v>
      </c>
      <c r="I2027" s="852"/>
      <c r="J2027" s="852"/>
      <c r="K2027" s="852"/>
      <c r="L2027" s="852" t="s">
        <v>1382</v>
      </c>
      <c r="M2027" s="1369">
        <v>1246</v>
      </c>
      <c r="N2027" s="852"/>
      <c r="O2027" s="1385" t="s">
        <v>2030</v>
      </c>
      <c r="R2027" s="1387" t="s">
        <v>2047</v>
      </c>
      <c r="T2027" s="1604" t="str">
        <f t="shared" si="331"/>
        <v/>
      </c>
    </row>
    <row r="2028" spans="1:20" s="1385"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390" t="str">
        <f>IF(T2028&lt;&gt;"","C","")</f>
        <v/>
      </c>
      <c r="H2028" s="1390" t="s">
        <v>1991</v>
      </c>
      <c r="I2028" s="852"/>
      <c r="J2028" s="852"/>
      <c r="K2028" s="852"/>
      <c r="L2028" s="852" t="s">
        <v>1385</v>
      </c>
      <c r="M2028" s="1369">
        <v>1247</v>
      </c>
      <c r="N2028" s="852"/>
      <c r="R2028" s="1387" t="s">
        <v>2047</v>
      </c>
      <c r="T2028" s="1604" t="str">
        <f t="shared" si="331"/>
        <v/>
      </c>
    </row>
    <row r="2029" spans="1:20" s="1385"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390" t="str">
        <f>IF(T2029&lt;&gt;"","D","")</f>
        <v/>
      </c>
      <c r="H2029" s="1390" t="s">
        <v>1991</v>
      </c>
      <c r="I2029" s="852"/>
      <c r="J2029" s="852"/>
      <c r="K2029" s="852"/>
      <c r="L2029" s="852" t="s">
        <v>1386</v>
      </c>
      <c r="M2029" s="1369">
        <v>1248</v>
      </c>
      <c r="N2029" s="852"/>
      <c r="R2029" s="1387" t="s">
        <v>2047</v>
      </c>
      <c r="T2029" s="1604" t="str">
        <f t="shared" si="331"/>
        <v/>
      </c>
    </row>
    <row r="2030" spans="1:20" s="1385"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390" t="s">
        <v>1396</v>
      </c>
      <c r="G2030" s="1390" t="str">
        <f t="shared" si="329"/>
        <v/>
      </c>
      <c r="H2030" s="1390" t="s">
        <v>1991</v>
      </c>
      <c r="I2030" s="852"/>
      <c r="J2030" s="852"/>
      <c r="K2030" s="852"/>
      <c r="L2030" s="852" t="s">
        <v>1396</v>
      </c>
      <c r="M2030" s="1369">
        <v>1249</v>
      </c>
      <c r="N2030" s="852"/>
      <c r="R2030" s="1387" t="s">
        <v>2047</v>
      </c>
      <c r="T2030" s="1604" t="str">
        <f t="shared" si="331"/>
        <v/>
      </c>
    </row>
    <row r="2031" spans="1:20" s="1385"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390" t="str">
        <f>IF(T2031&lt;&gt;"","AQ","")</f>
        <v/>
      </c>
      <c r="H2031" s="1390" t="s">
        <v>1991</v>
      </c>
      <c r="I2031" s="852"/>
      <c r="J2031" s="852"/>
      <c r="K2031" s="852"/>
      <c r="L2031" s="852" t="s">
        <v>2006</v>
      </c>
      <c r="M2031" s="1369">
        <v>1250</v>
      </c>
      <c r="N2031" s="852"/>
      <c r="R2031" s="1387" t="s">
        <v>2047</v>
      </c>
      <c r="T2031" s="1604" t="str">
        <f t="shared" si="331"/>
        <v/>
      </c>
    </row>
    <row r="2032" spans="1:20" s="1385"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390" t="str">
        <f>IF(T2032&lt;&gt;"","AA","")</f>
        <v/>
      </c>
      <c r="H2032" s="1390" t="s">
        <v>1991</v>
      </c>
      <c r="I2032" s="852"/>
      <c r="J2032" s="852"/>
      <c r="K2032" s="852"/>
      <c r="L2032" s="852" t="s">
        <v>2007</v>
      </c>
      <c r="M2032" s="1369">
        <v>1251</v>
      </c>
      <c r="N2032" s="852"/>
      <c r="R2032" s="1387" t="s">
        <v>2047</v>
      </c>
      <c r="T2032" s="1604" t="str">
        <f t="shared" si="331"/>
        <v/>
      </c>
    </row>
    <row r="2033" spans="1:20" s="1385"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390" t="str">
        <f>IF(T2033&lt;&gt;"","H","")</f>
        <v/>
      </c>
      <c r="H2033" s="1390" t="s">
        <v>1991</v>
      </c>
      <c r="I2033" s="852"/>
      <c r="J2033" s="852"/>
      <c r="K2033" s="852"/>
      <c r="L2033" s="852" t="s">
        <v>1397</v>
      </c>
      <c r="M2033" s="1369">
        <v>1252</v>
      </c>
      <c r="N2033" s="852"/>
      <c r="R2033" s="1387" t="s">
        <v>2047</v>
      </c>
      <c r="T2033" s="1604" t="str">
        <f t="shared" si="331"/>
        <v/>
      </c>
    </row>
    <row r="2034" spans="1:20" s="1385"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390" t="str">
        <f>IF(T2034&lt;&gt;"","A","")</f>
        <v/>
      </c>
      <c r="H2034" s="1390" t="s">
        <v>1991</v>
      </c>
      <c r="I2034" s="852"/>
      <c r="J2034" s="852"/>
      <c r="K2034" s="852"/>
      <c r="L2034" s="852" t="s">
        <v>1492</v>
      </c>
      <c r="M2034" s="1369">
        <v>1253</v>
      </c>
      <c r="N2034" s="852"/>
      <c r="O2034" s="1385" t="s">
        <v>725</v>
      </c>
      <c r="R2034" s="1387" t="s">
        <v>2048</v>
      </c>
      <c r="T2034" s="1390" t="str">
        <f>IF(Q$2035="Yes",40,"")</f>
        <v/>
      </c>
    </row>
    <row r="2035" spans="1:20" s="1385"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390"/>
      <c r="H2035" s="1390"/>
      <c r="I2035" s="852"/>
      <c r="J2035" s="852"/>
      <c r="K2035" s="852"/>
      <c r="L2035" s="852" t="s">
        <v>1706</v>
      </c>
      <c r="M2035" s="1369">
        <v>1254</v>
      </c>
      <c r="N2035" s="852"/>
      <c r="O2035" s="1385">
        <v>559</v>
      </c>
      <c r="P2035" s="18" t="str">
        <f>'Configurable Tab'!J42</f>
        <v>No</v>
      </c>
      <c r="Q2035" s="1388" t="s">
        <v>648</v>
      </c>
      <c r="R2035" s="1387" t="s">
        <v>2048</v>
      </c>
      <c r="T2035" s="1390" t="str">
        <f t="shared" ref="T2035:T2044" si="332">IF(Q$2035="Yes",40,"")</f>
        <v/>
      </c>
    </row>
    <row r="2036" spans="1:20" s="1385"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390" t="str">
        <f>IF(T2036&lt;&gt;"","B","")</f>
        <v/>
      </c>
      <c r="H2036" s="1390" t="s">
        <v>1991</v>
      </c>
      <c r="I2036" s="852"/>
      <c r="J2036" s="852"/>
      <c r="K2036" s="852"/>
      <c r="L2036" s="852" t="s">
        <v>1383</v>
      </c>
      <c r="M2036" s="1369">
        <v>1255</v>
      </c>
      <c r="N2036" s="852"/>
      <c r="O2036" s="1385" t="s">
        <v>726</v>
      </c>
      <c r="R2036" s="1387" t="s">
        <v>2048</v>
      </c>
      <c r="T2036" s="1604" t="str">
        <f t="shared" si="332"/>
        <v/>
      </c>
    </row>
    <row r="2037" spans="1:20" s="1385"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390" t="str">
        <f>IF(T2037&lt;&gt;"","I","")</f>
        <v/>
      </c>
      <c r="H2037" s="1390" t="s">
        <v>1991</v>
      </c>
      <c r="I2037" s="852"/>
      <c r="J2037" s="852"/>
      <c r="K2037" s="852"/>
      <c r="L2037" s="852" t="s">
        <v>1381</v>
      </c>
      <c r="M2037" s="1369">
        <v>1256</v>
      </c>
      <c r="N2037" s="852"/>
      <c r="O2037" s="1385">
        <v>572</v>
      </c>
      <c r="R2037" s="1387" t="s">
        <v>2048</v>
      </c>
      <c r="T2037" s="1604" t="str">
        <f t="shared" si="332"/>
        <v/>
      </c>
    </row>
    <row r="2038" spans="1:20" s="1385"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390" t="str">
        <f>IF(T2038&lt;&gt;"",IF(Q2037="Credit Memo","J",IF(Q2037="Check","K","")),"")</f>
        <v/>
      </c>
      <c r="H2038" s="1390" t="s">
        <v>1991</v>
      </c>
      <c r="I2038" s="852"/>
      <c r="J2038" s="852"/>
      <c r="K2038" s="852"/>
      <c r="L2038" s="852" t="s">
        <v>1382</v>
      </c>
      <c r="M2038" s="1369">
        <v>1257</v>
      </c>
      <c r="N2038" s="852"/>
      <c r="O2038" s="1385" t="s">
        <v>2031</v>
      </c>
      <c r="R2038" s="1387" t="s">
        <v>2048</v>
      </c>
      <c r="T2038" s="1604" t="str">
        <f t="shared" si="332"/>
        <v/>
      </c>
    </row>
    <row r="2039" spans="1:20" s="1385"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390" t="str">
        <f>IF(T2039&lt;&gt;"","C","")</f>
        <v/>
      </c>
      <c r="H2039" s="1390" t="s">
        <v>1991</v>
      </c>
      <c r="I2039" s="852"/>
      <c r="J2039" s="852"/>
      <c r="K2039" s="852"/>
      <c r="L2039" s="852" t="s">
        <v>1385</v>
      </c>
      <c r="M2039" s="1369">
        <v>1258</v>
      </c>
      <c r="N2039" s="852"/>
      <c r="R2039" s="1387" t="s">
        <v>2048</v>
      </c>
      <c r="T2039" s="1604" t="str">
        <f t="shared" si="332"/>
        <v/>
      </c>
    </row>
    <row r="2040" spans="1:20" s="1385"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390" t="str">
        <f>IF(T2040&lt;&gt;"","D","")</f>
        <v/>
      </c>
      <c r="H2040" s="1390" t="s">
        <v>1991</v>
      </c>
      <c r="I2040" s="852"/>
      <c r="J2040" s="852"/>
      <c r="K2040" s="852"/>
      <c r="L2040" s="852" t="s">
        <v>1386</v>
      </c>
      <c r="M2040" s="1369">
        <v>1259</v>
      </c>
      <c r="N2040" s="852"/>
      <c r="R2040" s="1387" t="s">
        <v>2048</v>
      </c>
      <c r="T2040" s="1604" t="str">
        <f t="shared" si="332"/>
        <v/>
      </c>
    </row>
    <row r="2041" spans="1:20" s="1385"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390" t="s">
        <v>1396</v>
      </c>
      <c r="G2041" s="1390" t="str">
        <f t="shared" si="329"/>
        <v/>
      </c>
      <c r="H2041" s="1390" t="s">
        <v>1991</v>
      </c>
      <c r="I2041" s="852"/>
      <c r="J2041" s="852"/>
      <c r="K2041" s="852"/>
      <c r="L2041" s="852" t="s">
        <v>1396</v>
      </c>
      <c r="M2041" s="1369">
        <v>1260</v>
      </c>
      <c r="N2041" s="852"/>
      <c r="R2041" s="1387" t="s">
        <v>2048</v>
      </c>
      <c r="T2041" s="1604" t="str">
        <f t="shared" si="332"/>
        <v/>
      </c>
    </row>
    <row r="2042" spans="1:20" s="1385"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390" t="str">
        <f>IF(T2042&lt;&gt;"","AQ","")</f>
        <v/>
      </c>
      <c r="H2042" s="1390" t="s">
        <v>1991</v>
      </c>
      <c r="I2042" s="852"/>
      <c r="J2042" s="852"/>
      <c r="K2042" s="852"/>
      <c r="L2042" s="852" t="s">
        <v>2006</v>
      </c>
      <c r="M2042" s="1369">
        <v>1261</v>
      </c>
      <c r="N2042" s="852"/>
      <c r="R2042" s="1387" t="s">
        <v>2048</v>
      </c>
      <c r="T2042" s="1604" t="str">
        <f t="shared" si="332"/>
        <v/>
      </c>
    </row>
    <row r="2043" spans="1:20" s="1385"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390" t="str">
        <f>IF(T2043&lt;&gt;"","AA","")</f>
        <v/>
      </c>
      <c r="H2043" s="1390" t="s">
        <v>1991</v>
      </c>
      <c r="I2043" s="852"/>
      <c r="J2043" s="852"/>
      <c r="K2043" s="852"/>
      <c r="L2043" s="852" t="s">
        <v>2007</v>
      </c>
      <c r="M2043" s="1369">
        <v>1262</v>
      </c>
      <c r="N2043" s="852"/>
      <c r="R2043" s="1387" t="s">
        <v>2048</v>
      </c>
      <c r="T2043" s="1604" t="str">
        <f t="shared" si="332"/>
        <v/>
      </c>
    </row>
    <row r="2044" spans="1:20" s="1385"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390" t="str">
        <f>IF(T2044&lt;&gt;"","H","")</f>
        <v/>
      </c>
      <c r="H2044" s="1390" t="s">
        <v>1991</v>
      </c>
      <c r="I2044" s="852"/>
      <c r="J2044" s="852"/>
      <c r="K2044" s="852"/>
      <c r="L2044" s="852" t="s">
        <v>1397</v>
      </c>
      <c r="M2044" s="1369">
        <v>1263</v>
      </c>
      <c r="N2044" s="852"/>
      <c r="R2044" s="1387" t="s">
        <v>2048</v>
      </c>
      <c r="T2044" s="1604" t="str">
        <f t="shared" si="332"/>
        <v/>
      </c>
    </row>
    <row r="2045" spans="1:20" s="1385"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390" t="str">
        <f>IF(T2045&lt;&gt;"","A","")</f>
        <v/>
      </c>
      <c r="H2045" s="1390" t="s">
        <v>1991</v>
      </c>
      <c r="I2045" s="852"/>
      <c r="J2045" s="852"/>
      <c r="K2045" s="852"/>
      <c r="L2045" s="852" t="s">
        <v>1492</v>
      </c>
      <c r="M2045" s="1369">
        <v>1264</v>
      </c>
      <c r="N2045" s="852"/>
      <c r="O2045" s="1385" t="s">
        <v>725</v>
      </c>
      <c r="R2045" s="1387" t="s">
        <v>2049</v>
      </c>
      <c r="T2045" s="1390" t="str">
        <f>IF(Q$2046="Yes",41,"")</f>
        <v/>
      </c>
    </row>
    <row r="2046" spans="1:20" s="1385"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390"/>
      <c r="H2046" s="1390"/>
      <c r="I2046" s="852"/>
      <c r="J2046" s="852"/>
      <c r="K2046" s="852"/>
      <c r="L2046" s="852" t="s">
        <v>1706</v>
      </c>
      <c r="M2046" s="1369">
        <v>1265</v>
      </c>
      <c r="N2046" s="852"/>
      <c r="O2046" s="1385">
        <v>573</v>
      </c>
      <c r="P2046" s="18" t="str">
        <f>'Configurable Tab'!J43</f>
        <v>No</v>
      </c>
      <c r="Q2046" s="1388" t="s">
        <v>648</v>
      </c>
      <c r="R2046" s="1387" t="s">
        <v>2049</v>
      </c>
      <c r="T2046" s="1390" t="str">
        <f t="shared" ref="T2046:T2055" si="333">IF(Q$2046="Yes",41,"")</f>
        <v/>
      </c>
    </row>
    <row r="2047" spans="1:20" s="1385"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390" t="str">
        <f>IF(T2047&lt;&gt;"","B","")</f>
        <v/>
      </c>
      <c r="H2047" s="1390" t="s">
        <v>1991</v>
      </c>
      <c r="I2047" s="852"/>
      <c r="J2047" s="852"/>
      <c r="K2047" s="852"/>
      <c r="L2047" s="852" t="s">
        <v>1383</v>
      </c>
      <c r="M2047" s="1369">
        <v>1266</v>
      </c>
      <c r="N2047" s="852"/>
      <c r="O2047" s="1385" t="s">
        <v>726</v>
      </c>
      <c r="R2047" s="1387" t="s">
        <v>2049</v>
      </c>
      <c r="T2047" s="1604" t="str">
        <f t="shared" si="333"/>
        <v/>
      </c>
    </row>
    <row r="2048" spans="1:20" s="1385"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390" t="str">
        <f>IF(T2048&lt;&gt;"","I","")</f>
        <v/>
      </c>
      <c r="H2048" s="1390" t="s">
        <v>1991</v>
      </c>
      <c r="I2048" s="852"/>
      <c r="J2048" s="852"/>
      <c r="K2048" s="852"/>
      <c r="L2048" s="852" t="s">
        <v>1381</v>
      </c>
      <c r="M2048" s="1369">
        <v>1267</v>
      </c>
      <c r="N2048" s="852"/>
      <c r="O2048" s="1385">
        <v>586</v>
      </c>
      <c r="R2048" s="1387" t="s">
        <v>2049</v>
      </c>
      <c r="T2048" s="1604" t="str">
        <f t="shared" si="333"/>
        <v/>
      </c>
    </row>
    <row r="2049" spans="1:20" s="1385"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390" t="str">
        <f>IF(T2049&lt;&gt;"",IF(Q2048="Credit Memo","J",IF(Q2048="Check","K","")),"")</f>
        <v/>
      </c>
      <c r="H2049" s="1390" t="s">
        <v>1991</v>
      </c>
      <c r="I2049" s="852"/>
      <c r="J2049" s="852"/>
      <c r="K2049" s="852"/>
      <c r="L2049" s="852" t="s">
        <v>1382</v>
      </c>
      <c r="M2049" s="1369">
        <v>1268</v>
      </c>
      <c r="N2049" s="852"/>
      <c r="O2049" s="1385" t="s">
        <v>2032</v>
      </c>
      <c r="R2049" s="1387" t="s">
        <v>2049</v>
      </c>
      <c r="T2049" s="1604" t="str">
        <f t="shared" si="333"/>
        <v/>
      </c>
    </row>
    <row r="2050" spans="1:20" s="1385"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390" t="str">
        <f>IF(T2050&lt;&gt;"","C","")</f>
        <v/>
      </c>
      <c r="H2050" s="1390" t="s">
        <v>1991</v>
      </c>
      <c r="I2050" s="852"/>
      <c r="J2050" s="852"/>
      <c r="K2050" s="852"/>
      <c r="L2050" s="852" t="s">
        <v>1385</v>
      </c>
      <c r="M2050" s="1369">
        <v>1269</v>
      </c>
      <c r="N2050" s="852"/>
      <c r="R2050" s="1387" t="s">
        <v>2049</v>
      </c>
      <c r="T2050" s="1604" t="str">
        <f t="shared" si="333"/>
        <v/>
      </c>
    </row>
    <row r="2051" spans="1:20" s="1385"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390" t="str">
        <f>IF(T2051&lt;&gt;"","D","")</f>
        <v/>
      </c>
      <c r="H2051" s="1390" t="s">
        <v>1991</v>
      </c>
      <c r="I2051" s="852"/>
      <c r="J2051" s="852"/>
      <c r="K2051" s="852"/>
      <c r="L2051" s="852" t="s">
        <v>1386</v>
      </c>
      <c r="M2051" s="1369">
        <v>1270</v>
      </c>
      <c r="N2051" s="852"/>
      <c r="R2051" s="1387" t="s">
        <v>2049</v>
      </c>
      <c r="T2051" s="1604" t="str">
        <f t="shared" si="333"/>
        <v/>
      </c>
    </row>
    <row r="2052" spans="1:20" s="1385"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390" t="s">
        <v>1396</v>
      </c>
      <c r="G2052" s="1390" t="str">
        <f t="shared" si="329"/>
        <v/>
      </c>
      <c r="H2052" s="1390" t="s">
        <v>1991</v>
      </c>
      <c r="I2052" s="852"/>
      <c r="J2052" s="852"/>
      <c r="K2052" s="852"/>
      <c r="L2052" s="852" t="s">
        <v>1396</v>
      </c>
      <c r="M2052" s="1369">
        <v>1271</v>
      </c>
      <c r="N2052" s="852"/>
      <c r="R2052" s="1387" t="s">
        <v>2049</v>
      </c>
      <c r="T2052" s="1604" t="str">
        <f t="shared" si="333"/>
        <v/>
      </c>
    </row>
    <row r="2053" spans="1:20" s="1385"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390" t="str">
        <f>IF(T2053&lt;&gt;"","AQ","")</f>
        <v/>
      </c>
      <c r="H2053" s="1390" t="s">
        <v>1991</v>
      </c>
      <c r="I2053" s="852"/>
      <c r="J2053" s="852"/>
      <c r="K2053" s="852"/>
      <c r="L2053" s="852" t="s">
        <v>2006</v>
      </c>
      <c r="M2053" s="1369">
        <v>1272</v>
      </c>
      <c r="N2053" s="852"/>
      <c r="R2053" s="1387" t="s">
        <v>2049</v>
      </c>
      <c r="T2053" s="1604" t="str">
        <f t="shared" si="333"/>
        <v/>
      </c>
    </row>
    <row r="2054" spans="1:20" s="1385"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390" t="str">
        <f>IF(T2054&lt;&gt;"","AA","")</f>
        <v/>
      </c>
      <c r="H2054" s="1390" t="s">
        <v>1991</v>
      </c>
      <c r="I2054" s="852"/>
      <c r="J2054" s="852"/>
      <c r="K2054" s="852"/>
      <c r="L2054" s="852" t="s">
        <v>2007</v>
      </c>
      <c r="M2054" s="1369">
        <v>1273</v>
      </c>
      <c r="N2054" s="852"/>
      <c r="R2054" s="1387" t="s">
        <v>2049</v>
      </c>
      <c r="T2054" s="1604" t="str">
        <f t="shared" si="333"/>
        <v/>
      </c>
    </row>
    <row r="2055" spans="1:20" s="1385"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390" t="str">
        <f>IF(T2055&lt;&gt;"","H","")</f>
        <v/>
      </c>
      <c r="H2055" s="1390" t="s">
        <v>1991</v>
      </c>
      <c r="I2055" s="852"/>
      <c r="J2055" s="852"/>
      <c r="K2055" s="852"/>
      <c r="L2055" s="852" t="s">
        <v>1397</v>
      </c>
      <c r="M2055" s="1369">
        <v>1274</v>
      </c>
      <c r="N2055" s="852"/>
      <c r="R2055" s="1387" t="s">
        <v>2049</v>
      </c>
      <c r="T2055" s="1604" t="str">
        <f t="shared" si="333"/>
        <v/>
      </c>
    </row>
    <row r="2056" spans="1:20" s="1385"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390" t="str">
        <f>IF(T2056&lt;&gt;"","A","")</f>
        <v/>
      </c>
      <c r="H2056" s="1390" t="s">
        <v>1991</v>
      </c>
      <c r="I2056" s="852"/>
      <c r="J2056" s="852"/>
      <c r="K2056" s="852"/>
      <c r="L2056" s="852" t="s">
        <v>1492</v>
      </c>
      <c r="M2056" s="1369">
        <v>1275</v>
      </c>
      <c r="N2056" s="852"/>
      <c r="O2056" s="1385" t="s">
        <v>725</v>
      </c>
      <c r="R2056" s="1387" t="s">
        <v>2050</v>
      </c>
      <c r="T2056" s="1390" t="str">
        <f>IF(Q$2057="Yes",42,"")</f>
        <v/>
      </c>
    </row>
    <row r="2057" spans="1:20" s="1385"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390"/>
      <c r="H2057" s="1390"/>
      <c r="I2057" s="852"/>
      <c r="J2057" s="852"/>
      <c r="K2057" s="852"/>
      <c r="L2057" s="852" t="s">
        <v>1706</v>
      </c>
      <c r="M2057" s="1369">
        <v>1276</v>
      </c>
      <c r="N2057" s="852"/>
      <c r="O2057" s="1385">
        <v>587</v>
      </c>
      <c r="P2057" s="18" t="str">
        <f>'Configurable Tab'!J44</f>
        <v>No</v>
      </c>
      <c r="Q2057" s="1388" t="s">
        <v>648</v>
      </c>
      <c r="R2057" s="1387" t="s">
        <v>2050</v>
      </c>
      <c r="T2057" s="1390" t="str">
        <f t="shared" ref="T2057:T2066" si="334">IF(Q$2057="Yes",42,"")</f>
        <v/>
      </c>
    </row>
    <row r="2058" spans="1:20" s="1385"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390" t="str">
        <f>IF(T2058&lt;&gt;"","B","")</f>
        <v/>
      </c>
      <c r="H2058" s="1390" t="s">
        <v>1991</v>
      </c>
      <c r="I2058" s="852"/>
      <c r="J2058" s="852"/>
      <c r="K2058" s="852"/>
      <c r="L2058" s="852" t="s">
        <v>1383</v>
      </c>
      <c r="M2058" s="1369">
        <v>1277</v>
      </c>
      <c r="N2058" s="852"/>
      <c r="O2058" s="1385" t="s">
        <v>726</v>
      </c>
      <c r="R2058" s="1387" t="s">
        <v>2050</v>
      </c>
      <c r="T2058" s="1604" t="str">
        <f t="shared" si="334"/>
        <v/>
      </c>
    </row>
    <row r="2059" spans="1:20" s="1385"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390" t="str">
        <f>IF(T2059&lt;&gt;"","I","")</f>
        <v/>
      </c>
      <c r="H2059" s="1390" t="s">
        <v>1991</v>
      </c>
      <c r="I2059" s="852"/>
      <c r="J2059" s="852"/>
      <c r="K2059" s="852"/>
      <c r="L2059" s="852" t="s">
        <v>1381</v>
      </c>
      <c r="M2059" s="1369">
        <v>1278</v>
      </c>
      <c r="N2059" s="852"/>
      <c r="O2059" s="1385">
        <v>614</v>
      </c>
      <c r="R2059" s="1387" t="s">
        <v>2050</v>
      </c>
      <c r="T2059" s="1604" t="str">
        <f t="shared" si="334"/>
        <v/>
      </c>
    </row>
    <row r="2060" spans="1:20" s="1385"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390" t="str">
        <f>IF(T2060&lt;&gt;"",IF(Q2059="Credit Memo","J",IF(Q2059="Check","K","")),"")</f>
        <v/>
      </c>
      <c r="H2060" s="1390" t="s">
        <v>1991</v>
      </c>
      <c r="I2060" s="852"/>
      <c r="J2060" s="852"/>
      <c r="K2060" s="852"/>
      <c r="L2060" s="852" t="s">
        <v>1382</v>
      </c>
      <c r="M2060" s="1369">
        <v>1279</v>
      </c>
      <c r="N2060" s="852"/>
      <c r="O2060" s="1385" t="s">
        <v>2033</v>
      </c>
      <c r="R2060" s="1387" t="s">
        <v>2050</v>
      </c>
      <c r="T2060" s="1604" t="str">
        <f t="shared" si="334"/>
        <v/>
      </c>
    </row>
    <row r="2061" spans="1:20" s="1385"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390" t="str">
        <f>IF(T2061&lt;&gt;"","C","")</f>
        <v/>
      </c>
      <c r="H2061" s="1390" t="s">
        <v>1991</v>
      </c>
      <c r="I2061" s="852"/>
      <c r="J2061" s="852"/>
      <c r="K2061" s="852"/>
      <c r="L2061" s="852" t="s">
        <v>1385</v>
      </c>
      <c r="M2061" s="1369">
        <v>1280</v>
      </c>
      <c r="N2061" s="852"/>
      <c r="R2061" s="1387" t="s">
        <v>2050</v>
      </c>
      <c r="T2061" s="1604" t="str">
        <f t="shared" si="334"/>
        <v/>
      </c>
    </row>
    <row r="2062" spans="1:20" s="1385"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390" t="str">
        <f>IF(T2062&lt;&gt;"","D","")</f>
        <v/>
      </c>
      <c r="H2062" s="1390" t="s">
        <v>1991</v>
      </c>
      <c r="I2062" s="852"/>
      <c r="J2062" s="852"/>
      <c r="K2062" s="852"/>
      <c r="L2062" s="852" t="s">
        <v>1386</v>
      </c>
      <c r="M2062" s="1369">
        <v>1281</v>
      </c>
      <c r="N2062" s="852"/>
      <c r="R2062" s="1387" t="s">
        <v>2050</v>
      </c>
      <c r="T2062" s="1604" t="str">
        <f t="shared" si="334"/>
        <v/>
      </c>
    </row>
    <row r="2063" spans="1:20" s="1385"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390" t="s">
        <v>1396</v>
      </c>
      <c r="G2063" s="1390" t="str">
        <f t="shared" ref="G2063:G2085" si="335">IF(T2063&lt;&gt;"","S","")</f>
        <v/>
      </c>
      <c r="H2063" s="1390" t="s">
        <v>1991</v>
      </c>
      <c r="I2063" s="852"/>
      <c r="J2063" s="852"/>
      <c r="K2063" s="852"/>
      <c r="L2063" s="852" t="s">
        <v>1396</v>
      </c>
      <c r="M2063" s="1369">
        <v>1282</v>
      </c>
      <c r="N2063" s="852"/>
      <c r="R2063" s="1387" t="s">
        <v>2050</v>
      </c>
      <c r="T2063" s="1604" t="str">
        <f t="shared" si="334"/>
        <v/>
      </c>
    </row>
    <row r="2064" spans="1:20" s="1385"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390" t="str">
        <f>IF(T2064&lt;&gt;"","AQ","")</f>
        <v/>
      </c>
      <c r="H2064" s="1390" t="s">
        <v>1991</v>
      </c>
      <c r="I2064" s="852"/>
      <c r="J2064" s="852"/>
      <c r="K2064" s="852"/>
      <c r="L2064" s="852" t="s">
        <v>2006</v>
      </c>
      <c r="M2064" s="1369">
        <v>1283</v>
      </c>
      <c r="N2064" s="852"/>
      <c r="R2064" s="1387" t="s">
        <v>2050</v>
      </c>
      <c r="T2064" s="1604" t="str">
        <f t="shared" si="334"/>
        <v/>
      </c>
    </row>
    <row r="2065" spans="1:20" s="1385"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390" t="str">
        <f>IF(T2065&lt;&gt;"","AA","")</f>
        <v/>
      </c>
      <c r="H2065" s="1390" t="s">
        <v>1991</v>
      </c>
      <c r="I2065" s="852"/>
      <c r="J2065" s="852"/>
      <c r="K2065" s="852"/>
      <c r="L2065" s="852" t="s">
        <v>2007</v>
      </c>
      <c r="M2065" s="1369">
        <v>1284</v>
      </c>
      <c r="N2065" s="852"/>
      <c r="R2065" s="1387" t="s">
        <v>2050</v>
      </c>
      <c r="T2065" s="1604" t="str">
        <f t="shared" si="334"/>
        <v/>
      </c>
    </row>
    <row r="2066" spans="1:20" s="1385"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390" t="str">
        <f>IF(T2066&lt;&gt;"","H","")</f>
        <v/>
      </c>
      <c r="H2066" s="1390" t="s">
        <v>1991</v>
      </c>
      <c r="I2066" s="852"/>
      <c r="J2066" s="852"/>
      <c r="K2066" s="852"/>
      <c r="L2066" s="852" t="s">
        <v>1397</v>
      </c>
      <c r="M2066" s="1369">
        <v>1285</v>
      </c>
      <c r="N2066" s="852"/>
      <c r="R2066" s="1387" t="s">
        <v>2050</v>
      </c>
      <c r="T2066" s="1604" t="str">
        <f t="shared" si="334"/>
        <v/>
      </c>
    </row>
    <row r="2067" spans="1:20" s="1385"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390" t="str">
        <f>IF(T2067&lt;&gt;"","A","")</f>
        <v/>
      </c>
      <c r="H2067" s="1390" t="s">
        <v>1991</v>
      </c>
      <c r="I2067" s="852"/>
      <c r="J2067" s="852"/>
      <c r="K2067" s="852"/>
      <c r="L2067" s="852" t="s">
        <v>1492</v>
      </c>
      <c r="M2067" s="1369">
        <v>1286</v>
      </c>
      <c r="N2067" s="852"/>
      <c r="O2067" s="1385" t="s">
        <v>725</v>
      </c>
      <c r="R2067" s="1387" t="s">
        <v>2051</v>
      </c>
      <c r="T2067" s="1390" t="str">
        <f>IF(Q$2068="Yes",43,"")</f>
        <v/>
      </c>
    </row>
    <row r="2068" spans="1:20" s="1385"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390"/>
      <c r="H2068" s="1390"/>
      <c r="I2068" s="852"/>
      <c r="J2068" s="852"/>
      <c r="K2068" s="852"/>
      <c r="L2068" s="852" t="s">
        <v>1706</v>
      </c>
      <c r="M2068" s="1369">
        <v>1287</v>
      </c>
      <c r="N2068" s="852"/>
      <c r="O2068" s="1385">
        <v>601</v>
      </c>
      <c r="P2068" s="18" t="str">
        <f>'Configurable Tab'!J45</f>
        <v>No</v>
      </c>
      <c r="Q2068" s="1388" t="s">
        <v>648</v>
      </c>
      <c r="R2068" s="1387" t="s">
        <v>2051</v>
      </c>
      <c r="T2068" s="1390" t="str">
        <f t="shared" ref="T2068:T2077" si="336">IF(Q$2068="Yes",43,"")</f>
        <v/>
      </c>
    </row>
    <row r="2069" spans="1:20" s="1385"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390" t="str">
        <f>IF(T2069&lt;&gt;"","B","")</f>
        <v/>
      </c>
      <c r="H2069" s="1390" t="s">
        <v>1991</v>
      </c>
      <c r="I2069" s="852"/>
      <c r="J2069" s="852"/>
      <c r="K2069" s="852"/>
      <c r="L2069" s="852" t="s">
        <v>1383</v>
      </c>
      <c r="M2069" s="1369">
        <v>1288</v>
      </c>
      <c r="N2069" s="852"/>
      <c r="O2069" s="1385" t="s">
        <v>726</v>
      </c>
      <c r="R2069" s="1387" t="s">
        <v>2051</v>
      </c>
      <c r="T2069" s="1604" t="str">
        <f t="shared" si="336"/>
        <v/>
      </c>
    </row>
    <row r="2070" spans="1:20" s="1385"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390" t="str">
        <f>IF(T2070&lt;&gt;"","I","")</f>
        <v/>
      </c>
      <c r="H2070" s="1390" t="s">
        <v>1991</v>
      </c>
      <c r="I2070" s="852"/>
      <c r="J2070" s="852"/>
      <c r="K2070" s="852"/>
      <c r="L2070" s="852" t="s">
        <v>1381</v>
      </c>
      <c r="M2070" s="1369">
        <v>1289</v>
      </c>
      <c r="N2070" s="852"/>
      <c r="O2070" s="1385">
        <v>614</v>
      </c>
      <c r="R2070" s="1387" t="s">
        <v>2051</v>
      </c>
      <c r="T2070" s="1604" t="str">
        <f t="shared" si="336"/>
        <v/>
      </c>
    </row>
    <row r="2071" spans="1:20" s="1385"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390" t="str">
        <f>IF(T2071&lt;&gt;"",IF(Q2070="Credit Memo","J",IF(Q2070="Check","K","")),"")</f>
        <v/>
      </c>
      <c r="H2071" s="1390" t="s">
        <v>1991</v>
      </c>
      <c r="I2071" s="852"/>
      <c r="J2071" s="852"/>
      <c r="K2071" s="852"/>
      <c r="L2071" s="852" t="s">
        <v>1382</v>
      </c>
      <c r="M2071" s="1369">
        <v>1290</v>
      </c>
      <c r="N2071" s="852"/>
      <c r="O2071" s="1385" t="s">
        <v>2034</v>
      </c>
      <c r="R2071" s="1387" t="s">
        <v>2051</v>
      </c>
      <c r="T2071" s="1604" t="str">
        <f t="shared" si="336"/>
        <v/>
      </c>
    </row>
    <row r="2072" spans="1:20" s="1385"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390" t="str">
        <f>IF(T2072&lt;&gt;"","C","")</f>
        <v/>
      </c>
      <c r="H2072" s="1390" t="s">
        <v>1991</v>
      </c>
      <c r="I2072" s="852"/>
      <c r="J2072" s="852"/>
      <c r="K2072" s="852"/>
      <c r="L2072" s="852" t="s">
        <v>1385</v>
      </c>
      <c r="M2072" s="1369">
        <v>1291</v>
      </c>
      <c r="N2072" s="852"/>
      <c r="R2072" s="1387" t="s">
        <v>2051</v>
      </c>
      <c r="T2072" s="1604" t="str">
        <f t="shared" si="336"/>
        <v/>
      </c>
    </row>
    <row r="2073" spans="1:20" s="1385"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390" t="str">
        <f>IF(T2073&lt;&gt;"","D","")</f>
        <v/>
      </c>
      <c r="H2073" s="1390" t="s">
        <v>1991</v>
      </c>
      <c r="I2073" s="852"/>
      <c r="J2073" s="852"/>
      <c r="K2073" s="852"/>
      <c r="L2073" s="852" t="s">
        <v>1386</v>
      </c>
      <c r="M2073" s="1369">
        <v>1292</v>
      </c>
      <c r="N2073" s="852"/>
      <c r="R2073" s="1387" t="s">
        <v>2051</v>
      </c>
      <c r="T2073" s="1604" t="str">
        <f t="shared" si="336"/>
        <v/>
      </c>
    </row>
    <row r="2074" spans="1:20" s="1385"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390" t="s">
        <v>1396</v>
      </c>
      <c r="G2074" s="1390" t="str">
        <f t="shared" si="335"/>
        <v/>
      </c>
      <c r="H2074" s="1390" t="s">
        <v>1991</v>
      </c>
      <c r="I2074" s="852"/>
      <c r="J2074" s="852"/>
      <c r="K2074" s="852"/>
      <c r="L2074" s="852" t="s">
        <v>1396</v>
      </c>
      <c r="M2074" s="1369">
        <v>1293</v>
      </c>
      <c r="N2074" s="852"/>
      <c r="R2074" s="1387" t="s">
        <v>2051</v>
      </c>
      <c r="T2074" s="1604" t="str">
        <f t="shared" si="336"/>
        <v/>
      </c>
    </row>
    <row r="2075" spans="1:20" s="1385"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390" t="str">
        <f>IF(T2075&lt;&gt;"","AQ","")</f>
        <v/>
      </c>
      <c r="H2075" s="1390" t="s">
        <v>1991</v>
      </c>
      <c r="I2075" s="852"/>
      <c r="J2075" s="852"/>
      <c r="K2075" s="852"/>
      <c r="L2075" s="852" t="s">
        <v>2006</v>
      </c>
      <c r="M2075" s="1369">
        <v>1294</v>
      </c>
      <c r="N2075" s="852"/>
      <c r="R2075" s="1387" t="s">
        <v>2051</v>
      </c>
      <c r="T2075" s="1604" t="str">
        <f t="shared" si="336"/>
        <v/>
      </c>
    </row>
    <row r="2076" spans="1:20" s="1385"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390" t="str">
        <f>IF(T2076&lt;&gt;"","AA","")</f>
        <v/>
      </c>
      <c r="H2076" s="1390" t="s">
        <v>1991</v>
      </c>
      <c r="I2076" s="852"/>
      <c r="J2076" s="852"/>
      <c r="K2076" s="852"/>
      <c r="L2076" s="852" t="s">
        <v>2007</v>
      </c>
      <c r="M2076" s="1369">
        <v>1295</v>
      </c>
      <c r="N2076" s="852"/>
      <c r="R2076" s="1387" t="s">
        <v>2051</v>
      </c>
      <c r="T2076" s="1604" t="str">
        <f t="shared" si="336"/>
        <v/>
      </c>
    </row>
    <row r="2077" spans="1:20" s="1385"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390" t="str">
        <f>IF(T2077&lt;&gt;"","H","")</f>
        <v/>
      </c>
      <c r="H2077" s="1390" t="s">
        <v>1991</v>
      </c>
      <c r="I2077" s="852"/>
      <c r="J2077" s="852"/>
      <c r="K2077" s="852"/>
      <c r="L2077" s="852" t="s">
        <v>1397</v>
      </c>
      <c r="M2077" s="1369">
        <v>1296</v>
      </c>
      <c r="N2077" s="852"/>
      <c r="R2077" s="1387" t="s">
        <v>2051</v>
      </c>
      <c r="T2077" s="1604" t="str">
        <f t="shared" si="336"/>
        <v/>
      </c>
    </row>
    <row r="2078" spans="1:20" s="1385"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390" t="str">
        <f>IF(T2078&lt;&gt;"","A","")</f>
        <v/>
      </c>
      <c r="H2078" s="1390" t="s">
        <v>1991</v>
      </c>
      <c r="I2078" s="852"/>
      <c r="J2078" s="852"/>
      <c r="K2078" s="852"/>
      <c r="L2078" s="852" t="s">
        <v>1492</v>
      </c>
      <c r="M2078" s="1369">
        <v>1297</v>
      </c>
      <c r="N2078" s="852"/>
      <c r="O2078" s="1385" t="s">
        <v>725</v>
      </c>
      <c r="R2078" s="1387" t="s">
        <v>2052</v>
      </c>
      <c r="T2078" s="1390" t="str">
        <f>IF(Q$2079="Yes",44,"")</f>
        <v/>
      </c>
    </row>
    <row r="2079" spans="1:20" s="1385"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390"/>
      <c r="H2079" s="1390"/>
      <c r="I2079" s="852"/>
      <c r="J2079" s="852"/>
      <c r="K2079" s="852"/>
      <c r="L2079" s="852" t="s">
        <v>1706</v>
      </c>
      <c r="M2079" s="1369">
        <v>1298</v>
      </c>
      <c r="N2079" s="852"/>
      <c r="O2079" s="1385">
        <v>615</v>
      </c>
      <c r="P2079" s="18" t="str">
        <f>'Configurable Tab'!J46</f>
        <v>No</v>
      </c>
      <c r="Q2079" s="1388" t="s">
        <v>648</v>
      </c>
      <c r="R2079" s="1387" t="s">
        <v>2052</v>
      </c>
      <c r="T2079" s="1390" t="str">
        <f t="shared" ref="T2079:T2088" si="337">IF(Q$2079="Yes",44,"")</f>
        <v/>
      </c>
    </row>
    <row r="2080" spans="1:20" s="1385"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390" t="str">
        <f>IF(T2080&lt;&gt;"","B","")</f>
        <v/>
      </c>
      <c r="H2080" s="1390" t="s">
        <v>1991</v>
      </c>
      <c r="I2080" s="852"/>
      <c r="J2080" s="852"/>
      <c r="K2080" s="852"/>
      <c r="L2080" s="852" t="s">
        <v>1383</v>
      </c>
      <c r="M2080" s="1369">
        <v>1299</v>
      </c>
      <c r="N2080" s="852"/>
      <c r="O2080" s="1385" t="s">
        <v>726</v>
      </c>
      <c r="R2080" s="1387" t="s">
        <v>2052</v>
      </c>
      <c r="T2080" s="1604" t="str">
        <f t="shared" si="337"/>
        <v/>
      </c>
    </row>
    <row r="2081" spans="1:20" s="1385"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390" t="str">
        <f>IF(T2081&lt;&gt;"","I","")</f>
        <v/>
      </c>
      <c r="H2081" s="1390" t="s">
        <v>1991</v>
      </c>
      <c r="I2081" s="852"/>
      <c r="J2081" s="852"/>
      <c r="K2081" s="852"/>
      <c r="L2081" s="852" t="s">
        <v>1381</v>
      </c>
      <c r="M2081" s="1369">
        <v>1300</v>
      </c>
      <c r="N2081" s="852"/>
      <c r="O2081" s="1385">
        <v>628</v>
      </c>
      <c r="R2081" s="1387" t="s">
        <v>2052</v>
      </c>
      <c r="T2081" s="1604" t="str">
        <f t="shared" si="337"/>
        <v/>
      </c>
    </row>
    <row r="2082" spans="1:20" s="1385"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390" t="str">
        <f>IF(T2082&lt;&gt;"",IF(Q2081="Credit Memo","J",IF(Q2081="Check","K","")),"")</f>
        <v/>
      </c>
      <c r="H2082" s="1390" t="s">
        <v>1991</v>
      </c>
      <c r="I2082" s="852"/>
      <c r="J2082" s="852"/>
      <c r="K2082" s="852"/>
      <c r="L2082" s="852" t="s">
        <v>1382</v>
      </c>
      <c r="M2082" s="1369">
        <v>1301</v>
      </c>
      <c r="N2082" s="852"/>
      <c r="O2082" s="1385" t="s">
        <v>2035</v>
      </c>
      <c r="R2082" s="1387" t="s">
        <v>2052</v>
      </c>
      <c r="T2082" s="1604" t="str">
        <f t="shared" si="337"/>
        <v/>
      </c>
    </row>
    <row r="2083" spans="1:20" s="1385"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390" t="str">
        <f>IF(T2083&lt;&gt;"","C","")</f>
        <v/>
      </c>
      <c r="H2083" s="1390" t="s">
        <v>1991</v>
      </c>
      <c r="I2083" s="852"/>
      <c r="J2083" s="852"/>
      <c r="K2083" s="852"/>
      <c r="L2083" s="852" t="s">
        <v>1385</v>
      </c>
      <c r="M2083" s="1369">
        <v>1302</v>
      </c>
      <c r="N2083" s="852"/>
      <c r="R2083" s="1387" t="s">
        <v>2052</v>
      </c>
      <c r="T2083" s="1604" t="str">
        <f t="shared" si="337"/>
        <v/>
      </c>
    </row>
    <row r="2084" spans="1:20" s="1385"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390" t="str">
        <f>IF(T2084&lt;&gt;"","D","")</f>
        <v/>
      </c>
      <c r="H2084" s="1390" t="s">
        <v>1991</v>
      </c>
      <c r="I2084" s="852"/>
      <c r="J2084" s="852"/>
      <c r="K2084" s="852"/>
      <c r="L2084" s="852" t="s">
        <v>1386</v>
      </c>
      <c r="M2084" s="1369">
        <v>1303</v>
      </c>
      <c r="N2084" s="852"/>
      <c r="R2084" s="1387" t="s">
        <v>2052</v>
      </c>
      <c r="T2084" s="1604" t="str">
        <f t="shared" si="337"/>
        <v/>
      </c>
    </row>
    <row r="2085" spans="1:20" s="1385"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390" t="s">
        <v>1396</v>
      </c>
      <c r="G2085" s="1390" t="str">
        <f t="shared" si="335"/>
        <v/>
      </c>
      <c r="H2085" s="1390" t="s">
        <v>1991</v>
      </c>
      <c r="I2085" s="852"/>
      <c r="J2085" s="852"/>
      <c r="K2085" s="852"/>
      <c r="L2085" s="852" t="s">
        <v>1396</v>
      </c>
      <c r="M2085" s="1369">
        <v>1304</v>
      </c>
      <c r="N2085" s="852"/>
      <c r="R2085" s="1387" t="s">
        <v>2052</v>
      </c>
      <c r="T2085" s="1604" t="str">
        <f t="shared" si="337"/>
        <v/>
      </c>
    </row>
    <row r="2086" spans="1:20" s="1385"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390" t="str">
        <f>IF(T2086&lt;&gt;"","AQ","")</f>
        <v/>
      </c>
      <c r="H2086" s="1390" t="s">
        <v>1991</v>
      </c>
      <c r="I2086" s="852"/>
      <c r="J2086" s="852"/>
      <c r="K2086" s="852"/>
      <c r="L2086" s="852" t="s">
        <v>2006</v>
      </c>
      <c r="M2086" s="1369">
        <v>1305</v>
      </c>
      <c r="N2086" s="852"/>
      <c r="R2086" s="1387" t="s">
        <v>2052</v>
      </c>
      <c r="T2086" s="1604" t="str">
        <f t="shared" si="337"/>
        <v/>
      </c>
    </row>
    <row r="2087" spans="1:20" s="1385"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390" t="str">
        <f>IF(T2087&lt;&gt;"","AA","")</f>
        <v/>
      </c>
      <c r="H2087" s="1390" t="s">
        <v>1991</v>
      </c>
      <c r="I2087" s="852"/>
      <c r="J2087" s="852"/>
      <c r="K2087" s="852"/>
      <c r="L2087" s="852" t="s">
        <v>2007</v>
      </c>
      <c r="M2087" s="1369">
        <v>1306</v>
      </c>
      <c r="N2087" s="852"/>
      <c r="R2087" s="1387" t="s">
        <v>2052</v>
      </c>
      <c r="T2087" s="1604" t="str">
        <f t="shared" si="337"/>
        <v/>
      </c>
    </row>
    <row r="2088" spans="1:20" s="1385"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390" t="str">
        <f>IF(T2088&lt;&gt;"","H","")</f>
        <v/>
      </c>
      <c r="H2088" s="1390" t="s">
        <v>1991</v>
      </c>
      <c r="I2088" s="852"/>
      <c r="J2088" s="852"/>
      <c r="K2088" s="852"/>
      <c r="L2088" s="852" t="s">
        <v>1397</v>
      </c>
      <c r="M2088" s="1369">
        <v>1307</v>
      </c>
      <c r="N2088" s="852"/>
      <c r="R2088" s="1387" t="s">
        <v>2052</v>
      </c>
      <c r="T2088" s="1604" t="str">
        <f t="shared" si="337"/>
        <v/>
      </c>
    </row>
    <row r="2089" spans="1:20" s="1385" customFormat="1" x14ac:dyDescent="0.25">
      <c r="A2089" s="872" t="s">
        <v>1706</v>
      </c>
      <c r="B2089" s="1307" t="str">
        <f>IFERROR(_xlfn.CONCAT("D",('Configurable Tab'!$C$23+1)),"")</f>
        <v>D226</v>
      </c>
      <c r="C2089" s="1307" t="str">
        <f>IFERROR(_xlfn.CONCAT("E",('Configurable Tab'!$C$23+1)),"")</f>
        <v>E226</v>
      </c>
      <c r="D2089" s="852" t="s">
        <v>1350</v>
      </c>
      <c r="E2089" s="852" t="s">
        <v>1743</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2044</v>
      </c>
    </row>
    <row r="2090" spans="1:20" s="1385" customFormat="1" x14ac:dyDescent="0.25">
      <c r="A2090" s="872" t="s">
        <v>1383</v>
      </c>
      <c r="B2090" s="1307" t="str">
        <f>IFERROR(_xlfn.CONCAT("D",('Configurable Tab'!$C$23+2)),"")</f>
        <v>D227</v>
      </c>
      <c r="C2090" s="1307" t="str">
        <f>IFERROR(_xlfn.CONCAT("E",('Configurable Tab'!$C$23+2)),"")</f>
        <v>E227</v>
      </c>
      <c r="D2090" s="852" t="s">
        <v>1350</v>
      </c>
      <c r="E2090" s="852" t="s">
        <v>1743</v>
      </c>
      <c r="F2090" s="1387"/>
      <c r="G2090" s="1387"/>
      <c r="H2090" s="1387"/>
      <c r="I2090" s="1307" t="str">
        <f t="shared" si="338"/>
        <v/>
      </c>
      <c r="J2090" s="1387" t="str">
        <f>IF($Q$1991="Yes",Q$1&amp;M1992,"")</f>
        <v/>
      </c>
      <c r="K2090" s="1387" t="str">
        <f t="shared" si="339"/>
        <v/>
      </c>
      <c r="M2090" s="1386"/>
      <c r="R2090" s="1387" t="s">
        <v>2044</v>
      </c>
    </row>
    <row r="2091" spans="1:20" s="1385" customFormat="1" x14ac:dyDescent="0.25">
      <c r="A2091" s="872" t="s">
        <v>1381</v>
      </c>
      <c r="B2091" s="1307" t="str">
        <f>IFERROR(_xlfn.CONCAT("I",('Configurable Tab'!$C$23+1)),"")</f>
        <v>I226</v>
      </c>
      <c r="C2091" s="1307" t="str">
        <f>IFERROR(_xlfn.CONCAT("I",('Configurable Tab'!$C$23+2)),"")</f>
        <v>I227</v>
      </c>
      <c r="D2091" s="852" t="s">
        <v>1350</v>
      </c>
      <c r="E2091" s="852" t="s">
        <v>1743</v>
      </c>
      <c r="F2091" s="1387"/>
      <c r="G2091" s="1387"/>
      <c r="H2091" s="1387"/>
      <c r="I2091" s="1307" t="str">
        <f t="shared" si="338"/>
        <v/>
      </c>
      <c r="J2091" s="1387" t="str">
        <f t="shared" ref="J2091:J2098" si="340">IF($Q$1991="Yes",Q$1&amp;M1993,"")</f>
        <v/>
      </c>
      <c r="K2091" s="1387" t="str">
        <f t="shared" si="339"/>
        <v/>
      </c>
      <c r="M2091" s="1386"/>
      <c r="R2091" s="1387" t="s">
        <v>2044</v>
      </c>
    </row>
    <row r="2092" spans="1:20" s="1385" customFormat="1" x14ac:dyDescent="0.25">
      <c r="A2092" s="872" t="s">
        <v>1382</v>
      </c>
      <c r="B2092" s="1307" t="str">
        <f>IFERROR(_xlfn.CONCAT("M",('Configurable Tab'!$C$23+1)),"")</f>
        <v>M226</v>
      </c>
      <c r="C2092" s="1307" t="str">
        <f>IFERROR(_xlfn.CONCAT("M",('Configurable Tab'!$C$23+2)),"")</f>
        <v>M227</v>
      </c>
      <c r="D2092" s="852" t="s">
        <v>1350</v>
      </c>
      <c r="E2092" s="852" t="s">
        <v>1743</v>
      </c>
      <c r="F2092" s="1387"/>
      <c r="G2092" s="1387"/>
      <c r="H2092" s="1387"/>
      <c r="I2092" s="1307" t="str">
        <f t="shared" si="338"/>
        <v/>
      </c>
      <c r="J2092" s="1387" t="str">
        <f t="shared" si="340"/>
        <v/>
      </c>
      <c r="K2092" s="1387" t="str">
        <f t="shared" si="339"/>
        <v/>
      </c>
      <c r="M2092" s="1386"/>
      <c r="R2092" s="1387" t="s">
        <v>2044</v>
      </c>
    </row>
    <row r="2093" spans="1:20" s="1385" customFormat="1" x14ac:dyDescent="0.25">
      <c r="A2093" s="872" t="s">
        <v>1385</v>
      </c>
      <c r="B2093" s="1307" t="str">
        <f>IFERROR(_xlfn.CONCAT("D",('Configurable Tab'!$C$23+4)),"")</f>
        <v>D229</v>
      </c>
      <c r="C2093" s="1307" t="str">
        <f>IFERROR(_xlfn.CONCAT("E",('Configurable Tab'!$C$23+4)),"")</f>
        <v>E229</v>
      </c>
      <c r="D2093" s="852" t="s">
        <v>1350</v>
      </c>
      <c r="E2093" s="852" t="s">
        <v>1743</v>
      </c>
      <c r="F2093" s="1387"/>
      <c r="G2093" s="1387"/>
      <c r="H2093" s="1387"/>
      <c r="I2093" s="1307" t="str">
        <f t="shared" si="338"/>
        <v/>
      </c>
      <c r="J2093" s="1387" t="str">
        <f t="shared" si="340"/>
        <v/>
      </c>
      <c r="K2093" s="1387" t="str">
        <f t="shared" si="339"/>
        <v/>
      </c>
      <c r="M2093" s="1386"/>
      <c r="R2093" s="1387" t="s">
        <v>2044</v>
      </c>
    </row>
    <row r="2094" spans="1:20" s="1385" customFormat="1" x14ac:dyDescent="0.25">
      <c r="A2094" s="872" t="s">
        <v>1386</v>
      </c>
      <c r="B2094" s="1307" t="str">
        <f>IFERROR(_xlfn.CONCAT("D",('Configurable Tab'!$C$23+5)),"")</f>
        <v>D230</v>
      </c>
      <c r="C2094" s="1307" t="str">
        <f>IFERROR(_xlfn.CONCAT("E",('Configurable Tab'!$C$23+5)),"")</f>
        <v>E230</v>
      </c>
      <c r="D2094" s="852" t="s">
        <v>1350</v>
      </c>
      <c r="E2094" s="852" t="s">
        <v>1743</v>
      </c>
      <c r="F2094" s="1387"/>
      <c r="G2094" s="1387"/>
      <c r="H2094" s="1387"/>
      <c r="I2094" s="1307" t="str">
        <f t="shared" si="338"/>
        <v/>
      </c>
      <c r="J2094" s="1387" t="str">
        <f t="shared" si="340"/>
        <v/>
      </c>
      <c r="K2094" s="1387" t="str">
        <f t="shared" si="339"/>
        <v/>
      </c>
      <c r="M2094" s="1386"/>
      <c r="R2094" s="1387" t="s">
        <v>2044</v>
      </c>
    </row>
    <row r="2095" spans="1:20" s="1385" customFormat="1" x14ac:dyDescent="0.25">
      <c r="A2095" s="872" t="s">
        <v>1396</v>
      </c>
      <c r="B2095" s="1307" t="str">
        <f>IFERROR(_xlfn.CONCAT("G",('Configurable Tab'!$C$23+7)),"")</f>
        <v>G232</v>
      </c>
      <c r="C2095" s="1307" t="str">
        <f>IFERROR(_xlfn.CONCAT("G",('Configurable Tab'!$C$23+8)),"")</f>
        <v>G233</v>
      </c>
      <c r="D2095" s="852" t="s">
        <v>1350</v>
      </c>
      <c r="E2095" s="852" t="s">
        <v>1743</v>
      </c>
      <c r="F2095" s="1387"/>
      <c r="G2095" s="1387"/>
      <c r="H2095" s="1387"/>
      <c r="I2095" s="1307" t="str">
        <f t="shared" si="338"/>
        <v/>
      </c>
      <c r="J2095" s="1387" t="str">
        <f t="shared" si="340"/>
        <v/>
      </c>
      <c r="K2095" s="1387" t="str">
        <f t="shared" si="339"/>
        <v/>
      </c>
      <c r="M2095" s="1386"/>
      <c r="R2095" s="1387" t="s">
        <v>2044</v>
      </c>
    </row>
    <row r="2096" spans="1:20" s="1385" customFormat="1" x14ac:dyDescent="0.25">
      <c r="A2096" s="872" t="s">
        <v>2006</v>
      </c>
      <c r="B2096" s="1307" t="str">
        <f>IFERROR(_xlfn.CONCAT("G",('Configurable Tab'!$C$23+7)),"")</f>
        <v>G232</v>
      </c>
      <c r="C2096" s="1307" t="str">
        <f>IFERROR(_xlfn.CONCAT("G",('Configurable Tab'!$C$23+8)),"")</f>
        <v>G233</v>
      </c>
      <c r="D2096" s="852" t="s">
        <v>1350</v>
      </c>
      <c r="E2096" s="852" t="s">
        <v>1743</v>
      </c>
      <c r="F2096" s="1387"/>
      <c r="G2096" s="1387"/>
      <c r="H2096" s="1387"/>
      <c r="I2096" s="1307" t="str">
        <f t="shared" si="338"/>
        <v/>
      </c>
      <c r="J2096" s="1387" t="str">
        <f t="shared" si="340"/>
        <v/>
      </c>
      <c r="K2096" s="1387" t="str">
        <f t="shared" si="339"/>
        <v/>
      </c>
      <c r="M2096" s="1386"/>
      <c r="R2096" s="1387" t="s">
        <v>2044</v>
      </c>
    </row>
    <row r="2097" spans="1:18" s="1385" customFormat="1" x14ac:dyDescent="0.25">
      <c r="A2097" s="872" t="s">
        <v>1483</v>
      </c>
      <c r="B2097" s="1307" t="str">
        <f>IFERROR(_xlfn.CONCAT("K",('Configurable Tab'!$C$23+7)),"")</f>
        <v>K232</v>
      </c>
      <c r="C2097" s="1307" t="str">
        <f>IFERROR(_xlfn.CONCAT("K",('Configurable Tab'!$C$23+8)),"")</f>
        <v>K233</v>
      </c>
      <c r="D2097" s="852" t="s">
        <v>1350</v>
      </c>
      <c r="E2097" s="852" t="s">
        <v>1743</v>
      </c>
      <c r="F2097" s="1387"/>
      <c r="G2097" s="1387"/>
      <c r="H2097" s="1387"/>
      <c r="I2097" s="1307" t="str">
        <f t="shared" si="338"/>
        <v/>
      </c>
      <c r="J2097" s="1387" t="str">
        <f t="shared" si="340"/>
        <v/>
      </c>
      <c r="K2097" s="1387" t="str">
        <f t="shared" si="339"/>
        <v/>
      </c>
      <c r="M2097" s="1386"/>
      <c r="R2097" s="1387" t="s">
        <v>2044</v>
      </c>
    </row>
    <row r="2098" spans="1:18" s="1385" customFormat="1" x14ac:dyDescent="0.25">
      <c r="A2098" s="872" t="s">
        <v>1397</v>
      </c>
      <c r="B2098" s="1307" t="str">
        <f>IFERROR(_xlfn.CONCAT("K",('Configurable Tab'!$C$23+1)),"")</f>
        <v>K226</v>
      </c>
      <c r="C2098" s="1307" t="str">
        <f>IFERROR(_xlfn.CONCAT("K",('Configurable Tab'!$C$23+2)),"")</f>
        <v>K227</v>
      </c>
      <c r="D2098" s="852" t="s">
        <v>1350</v>
      </c>
      <c r="E2098" s="852" t="s">
        <v>1743</v>
      </c>
      <c r="F2098" s="1387"/>
      <c r="G2098" s="1387"/>
      <c r="H2098" s="1387"/>
      <c r="I2098" s="1307" t="str">
        <f t="shared" si="338"/>
        <v/>
      </c>
      <c r="J2098" s="1387" t="str">
        <f t="shared" si="340"/>
        <v/>
      </c>
      <c r="K2098" s="1387" t="str">
        <f t="shared" si="339"/>
        <v/>
      </c>
      <c r="M2098" s="1386"/>
      <c r="R2098" s="1387" t="s">
        <v>2044</v>
      </c>
    </row>
    <row r="2099" spans="1:18" s="1385" customFormat="1" x14ac:dyDescent="0.25">
      <c r="A2099" s="875" t="s">
        <v>1706</v>
      </c>
      <c r="B2099" s="1307" t="str">
        <f>IFERROR(_xlfn.CONCAT("D",('Configurable Tab'!$C$24+1)),"")</f>
        <v>D237</v>
      </c>
      <c r="C2099" s="1307" t="str">
        <f>IFERROR(_xlfn.CONCAT("E",('Configurable Tab'!$C$24+1)),"")</f>
        <v>E237</v>
      </c>
      <c r="D2099" s="852" t="s">
        <v>1350</v>
      </c>
      <c r="E2099" s="852" t="s">
        <v>1743</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2045</v>
      </c>
    </row>
    <row r="2100" spans="1:18" s="1385" customFormat="1" x14ac:dyDescent="0.25">
      <c r="A2100" s="875" t="s">
        <v>1383</v>
      </c>
      <c r="B2100" s="1307" t="str">
        <f>IFERROR(_xlfn.CONCAT("D",('Configurable Tab'!$C$24+2)),"")</f>
        <v>D238</v>
      </c>
      <c r="C2100" s="1307" t="str">
        <f>IFERROR(_xlfn.CONCAT("E",('Configurable Tab'!$C$24+2)),"")</f>
        <v>E238</v>
      </c>
      <c r="D2100" s="852" t="s">
        <v>1350</v>
      </c>
      <c r="E2100" s="852" t="s">
        <v>1743</v>
      </c>
      <c r="F2100" s="1387"/>
      <c r="G2100" s="1387"/>
      <c r="H2100" s="1387"/>
      <c r="I2100" s="1307" t="str">
        <f t="shared" si="338"/>
        <v/>
      </c>
      <c r="J2100" s="1387" t="str">
        <f t="shared" ref="J2100:J2108" si="341">IF($Q$2002="Yes",Q$1&amp;M2003,"")</f>
        <v/>
      </c>
      <c r="K2100" s="1387" t="str">
        <f t="shared" si="339"/>
        <v/>
      </c>
      <c r="M2100" s="1386"/>
      <c r="R2100" s="1387" t="s">
        <v>2045</v>
      </c>
    </row>
    <row r="2101" spans="1:18" s="1385" customFormat="1" x14ac:dyDescent="0.25">
      <c r="A2101" s="875" t="s">
        <v>1381</v>
      </c>
      <c r="B2101" s="1307" t="str">
        <f>IFERROR(_xlfn.CONCAT("I",('Configurable Tab'!$C$24+1)),"")</f>
        <v>I237</v>
      </c>
      <c r="C2101" s="1307" t="str">
        <f>IFERROR(_xlfn.CONCAT("I",('Configurable Tab'!$C$24+2)),"")</f>
        <v>I238</v>
      </c>
      <c r="D2101" s="852" t="s">
        <v>1350</v>
      </c>
      <c r="E2101" s="852" t="s">
        <v>1743</v>
      </c>
      <c r="F2101" s="1387"/>
      <c r="G2101" s="1387"/>
      <c r="H2101" s="1387"/>
      <c r="I2101" s="1307" t="str">
        <f t="shared" si="338"/>
        <v/>
      </c>
      <c r="J2101" s="1387" t="str">
        <f t="shared" si="341"/>
        <v/>
      </c>
      <c r="K2101" s="1387" t="str">
        <f t="shared" si="339"/>
        <v/>
      </c>
      <c r="M2101" s="1386"/>
      <c r="R2101" s="1387" t="s">
        <v>2045</v>
      </c>
    </row>
    <row r="2102" spans="1:18" s="1385" customFormat="1" x14ac:dyDescent="0.25">
      <c r="A2102" s="875" t="s">
        <v>1382</v>
      </c>
      <c r="B2102" s="1307" t="str">
        <f>IFERROR(_xlfn.CONCAT("M",('Configurable Tab'!$C$24+1)),"")</f>
        <v>M237</v>
      </c>
      <c r="C2102" s="1307" t="str">
        <f>IFERROR(_xlfn.CONCAT("M",('Configurable Tab'!$C$24+2)),"")</f>
        <v>M238</v>
      </c>
      <c r="D2102" s="852" t="s">
        <v>1350</v>
      </c>
      <c r="E2102" s="852" t="s">
        <v>1743</v>
      </c>
      <c r="F2102" s="1387"/>
      <c r="G2102" s="1387"/>
      <c r="H2102" s="1387"/>
      <c r="I2102" s="1307" t="str">
        <f t="shared" si="338"/>
        <v/>
      </c>
      <c r="J2102" s="1387" t="str">
        <f t="shared" si="341"/>
        <v/>
      </c>
      <c r="K2102" s="1387" t="str">
        <f t="shared" si="339"/>
        <v/>
      </c>
      <c r="M2102" s="1386"/>
      <c r="R2102" s="1387" t="s">
        <v>2045</v>
      </c>
    </row>
    <row r="2103" spans="1:18" s="1385" customFormat="1" x14ac:dyDescent="0.25">
      <c r="A2103" s="875" t="s">
        <v>1385</v>
      </c>
      <c r="B2103" s="1307" t="str">
        <f>IFERROR(_xlfn.CONCAT("D",('Configurable Tab'!$C$24+4)),"")</f>
        <v>D240</v>
      </c>
      <c r="C2103" s="1307" t="str">
        <f>IFERROR(_xlfn.CONCAT("E",('Configurable Tab'!$C$24+4)),"")</f>
        <v>E240</v>
      </c>
      <c r="D2103" s="852" t="s">
        <v>1350</v>
      </c>
      <c r="E2103" s="852" t="s">
        <v>1743</v>
      </c>
      <c r="F2103" s="1387"/>
      <c r="G2103" s="1387"/>
      <c r="H2103" s="1387"/>
      <c r="I2103" s="1307" t="str">
        <f t="shared" si="338"/>
        <v/>
      </c>
      <c r="J2103" s="1387" t="str">
        <f t="shared" si="341"/>
        <v/>
      </c>
      <c r="K2103" s="1387" t="str">
        <f t="shared" si="339"/>
        <v/>
      </c>
      <c r="M2103" s="1386"/>
      <c r="R2103" s="1387" t="s">
        <v>2045</v>
      </c>
    </row>
    <row r="2104" spans="1:18" s="1385" customFormat="1" x14ac:dyDescent="0.25">
      <c r="A2104" s="875" t="s">
        <v>1386</v>
      </c>
      <c r="B2104" s="1307" t="str">
        <f>IFERROR(_xlfn.CONCAT("D",('Configurable Tab'!$C$24+5)),"")</f>
        <v>D241</v>
      </c>
      <c r="C2104" s="1307" t="str">
        <f>IFERROR(_xlfn.CONCAT("E",('Configurable Tab'!$C$24+5)),"")</f>
        <v>E241</v>
      </c>
      <c r="D2104" s="852" t="s">
        <v>1350</v>
      </c>
      <c r="E2104" s="852" t="s">
        <v>1743</v>
      </c>
      <c r="F2104" s="1387"/>
      <c r="G2104" s="1387"/>
      <c r="H2104" s="1387"/>
      <c r="I2104" s="1307" t="str">
        <f t="shared" si="338"/>
        <v/>
      </c>
      <c r="J2104" s="1387" t="str">
        <f t="shared" si="341"/>
        <v/>
      </c>
      <c r="K2104" s="1387" t="str">
        <f t="shared" si="339"/>
        <v/>
      </c>
      <c r="M2104" s="1386"/>
      <c r="R2104" s="1387" t="s">
        <v>2045</v>
      </c>
    </row>
    <row r="2105" spans="1:18" s="1385" customFormat="1" x14ac:dyDescent="0.25">
      <c r="A2105" s="875" t="s">
        <v>1396</v>
      </c>
      <c r="B2105" s="1307" t="str">
        <f>IFERROR(_xlfn.CONCAT("G",('Configurable Tab'!$C$24+7)),"")</f>
        <v>G243</v>
      </c>
      <c r="C2105" s="1307" t="str">
        <f>IFERROR(_xlfn.CONCAT("G",('Configurable Tab'!$C$24+8)),"")</f>
        <v>G244</v>
      </c>
      <c r="D2105" s="852" t="s">
        <v>1350</v>
      </c>
      <c r="E2105" s="852" t="s">
        <v>1743</v>
      </c>
      <c r="F2105" s="1387"/>
      <c r="G2105" s="1387"/>
      <c r="H2105" s="1387"/>
      <c r="I2105" s="1307" t="str">
        <f t="shared" si="338"/>
        <v/>
      </c>
      <c r="J2105" s="1387" t="str">
        <f t="shared" si="341"/>
        <v/>
      </c>
      <c r="K2105" s="1387" t="str">
        <f t="shared" si="339"/>
        <v/>
      </c>
      <c r="M2105" s="1386"/>
      <c r="R2105" s="1387" t="s">
        <v>2045</v>
      </c>
    </row>
    <row r="2106" spans="1:18" s="1385" customFormat="1" x14ac:dyDescent="0.25">
      <c r="A2106" s="875" t="s">
        <v>2006</v>
      </c>
      <c r="B2106" s="1307" t="str">
        <f>IFERROR(_xlfn.CONCAT("G",('Configurable Tab'!$C$24+7)),"")</f>
        <v>G243</v>
      </c>
      <c r="C2106" s="1307" t="str">
        <f>IFERROR(_xlfn.CONCAT("G",('Configurable Tab'!$C$24+8)),"")</f>
        <v>G244</v>
      </c>
      <c r="D2106" s="852" t="s">
        <v>1350</v>
      </c>
      <c r="E2106" s="852" t="s">
        <v>1743</v>
      </c>
      <c r="F2106" s="1387"/>
      <c r="G2106" s="1387"/>
      <c r="H2106" s="1387"/>
      <c r="I2106" s="1307" t="str">
        <f t="shared" si="338"/>
        <v/>
      </c>
      <c r="J2106" s="1387" t="str">
        <f t="shared" si="341"/>
        <v/>
      </c>
      <c r="K2106" s="1387" t="str">
        <f t="shared" si="339"/>
        <v/>
      </c>
      <c r="M2106" s="1386"/>
      <c r="R2106" s="1387" t="s">
        <v>2045</v>
      </c>
    </row>
    <row r="2107" spans="1:18" s="1385" customFormat="1" x14ac:dyDescent="0.25">
      <c r="A2107" s="875" t="s">
        <v>1483</v>
      </c>
      <c r="B2107" s="1307" t="str">
        <f>IFERROR(_xlfn.CONCAT("K",('Configurable Tab'!$C$24+7)),"")</f>
        <v>K243</v>
      </c>
      <c r="C2107" s="1307" t="str">
        <f>IFERROR(_xlfn.CONCAT("K",('Configurable Tab'!$C$24+8)),"")</f>
        <v>K244</v>
      </c>
      <c r="D2107" s="852" t="s">
        <v>1350</v>
      </c>
      <c r="E2107" s="852" t="s">
        <v>1743</v>
      </c>
      <c r="F2107" s="1387"/>
      <c r="G2107" s="1387"/>
      <c r="H2107" s="1387"/>
      <c r="I2107" s="1307" t="str">
        <f t="shared" si="338"/>
        <v/>
      </c>
      <c r="J2107" s="1387" t="str">
        <f t="shared" si="341"/>
        <v/>
      </c>
      <c r="K2107" s="1387" t="str">
        <f t="shared" si="339"/>
        <v/>
      </c>
      <c r="M2107" s="1386"/>
      <c r="R2107" s="1387" t="s">
        <v>2045</v>
      </c>
    </row>
    <row r="2108" spans="1:18" s="1385" customFormat="1" x14ac:dyDescent="0.25">
      <c r="A2108" s="875" t="s">
        <v>1397</v>
      </c>
      <c r="B2108" s="1307" t="str">
        <f>IFERROR(_xlfn.CONCAT("K",('Configurable Tab'!$C$24+1)),"")</f>
        <v>K237</v>
      </c>
      <c r="C2108" s="1307" t="str">
        <f>IFERROR(_xlfn.CONCAT("K",('Configurable Tab'!$C$24+2)),"")</f>
        <v>K238</v>
      </c>
      <c r="D2108" s="852" t="s">
        <v>1350</v>
      </c>
      <c r="E2108" s="852" t="s">
        <v>1743</v>
      </c>
      <c r="F2108" s="1387"/>
      <c r="G2108" s="1387"/>
      <c r="H2108" s="1387"/>
      <c r="I2108" s="1307" t="str">
        <f t="shared" si="338"/>
        <v/>
      </c>
      <c r="J2108" s="1387" t="str">
        <f t="shared" si="341"/>
        <v/>
      </c>
      <c r="K2108" s="1387" t="str">
        <f t="shared" si="339"/>
        <v/>
      </c>
      <c r="M2108" s="1386"/>
      <c r="R2108" s="1387" t="s">
        <v>2045</v>
      </c>
    </row>
    <row r="2109" spans="1:18" s="1385" customFormat="1" x14ac:dyDescent="0.25">
      <c r="A2109" s="872" t="s">
        <v>1706</v>
      </c>
      <c r="B2109" s="1307" t="str">
        <f>IFERROR(_xlfn.CONCAT("D",('Configurable Tab'!$C$25+1)),"")</f>
        <v>D248</v>
      </c>
      <c r="C2109" s="1307" t="str">
        <f>IFERROR(_xlfn.CONCAT("E",('Configurable Tab'!$C$25+1)),"")</f>
        <v>E248</v>
      </c>
      <c r="D2109" s="852" t="s">
        <v>1350</v>
      </c>
      <c r="E2109" s="852" t="s">
        <v>1743</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2046</v>
      </c>
    </row>
    <row r="2110" spans="1:18" s="1385" customFormat="1" x14ac:dyDescent="0.25">
      <c r="A2110" s="872" t="s">
        <v>1383</v>
      </c>
      <c r="B2110" s="1307" t="str">
        <f>IFERROR(_xlfn.CONCAT("D",('Configurable Tab'!$C$25+2)),"")</f>
        <v>D249</v>
      </c>
      <c r="C2110" s="1307" t="str">
        <f>IFERROR(_xlfn.CONCAT("E",('Configurable Tab'!$C$25+2)),"")</f>
        <v>E249</v>
      </c>
      <c r="D2110" s="852" t="s">
        <v>1350</v>
      </c>
      <c r="E2110" s="852" t="s">
        <v>1743</v>
      </c>
      <c r="F2110" s="1387"/>
      <c r="G2110" s="1387"/>
      <c r="H2110" s="1387"/>
      <c r="I2110" s="1307" t="str">
        <f t="shared" si="338"/>
        <v/>
      </c>
      <c r="J2110" s="1387" t="str">
        <f t="shared" ref="J2110:J2118" si="342">IF($Q$2013="Yes",Q$1&amp;M2014,"")</f>
        <v/>
      </c>
      <c r="K2110" s="1387" t="str">
        <f t="shared" si="339"/>
        <v/>
      </c>
      <c r="M2110" s="1386"/>
      <c r="R2110" s="1387" t="s">
        <v>2046</v>
      </c>
    </row>
    <row r="2111" spans="1:18" s="1385" customFormat="1" x14ac:dyDescent="0.25">
      <c r="A2111" s="872" t="s">
        <v>1381</v>
      </c>
      <c r="B2111" s="1307" t="str">
        <f>IFERROR(_xlfn.CONCAT("I",('Configurable Tab'!$C$25+1)),"")</f>
        <v>I248</v>
      </c>
      <c r="C2111" s="1307" t="str">
        <f>IFERROR(_xlfn.CONCAT("I",('Configurable Tab'!$C$25+2)),"")</f>
        <v>I249</v>
      </c>
      <c r="D2111" s="852" t="s">
        <v>1350</v>
      </c>
      <c r="E2111" s="852" t="s">
        <v>1743</v>
      </c>
      <c r="F2111" s="1387"/>
      <c r="G2111" s="1387"/>
      <c r="H2111" s="1387"/>
      <c r="I2111" s="1307" t="str">
        <f t="shared" si="338"/>
        <v/>
      </c>
      <c r="J2111" s="1387" t="str">
        <f t="shared" si="342"/>
        <v/>
      </c>
      <c r="K2111" s="1387" t="str">
        <f t="shared" si="339"/>
        <v/>
      </c>
      <c r="M2111" s="1386"/>
      <c r="R2111" s="1387" t="s">
        <v>2046</v>
      </c>
    </row>
    <row r="2112" spans="1:18" s="1385" customFormat="1" x14ac:dyDescent="0.25">
      <c r="A2112" s="872" t="s">
        <v>1382</v>
      </c>
      <c r="B2112" s="1307" t="str">
        <f>IFERROR(_xlfn.CONCAT("M",('Configurable Tab'!$C$25+1)),"")</f>
        <v>M248</v>
      </c>
      <c r="C2112" s="1307" t="str">
        <f>IFERROR(_xlfn.CONCAT("M",('Configurable Tab'!$C$25+2)),"")</f>
        <v>M249</v>
      </c>
      <c r="D2112" s="852" t="s">
        <v>1350</v>
      </c>
      <c r="E2112" s="852" t="s">
        <v>1743</v>
      </c>
      <c r="F2112" s="1387"/>
      <c r="G2112" s="1387"/>
      <c r="H2112" s="1387"/>
      <c r="I2112" s="1307" t="str">
        <f t="shared" si="338"/>
        <v/>
      </c>
      <c r="J2112" s="1387" t="str">
        <f t="shared" si="342"/>
        <v/>
      </c>
      <c r="K2112" s="1387" t="str">
        <f t="shared" si="339"/>
        <v/>
      </c>
      <c r="M2112" s="1386"/>
      <c r="R2112" s="1387" t="s">
        <v>2046</v>
      </c>
    </row>
    <row r="2113" spans="1:18" s="1385" customFormat="1" x14ac:dyDescent="0.25">
      <c r="A2113" s="872" t="s">
        <v>1385</v>
      </c>
      <c r="B2113" s="1307" t="str">
        <f>IFERROR(_xlfn.CONCAT("D",('Configurable Tab'!$C$25+4)),"")</f>
        <v>D251</v>
      </c>
      <c r="C2113" s="1307" t="str">
        <f>IFERROR(_xlfn.CONCAT("E",('Configurable Tab'!$C$25+4)),"")</f>
        <v>E251</v>
      </c>
      <c r="D2113" s="852" t="s">
        <v>1350</v>
      </c>
      <c r="E2113" s="852" t="s">
        <v>1743</v>
      </c>
      <c r="F2113" s="1387"/>
      <c r="G2113" s="1387"/>
      <c r="H2113" s="1387"/>
      <c r="I2113" s="1307" t="str">
        <f t="shared" si="338"/>
        <v/>
      </c>
      <c r="J2113" s="1387" t="str">
        <f t="shared" si="342"/>
        <v/>
      </c>
      <c r="K2113" s="1387" t="str">
        <f t="shared" si="339"/>
        <v/>
      </c>
      <c r="M2113" s="1386"/>
      <c r="R2113" s="1387" t="s">
        <v>2046</v>
      </c>
    </row>
    <row r="2114" spans="1:18" s="1385" customFormat="1" x14ac:dyDescent="0.25">
      <c r="A2114" s="872" t="s">
        <v>1386</v>
      </c>
      <c r="B2114" s="1307" t="str">
        <f>IFERROR(_xlfn.CONCAT("D",('Configurable Tab'!$C$25+5)),"")</f>
        <v>D252</v>
      </c>
      <c r="C2114" s="1307" t="str">
        <f>IFERROR(_xlfn.CONCAT("E",('Configurable Tab'!$C$25+5)),"")</f>
        <v>E252</v>
      </c>
      <c r="D2114" s="852" t="s">
        <v>1350</v>
      </c>
      <c r="E2114" s="852" t="s">
        <v>1743</v>
      </c>
      <c r="F2114" s="1387"/>
      <c r="G2114" s="1387"/>
      <c r="H2114" s="1387"/>
      <c r="I2114" s="1307" t="str">
        <f t="shared" si="338"/>
        <v/>
      </c>
      <c r="J2114" s="1387" t="str">
        <f t="shared" si="342"/>
        <v/>
      </c>
      <c r="K2114" s="1387" t="str">
        <f t="shared" si="339"/>
        <v/>
      </c>
      <c r="M2114" s="1386"/>
      <c r="R2114" s="1387" t="s">
        <v>2046</v>
      </c>
    </row>
    <row r="2115" spans="1:18" s="1385" customFormat="1" x14ac:dyDescent="0.25">
      <c r="A2115" s="872" t="s">
        <v>1396</v>
      </c>
      <c r="B2115" s="1307" t="str">
        <f>IFERROR(_xlfn.CONCAT("G",('Configurable Tab'!$C$25+7)),"")</f>
        <v>G254</v>
      </c>
      <c r="C2115" s="1307" t="str">
        <f>IFERROR(_xlfn.CONCAT("G",('Configurable Tab'!$C$25+8)),"")</f>
        <v>G255</v>
      </c>
      <c r="D2115" s="852" t="s">
        <v>1350</v>
      </c>
      <c r="E2115" s="852" t="s">
        <v>1743</v>
      </c>
      <c r="F2115" s="1387"/>
      <c r="G2115" s="1387"/>
      <c r="H2115" s="1387"/>
      <c r="I2115" s="1307" t="str">
        <f t="shared" si="338"/>
        <v/>
      </c>
      <c r="J2115" s="1387" t="str">
        <f t="shared" si="342"/>
        <v/>
      </c>
      <c r="K2115" s="1387" t="str">
        <f t="shared" si="339"/>
        <v/>
      </c>
      <c r="M2115" s="1386"/>
      <c r="R2115" s="1387" t="s">
        <v>2046</v>
      </c>
    </row>
    <row r="2116" spans="1:18" s="1385" customFormat="1" x14ac:dyDescent="0.25">
      <c r="A2116" s="872" t="s">
        <v>2006</v>
      </c>
      <c r="B2116" s="1307" t="str">
        <f>IFERROR(_xlfn.CONCAT("G",('Configurable Tab'!$C$25+7)),"")</f>
        <v>G254</v>
      </c>
      <c r="C2116" s="1307" t="str">
        <f>IFERROR(_xlfn.CONCAT("G",('Configurable Tab'!$C$25+8)),"")</f>
        <v>G255</v>
      </c>
      <c r="D2116" s="852" t="s">
        <v>1350</v>
      </c>
      <c r="E2116" s="852" t="s">
        <v>1743</v>
      </c>
      <c r="F2116" s="1387"/>
      <c r="G2116" s="1387"/>
      <c r="H2116" s="1387"/>
      <c r="I2116" s="1307" t="str">
        <f t="shared" si="338"/>
        <v/>
      </c>
      <c r="J2116" s="1387" t="str">
        <f t="shared" si="342"/>
        <v/>
      </c>
      <c r="K2116" s="1387" t="str">
        <f t="shared" si="339"/>
        <v/>
      </c>
      <c r="M2116" s="1386"/>
      <c r="R2116" s="1387" t="s">
        <v>2046</v>
      </c>
    </row>
    <row r="2117" spans="1:18" s="1385" customFormat="1" x14ac:dyDescent="0.25">
      <c r="A2117" s="872" t="s">
        <v>1483</v>
      </c>
      <c r="B2117" s="1307" t="str">
        <f>IFERROR(_xlfn.CONCAT("K",('Configurable Tab'!$C$25+7)),"")</f>
        <v>K254</v>
      </c>
      <c r="C2117" s="1307" t="str">
        <f>IFERROR(_xlfn.CONCAT("K",('Configurable Tab'!$C$25+8)),"")</f>
        <v>K255</v>
      </c>
      <c r="D2117" s="852" t="s">
        <v>1350</v>
      </c>
      <c r="E2117" s="852" t="s">
        <v>1743</v>
      </c>
      <c r="F2117" s="1387"/>
      <c r="G2117" s="1387"/>
      <c r="H2117" s="1387"/>
      <c r="I2117" s="1307" t="str">
        <f t="shared" si="338"/>
        <v/>
      </c>
      <c r="J2117" s="1387" t="str">
        <f t="shared" si="342"/>
        <v/>
      </c>
      <c r="K2117" s="1387" t="str">
        <f t="shared" si="339"/>
        <v/>
      </c>
      <c r="M2117" s="1386"/>
      <c r="R2117" s="1387" t="s">
        <v>2046</v>
      </c>
    </row>
    <row r="2118" spans="1:18" s="1385" customFormat="1" x14ac:dyDescent="0.25">
      <c r="A2118" s="872" t="s">
        <v>1397</v>
      </c>
      <c r="B2118" s="1307" t="str">
        <f>IFERROR(_xlfn.CONCAT("K",('Configurable Tab'!$C$25+1)),"")</f>
        <v>K248</v>
      </c>
      <c r="C2118" s="1307" t="str">
        <f>IFERROR(_xlfn.CONCAT("K",('Configurable Tab'!$C$25+2)),"")</f>
        <v>K249</v>
      </c>
      <c r="D2118" s="852" t="s">
        <v>1350</v>
      </c>
      <c r="E2118" s="852" t="s">
        <v>1743</v>
      </c>
      <c r="F2118" s="1387"/>
      <c r="G2118" s="1387"/>
      <c r="H2118" s="1387"/>
      <c r="I2118" s="1307" t="str">
        <f t="shared" si="338"/>
        <v/>
      </c>
      <c r="J2118" s="1387" t="str">
        <f t="shared" si="342"/>
        <v/>
      </c>
      <c r="K2118" s="1387" t="str">
        <f t="shared" si="339"/>
        <v/>
      </c>
      <c r="M2118" s="1386"/>
      <c r="R2118" s="1387" t="s">
        <v>2046</v>
      </c>
    </row>
    <row r="2119" spans="1:18" s="1385" customFormat="1" x14ac:dyDescent="0.25">
      <c r="A2119" s="875" t="s">
        <v>1706</v>
      </c>
      <c r="B2119" s="1307" t="str">
        <f>IFERROR(_xlfn.CONCAT("D",('Configurable Tab'!$C$26+1)),"")</f>
        <v>D259</v>
      </c>
      <c r="C2119" s="1307" t="str">
        <f>IFERROR(_xlfn.CONCAT("E",('Configurable Tab'!$C$26+1)),"")</f>
        <v>E259</v>
      </c>
      <c r="D2119" s="852" t="s">
        <v>1350</v>
      </c>
      <c r="E2119" s="852" t="s">
        <v>1743</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2047</v>
      </c>
    </row>
    <row r="2120" spans="1:18" s="1385" customFormat="1" x14ac:dyDescent="0.25">
      <c r="A2120" s="875" t="s">
        <v>1383</v>
      </c>
      <c r="B2120" s="1307" t="str">
        <f>IFERROR(_xlfn.CONCAT("D",('Configurable Tab'!$C$26+2)),"")</f>
        <v>D260</v>
      </c>
      <c r="C2120" s="1307" t="str">
        <f>IFERROR(_xlfn.CONCAT("E",('Configurable Tab'!$C$26+2)),"")</f>
        <v>E260</v>
      </c>
      <c r="D2120" s="852" t="s">
        <v>1350</v>
      </c>
      <c r="E2120" s="852" t="s">
        <v>1743</v>
      </c>
      <c r="F2120" s="1387"/>
      <c r="G2120" s="1387"/>
      <c r="H2120" s="1387"/>
      <c r="I2120" s="1307" t="str">
        <f t="shared" si="338"/>
        <v/>
      </c>
      <c r="J2120" s="1387" t="str">
        <f t="shared" ref="J2120:J2128" si="343">IF($Q$2024="Yes",Q$1&amp;M2025,"")</f>
        <v/>
      </c>
      <c r="K2120" s="1387" t="str">
        <f t="shared" si="339"/>
        <v/>
      </c>
      <c r="M2120" s="1386"/>
      <c r="R2120" s="1387" t="s">
        <v>2047</v>
      </c>
    </row>
    <row r="2121" spans="1:18" s="1385" customFormat="1" x14ac:dyDescent="0.25">
      <c r="A2121" s="875" t="s">
        <v>1381</v>
      </c>
      <c r="B2121" s="1307" t="str">
        <f>IFERROR(_xlfn.CONCAT("I",('Configurable Tab'!$C$26+1)),"")</f>
        <v>I259</v>
      </c>
      <c r="C2121" s="1307" t="str">
        <f>IFERROR(_xlfn.CONCAT("I",('Configurable Tab'!$C$26+2)),"")</f>
        <v>I260</v>
      </c>
      <c r="D2121" s="852" t="s">
        <v>1350</v>
      </c>
      <c r="E2121" s="852" t="s">
        <v>1743</v>
      </c>
      <c r="F2121" s="1387"/>
      <c r="G2121" s="1387"/>
      <c r="H2121" s="1387"/>
      <c r="I2121" s="1307" t="str">
        <f t="shared" si="338"/>
        <v/>
      </c>
      <c r="J2121" s="1387" t="str">
        <f t="shared" si="343"/>
        <v/>
      </c>
      <c r="K2121" s="1387" t="str">
        <f t="shared" si="339"/>
        <v/>
      </c>
      <c r="M2121" s="1386"/>
      <c r="R2121" s="1387" t="s">
        <v>2047</v>
      </c>
    </row>
    <row r="2122" spans="1:18" s="1385" customFormat="1" x14ac:dyDescent="0.25">
      <c r="A2122" s="875" t="s">
        <v>1382</v>
      </c>
      <c r="B2122" s="1307" t="str">
        <f>IFERROR(_xlfn.CONCAT("M",('Configurable Tab'!$C$26+1)),"")</f>
        <v>M259</v>
      </c>
      <c r="C2122" s="1307" t="str">
        <f>IFERROR(_xlfn.CONCAT("M",('Configurable Tab'!$C$26+2)),"")</f>
        <v>M260</v>
      </c>
      <c r="D2122" s="852" t="s">
        <v>1350</v>
      </c>
      <c r="E2122" s="852" t="s">
        <v>1743</v>
      </c>
      <c r="F2122" s="1387"/>
      <c r="G2122" s="1387"/>
      <c r="H2122" s="1387"/>
      <c r="I2122" s="1307" t="str">
        <f t="shared" si="338"/>
        <v/>
      </c>
      <c r="J2122" s="1387" t="str">
        <f t="shared" si="343"/>
        <v/>
      </c>
      <c r="K2122" s="1387" t="str">
        <f t="shared" si="339"/>
        <v/>
      </c>
      <c r="M2122" s="1386"/>
      <c r="R2122" s="1387" t="s">
        <v>2047</v>
      </c>
    </row>
    <row r="2123" spans="1:18" s="1385" customFormat="1" x14ac:dyDescent="0.25">
      <c r="A2123" s="875" t="s">
        <v>1385</v>
      </c>
      <c r="B2123" s="1307" t="str">
        <f>IFERROR(_xlfn.CONCAT("D",('Configurable Tab'!$C$26+4)),"")</f>
        <v>D262</v>
      </c>
      <c r="C2123" s="1307" t="str">
        <f>IFERROR(_xlfn.CONCAT("E",('Configurable Tab'!$C$26+4)),"")</f>
        <v>E262</v>
      </c>
      <c r="D2123" s="852" t="s">
        <v>1350</v>
      </c>
      <c r="E2123" s="852" t="s">
        <v>1743</v>
      </c>
      <c r="F2123" s="1387"/>
      <c r="G2123" s="1387"/>
      <c r="H2123" s="1387"/>
      <c r="I2123" s="1307" t="str">
        <f t="shared" si="338"/>
        <v/>
      </c>
      <c r="J2123" s="1387" t="str">
        <f t="shared" si="343"/>
        <v/>
      </c>
      <c r="K2123" s="1387" t="str">
        <f t="shared" si="339"/>
        <v/>
      </c>
      <c r="M2123" s="1386"/>
      <c r="R2123" s="1387" t="s">
        <v>2047</v>
      </c>
    </row>
    <row r="2124" spans="1:18" s="1385" customFormat="1" x14ac:dyDescent="0.25">
      <c r="A2124" s="875" t="s">
        <v>1386</v>
      </c>
      <c r="B2124" s="1307" t="str">
        <f>IFERROR(_xlfn.CONCAT("D",('Configurable Tab'!$C$26+5)),"")</f>
        <v>D263</v>
      </c>
      <c r="C2124" s="1307" t="str">
        <f>IFERROR(_xlfn.CONCAT("E",('Configurable Tab'!$C$26+5)),"")</f>
        <v>E263</v>
      </c>
      <c r="D2124" s="852" t="s">
        <v>1350</v>
      </c>
      <c r="E2124" s="852" t="s">
        <v>1743</v>
      </c>
      <c r="F2124" s="1387"/>
      <c r="G2124" s="1387"/>
      <c r="H2124" s="1387"/>
      <c r="I2124" s="1307" t="str">
        <f t="shared" si="338"/>
        <v/>
      </c>
      <c r="J2124" s="1387" t="str">
        <f t="shared" si="343"/>
        <v/>
      </c>
      <c r="K2124" s="1387" t="str">
        <f t="shared" si="339"/>
        <v/>
      </c>
      <c r="M2124" s="1386"/>
      <c r="R2124" s="1387" t="s">
        <v>2047</v>
      </c>
    </row>
    <row r="2125" spans="1:18" s="1385" customFormat="1" x14ac:dyDescent="0.25">
      <c r="A2125" s="875" t="s">
        <v>1396</v>
      </c>
      <c r="B2125" s="1307" t="str">
        <f>IFERROR(_xlfn.CONCAT("G",('Configurable Tab'!$C$26+7)),"")</f>
        <v>G265</v>
      </c>
      <c r="C2125" s="1307" t="str">
        <f>IFERROR(_xlfn.CONCAT("G",('Configurable Tab'!$C$26+8)),"")</f>
        <v>G266</v>
      </c>
      <c r="D2125" s="852" t="s">
        <v>1350</v>
      </c>
      <c r="E2125" s="852" t="s">
        <v>1743</v>
      </c>
      <c r="F2125" s="1387"/>
      <c r="G2125" s="1387"/>
      <c r="H2125" s="1387"/>
      <c r="I2125" s="1307" t="str">
        <f t="shared" si="338"/>
        <v/>
      </c>
      <c r="J2125" s="1387" t="str">
        <f t="shared" si="343"/>
        <v/>
      </c>
      <c r="K2125" s="1387" t="str">
        <f t="shared" si="339"/>
        <v/>
      </c>
      <c r="M2125" s="1386"/>
      <c r="R2125" s="1387" t="s">
        <v>2047</v>
      </c>
    </row>
    <row r="2126" spans="1:18" s="1385" customFormat="1" x14ac:dyDescent="0.25">
      <c r="A2126" s="875" t="s">
        <v>2006</v>
      </c>
      <c r="B2126" s="1307" t="str">
        <f>IFERROR(_xlfn.CONCAT("G",('Configurable Tab'!$C$26+7)),"")</f>
        <v>G265</v>
      </c>
      <c r="C2126" s="1307" t="str">
        <f>IFERROR(_xlfn.CONCAT("G",('Configurable Tab'!$C$26+8)),"")</f>
        <v>G266</v>
      </c>
      <c r="D2126" s="852" t="s">
        <v>1350</v>
      </c>
      <c r="E2126" s="852" t="s">
        <v>1743</v>
      </c>
      <c r="F2126" s="1387"/>
      <c r="G2126" s="1387"/>
      <c r="H2126" s="1387"/>
      <c r="I2126" s="1307" t="str">
        <f t="shared" si="338"/>
        <v/>
      </c>
      <c r="J2126" s="1387" t="str">
        <f t="shared" si="343"/>
        <v/>
      </c>
      <c r="K2126" s="1387" t="str">
        <f t="shared" si="339"/>
        <v/>
      </c>
      <c r="M2126" s="1386"/>
      <c r="R2126" s="1387" t="s">
        <v>2047</v>
      </c>
    </row>
    <row r="2127" spans="1:18" s="1385" customFormat="1" x14ac:dyDescent="0.25">
      <c r="A2127" s="875" t="s">
        <v>1483</v>
      </c>
      <c r="B2127" s="1307" t="str">
        <f>IFERROR(_xlfn.CONCAT("K",('Configurable Tab'!$C$26+7)),"")</f>
        <v>K265</v>
      </c>
      <c r="C2127" s="1307" t="str">
        <f>IFERROR(_xlfn.CONCAT("K",('Configurable Tab'!$C$26+8)),"")</f>
        <v>K266</v>
      </c>
      <c r="D2127" s="852" t="s">
        <v>1350</v>
      </c>
      <c r="E2127" s="852" t="s">
        <v>1743</v>
      </c>
      <c r="F2127" s="1387"/>
      <c r="G2127" s="1387"/>
      <c r="H2127" s="1387"/>
      <c r="I2127" s="1307" t="str">
        <f t="shared" si="338"/>
        <v/>
      </c>
      <c r="J2127" s="1387" t="str">
        <f t="shared" si="343"/>
        <v/>
      </c>
      <c r="K2127" s="1387" t="str">
        <f t="shared" si="339"/>
        <v/>
      </c>
      <c r="M2127" s="1386"/>
      <c r="R2127" s="1387" t="s">
        <v>2047</v>
      </c>
    </row>
    <row r="2128" spans="1:18" s="1385" customFormat="1" x14ac:dyDescent="0.25">
      <c r="A2128" s="875" t="s">
        <v>1397</v>
      </c>
      <c r="B2128" s="1307" t="str">
        <f>IFERROR(_xlfn.CONCAT("K",('Configurable Tab'!$C$26+1)),"")</f>
        <v>K259</v>
      </c>
      <c r="C2128" s="1307" t="str">
        <f>IFERROR(_xlfn.CONCAT("K",('Configurable Tab'!$C$26+2)),"")</f>
        <v>K260</v>
      </c>
      <c r="D2128" s="852" t="s">
        <v>1350</v>
      </c>
      <c r="E2128" s="852" t="s">
        <v>1743</v>
      </c>
      <c r="F2128" s="1387"/>
      <c r="G2128" s="1387"/>
      <c r="H2128" s="1387"/>
      <c r="I2128" s="1307" t="str">
        <f t="shared" si="338"/>
        <v/>
      </c>
      <c r="J2128" s="1387" t="str">
        <f t="shared" si="343"/>
        <v/>
      </c>
      <c r="K2128" s="1387" t="str">
        <f t="shared" si="339"/>
        <v/>
      </c>
      <c r="M2128" s="1386"/>
      <c r="R2128" s="1387" t="s">
        <v>2047</v>
      </c>
    </row>
    <row r="2129" spans="1:18" s="1385" customFormat="1" x14ac:dyDescent="0.25">
      <c r="A2129" s="872" t="s">
        <v>1706</v>
      </c>
      <c r="B2129" s="1307" t="str">
        <f>IFERROR(_xlfn.CONCAT("D",('Configurable Tab'!$C$27+1)),"")</f>
        <v>D270</v>
      </c>
      <c r="C2129" s="1307" t="str">
        <f>IFERROR(_xlfn.CONCAT("E",('Configurable Tab'!$C$27+1)),"")</f>
        <v>E270</v>
      </c>
      <c r="D2129" s="852" t="s">
        <v>1350</v>
      </c>
      <c r="E2129" s="852" t="s">
        <v>1743</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2048</v>
      </c>
    </row>
    <row r="2130" spans="1:18" s="1385" customFormat="1" x14ac:dyDescent="0.25">
      <c r="A2130" s="872" t="s">
        <v>1383</v>
      </c>
      <c r="B2130" s="1307" t="str">
        <f>IFERROR(_xlfn.CONCAT("D",('Configurable Tab'!$C$27+2)),"")</f>
        <v>D271</v>
      </c>
      <c r="C2130" s="1307" t="str">
        <f>IFERROR(_xlfn.CONCAT("E",('Configurable Tab'!$C$27+2)),"")</f>
        <v>E271</v>
      </c>
      <c r="D2130" s="852" t="s">
        <v>1350</v>
      </c>
      <c r="E2130" s="852" t="s">
        <v>1743</v>
      </c>
      <c r="F2130" s="1387"/>
      <c r="G2130" s="1387"/>
      <c r="H2130" s="1387"/>
      <c r="I2130" s="1307" t="str">
        <f t="shared" si="338"/>
        <v/>
      </c>
      <c r="J2130" s="1387" t="str">
        <f t="shared" ref="J2130:J2138" si="344">IF($Q$2035="Yes",Q$1&amp;M2036,"")</f>
        <v/>
      </c>
      <c r="K2130" s="1387" t="str">
        <f t="shared" si="339"/>
        <v/>
      </c>
      <c r="M2130" s="1386"/>
      <c r="R2130" s="1387" t="s">
        <v>2048</v>
      </c>
    </row>
    <row r="2131" spans="1:18" s="1385" customFormat="1" x14ac:dyDescent="0.25">
      <c r="A2131" s="872" t="s">
        <v>1381</v>
      </c>
      <c r="B2131" s="1307" t="str">
        <f>IFERROR(_xlfn.CONCAT("I",('Configurable Tab'!$C$27+1)),"")</f>
        <v>I270</v>
      </c>
      <c r="C2131" s="1307" t="str">
        <f>IFERROR(_xlfn.CONCAT("I",('Configurable Tab'!$C$27+2)),"")</f>
        <v>I271</v>
      </c>
      <c r="D2131" s="852" t="s">
        <v>1350</v>
      </c>
      <c r="E2131" s="852" t="s">
        <v>1743</v>
      </c>
      <c r="F2131" s="1387"/>
      <c r="G2131" s="1387"/>
      <c r="H2131" s="1387"/>
      <c r="I2131" s="1307" t="str">
        <f t="shared" si="338"/>
        <v/>
      </c>
      <c r="J2131" s="1387" t="str">
        <f t="shared" si="344"/>
        <v/>
      </c>
      <c r="K2131" s="1387" t="str">
        <f t="shared" si="339"/>
        <v/>
      </c>
      <c r="M2131" s="1386"/>
      <c r="R2131" s="1387" t="s">
        <v>2048</v>
      </c>
    </row>
    <row r="2132" spans="1:18" s="1385" customFormat="1" x14ac:dyDescent="0.25">
      <c r="A2132" s="872" t="s">
        <v>1382</v>
      </c>
      <c r="B2132" s="1307" t="str">
        <f>IFERROR(_xlfn.CONCAT("M",('Configurable Tab'!$C$27+1)),"")</f>
        <v>M270</v>
      </c>
      <c r="C2132" s="1307" t="str">
        <f>IFERROR(_xlfn.CONCAT("M",('Configurable Tab'!$C$27+2)),"")</f>
        <v>M271</v>
      </c>
      <c r="D2132" s="852" t="s">
        <v>1350</v>
      </c>
      <c r="E2132" s="852" t="s">
        <v>1743</v>
      </c>
      <c r="F2132" s="1387"/>
      <c r="G2132" s="1387"/>
      <c r="H2132" s="1387"/>
      <c r="I2132" s="1307" t="str">
        <f t="shared" si="338"/>
        <v/>
      </c>
      <c r="J2132" s="1387" t="str">
        <f t="shared" si="344"/>
        <v/>
      </c>
      <c r="K2132" s="1387" t="str">
        <f t="shared" si="339"/>
        <v/>
      </c>
      <c r="M2132" s="1386"/>
      <c r="R2132" s="1387" t="s">
        <v>2048</v>
      </c>
    </row>
    <row r="2133" spans="1:18" s="1385" customFormat="1" x14ac:dyDescent="0.25">
      <c r="A2133" s="872" t="s">
        <v>1385</v>
      </c>
      <c r="B2133" s="1307" t="str">
        <f>IFERROR(_xlfn.CONCAT("D",('Configurable Tab'!$C$27+4)),"")</f>
        <v>D273</v>
      </c>
      <c r="C2133" s="1307" t="str">
        <f>IFERROR(_xlfn.CONCAT("E",('Configurable Tab'!$C$27+4)),"")</f>
        <v>E273</v>
      </c>
      <c r="D2133" s="852" t="s">
        <v>1350</v>
      </c>
      <c r="E2133" s="852" t="s">
        <v>1743</v>
      </c>
      <c r="F2133" s="1387"/>
      <c r="G2133" s="1387"/>
      <c r="H2133" s="1387"/>
      <c r="I2133" s="1307" t="str">
        <f t="shared" si="338"/>
        <v/>
      </c>
      <c r="J2133" s="1387" t="str">
        <f t="shared" si="344"/>
        <v/>
      </c>
      <c r="K2133" s="1387" t="str">
        <f t="shared" si="339"/>
        <v/>
      </c>
      <c r="M2133" s="1386"/>
      <c r="R2133" s="1387" t="s">
        <v>2048</v>
      </c>
    </row>
    <row r="2134" spans="1:18" s="1385" customFormat="1" x14ac:dyDescent="0.25">
      <c r="A2134" s="872" t="s">
        <v>1386</v>
      </c>
      <c r="B2134" s="1307" t="str">
        <f>IFERROR(_xlfn.CONCAT("D",('Configurable Tab'!$C$27+5)),"")</f>
        <v>D274</v>
      </c>
      <c r="C2134" s="1307" t="str">
        <f>IFERROR(_xlfn.CONCAT("E",('Configurable Tab'!$C$27+5)),"")</f>
        <v>E274</v>
      </c>
      <c r="D2134" s="852" t="s">
        <v>1350</v>
      </c>
      <c r="E2134" s="852" t="s">
        <v>1743</v>
      </c>
      <c r="F2134" s="1387"/>
      <c r="G2134" s="1387"/>
      <c r="H2134" s="1387"/>
      <c r="I2134" s="1307" t="str">
        <f t="shared" si="338"/>
        <v/>
      </c>
      <c r="J2134" s="1387" t="str">
        <f t="shared" si="344"/>
        <v/>
      </c>
      <c r="K2134" s="1387" t="str">
        <f t="shared" si="339"/>
        <v/>
      </c>
      <c r="M2134" s="1386"/>
      <c r="R2134" s="1387" t="s">
        <v>2048</v>
      </c>
    </row>
    <row r="2135" spans="1:18" s="1385" customFormat="1" x14ac:dyDescent="0.25">
      <c r="A2135" s="872" t="s">
        <v>1396</v>
      </c>
      <c r="B2135" s="1307" t="str">
        <f>IFERROR(_xlfn.CONCAT("G",('Configurable Tab'!$C$27+7)),"")</f>
        <v>G276</v>
      </c>
      <c r="C2135" s="1307" t="str">
        <f>IFERROR(_xlfn.CONCAT("G",('Configurable Tab'!$C$27+8)),"")</f>
        <v>G277</v>
      </c>
      <c r="D2135" s="852" t="s">
        <v>1350</v>
      </c>
      <c r="E2135" s="852" t="s">
        <v>1743</v>
      </c>
      <c r="F2135" s="1387"/>
      <c r="G2135" s="1387"/>
      <c r="H2135" s="1387"/>
      <c r="I2135" s="1307" t="str">
        <f t="shared" si="338"/>
        <v/>
      </c>
      <c r="J2135" s="1387" t="str">
        <f t="shared" si="344"/>
        <v/>
      </c>
      <c r="K2135" s="1387" t="str">
        <f t="shared" si="339"/>
        <v/>
      </c>
      <c r="M2135" s="1386"/>
      <c r="R2135" s="1387" t="s">
        <v>2048</v>
      </c>
    </row>
    <row r="2136" spans="1:18" s="1385" customFormat="1" x14ac:dyDescent="0.25">
      <c r="A2136" s="872" t="s">
        <v>2006</v>
      </c>
      <c r="B2136" s="1307" t="str">
        <f>IFERROR(_xlfn.CONCAT("G",('Configurable Tab'!$C$27+7)),"")</f>
        <v>G276</v>
      </c>
      <c r="C2136" s="1307" t="str">
        <f>IFERROR(_xlfn.CONCAT("G",('Configurable Tab'!$C$27+8)),"")</f>
        <v>G277</v>
      </c>
      <c r="D2136" s="852" t="s">
        <v>1350</v>
      </c>
      <c r="E2136" s="852" t="s">
        <v>1743</v>
      </c>
      <c r="F2136" s="1387"/>
      <c r="G2136" s="1387"/>
      <c r="H2136" s="1387"/>
      <c r="I2136" s="1307" t="str">
        <f t="shared" si="338"/>
        <v/>
      </c>
      <c r="J2136" s="1387" t="str">
        <f t="shared" si="344"/>
        <v/>
      </c>
      <c r="K2136" s="1387" t="str">
        <f t="shared" si="339"/>
        <v/>
      </c>
      <c r="M2136" s="1386"/>
      <c r="R2136" s="1387" t="s">
        <v>2048</v>
      </c>
    </row>
    <row r="2137" spans="1:18" s="1385" customFormat="1" x14ac:dyDescent="0.25">
      <c r="A2137" s="872" t="s">
        <v>1483</v>
      </c>
      <c r="B2137" s="1307" t="str">
        <f>IFERROR(_xlfn.CONCAT("K",('Configurable Tab'!$C$27+7)),"")</f>
        <v>K276</v>
      </c>
      <c r="C2137" s="1307" t="str">
        <f>IFERROR(_xlfn.CONCAT("K",('Configurable Tab'!$C$27+8)),"")</f>
        <v>K277</v>
      </c>
      <c r="D2137" s="852" t="s">
        <v>1350</v>
      </c>
      <c r="E2137" s="852" t="s">
        <v>1743</v>
      </c>
      <c r="F2137" s="1387"/>
      <c r="G2137" s="1387"/>
      <c r="H2137" s="1387"/>
      <c r="I2137" s="1307" t="str">
        <f t="shared" si="338"/>
        <v/>
      </c>
      <c r="J2137" s="1387" t="str">
        <f t="shared" si="344"/>
        <v/>
      </c>
      <c r="K2137" s="1387" t="str">
        <f t="shared" si="339"/>
        <v/>
      </c>
      <c r="M2137" s="1386"/>
      <c r="R2137" s="1387" t="s">
        <v>2048</v>
      </c>
    </row>
    <row r="2138" spans="1:18" s="1385" customFormat="1" x14ac:dyDescent="0.25">
      <c r="A2138" s="872" t="s">
        <v>1397</v>
      </c>
      <c r="B2138" s="1307" t="str">
        <f>IFERROR(_xlfn.CONCAT("K",('Configurable Tab'!$C$27+1)),"")</f>
        <v>K270</v>
      </c>
      <c r="C2138" s="1307" t="str">
        <f>IFERROR(_xlfn.CONCAT("K",('Configurable Tab'!$C$27+2)),"")</f>
        <v>K271</v>
      </c>
      <c r="D2138" s="852" t="s">
        <v>1350</v>
      </c>
      <c r="E2138" s="852" t="s">
        <v>1743</v>
      </c>
      <c r="F2138" s="1387"/>
      <c r="G2138" s="1387"/>
      <c r="H2138" s="1387"/>
      <c r="I2138" s="1307" t="str">
        <f t="shared" si="338"/>
        <v/>
      </c>
      <c r="J2138" s="1387" t="str">
        <f t="shared" si="344"/>
        <v/>
      </c>
      <c r="K2138" s="1387" t="str">
        <f t="shared" si="339"/>
        <v/>
      </c>
      <c r="M2138" s="1386"/>
      <c r="R2138" s="1387" t="s">
        <v>2048</v>
      </c>
    </row>
    <row r="2139" spans="1:18" s="1385" customFormat="1" x14ac:dyDescent="0.25">
      <c r="A2139" s="875" t="s">
        <v>1706</v>
      </c>
      <c r="B2139" s="1307" t="str">
        <f>IFERROR(_xlfn.CONCAT("D",('Configurable Tab'!$C$28+1)),"")</f>
        <v>D281</v>
      </c>
      <c r="C2139" s="1307" t="str">
        <f>IFERROR(_xlfn.CONCAT("E",('Configurable Tab'!$C$28+1)),"")</f>
        <v>E281</v>
      </c>
      <c r="D2139" s="852" t="s">
        <v>1350</v>
      </c>
      <c r="E2139" s="852" t="s">
        <v>1743</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2049</v>
      </c>
    </row>
    <row r="2140" spans="1:18" s="1385" customFormat="1" x14ac:dyDescent="0.25">
      <c r="A2140" s="875" t="s">
        <v>1383</v>
      </c>
      <c r="B2140" s="1307" t="str">
        <f>IFERROR(_xlfn.CONCAT("D",('Configurable Tab'!$C$28+2)),"")</f>
        <v>D282</v>
      </c>
      <c r="C2140" s="1307" t="str">
        <f>IFERROR(_xlfn.CONCAT("E",('Configurable Tab'!$C$28+2)),"")</f>
        <v>E282</v>
      </c>
      <c r="D2140" s="852" t="s">
        <v>1350</v>
      </c>
      <c r="E2140" s="852" t="s">
        <v>1743</v>
      </c>
      <c r="F2140" s="1387"/>
      <c r="G2140" s="1387"/>
      <c r="H2140" s="1387"/>
      <c r="I2140" s="1307" t="str">
        <f t="shared" si="338"/>
        <v/>
      </c>
      <c r="J2140" s="1387" t="str">
        <f t="shared" ref="J2140:J2148" si="345">IF($Q$2046="Yes",Q$1&amp;M2047,"")</f>
        <v/>
      </c>
      <c r="K2140" s="1387" t="str">
        <f t="shared" si="339"/>
        <v/>
      </c>
      <c r="M2140" s="1386"/>
      <c r="R2140" s="1387" t="s">
        <v>2049</v>
      </c>
    </row>
    <row r="2141" spans="1:18" s="1385" customFormat="1" x14ac:dyDescent="0.25">
      <c r="A2141" s="875" t="s">
        <v>1381</v>
      </c>
      <c r="B2141" s="1307" t="str">
        <f>IFERROR(_xlfn.CONCAT("I",('Configurable Tab'!$C$28+1)),"")</f>
        <v>I281</v>
      </c>
      <c r="C2141" s="1307" t="str">
        <f>IFERROR(_xlfn.CONCAT("I",('Configurable Tab'!$C$28+2)),"")</f>
        <v>I282</v>
      </c>
      <c r="D2141" s="852" t="s">
        <v>1350</v>
      </c>
      <c r="E2141" s="852" t="s">
        <v>1743</v>
      </c>
      <c r="F2141" s="1387"/>
      <c r="G2141" s="1387"/>
      <c r="H2141" s="1387"/>
      <c r="I2141" s="1307" t="str">
        <f t="shared" si="338"/>
        <v/>
      </c>
      <c r="J2141" s="1387" t="str">
        <f t="shared" si="345"/>
        <v/>
      </c>
      <c r="K2141" s="1387" t="str">
        <f t="shared" si="339"/>
        <v/>
      </c>
      <c r="M2141" s="1386"/>
      <c r="R2141" s="1387" t="s">
        <v>2049</v>
      </c>
    </row>
    <row r="2142" spans="1:18" s="1385" customFormat="1" x14ac:dyDescent="0.25">
      <c r="A2142" s="875" t="s">
        <v>1382</v>
      </c>
      <c r="B2142" s="1307" t="str">
        <f>IFERROR(_xlfn.CONCAT("M",('Configurable Tab'!$C$28+1)),"")</f>
        <v>M281</v>
      </c>
      <c r="C2142" s="1307" t="str">
        <f>IFERROR(_xlfn.CONCAT("M",('Configurable Tab'!$C$28+2)),"")</f>
        <v>M282</v>
      </c>
      <c r="D2142" s="852" t="s">
        <v>1350</v>
      </c>
      <c r="E2142" s="852" t="s">
        <v>1743</v>
      </c>
      <c r="F2142" s="1387"/>
      <c r="G2142" s="1387"/>
      <c r="H2142" s="1387"/>
      <c r="I2142" s="1307" t="str">
        <f t="shared" si="338"/>
        <v/>
      </c>
      <c r="J2142" s="1387" t="str">
        <f t="shared" si="345"/>
        <v/>
      </c>
      <c r="K2142" s="1387" t="str">
        <f t="shared" si="339"/>
        <v/>
      </c>
      <c r="M2142" s="1386"/>
      <c r="R2142" s="1387" t="s">
        <v>2049</v>
      </c>
    </row>
    <row r="2143" spans="1:18" s="1385" customFormat="1" x14ac:dyDescent="0.25">
      <c r="A2143" s="875" t="s">
        <v>1385</v>
      </c>
      <c r="B2143" s="1307" t="str">
        <f>IFERROR(_xlfn.CONCAT("D",('Configurable Tab'!$C$28+4)),"")</f>
        <v>D284</v>
      </c>
      <c r="C2143" s="1307" t="str">
        <f>IFERROR(_xlfn.CONCAT("E",('Configurable Tab'!$C$28+4)),"")</f>
        <v>E284</v>
      </c>
      <c r="D2143" s="852" t="s">
        <v>1350</v>
      </c>
      <c r="E2143" s="852" t="s">
        <v>1743</v>
      </c>
      <c r="F2143" s="1387"/>
      <c r="G2143" s="1387"/>
      <c r="H2143" s="1387"/>
      <c r="I2143" s="1307" t="str">
        <f t="shared" si="338"/>
        <v/>
      </c>
      <c r="J2143" s="1387" t="str">
        <f t="shared" si="345"/>
        <v/>
      </c>
      <c r="K2143" s="1387" t="str">
        <f t="shared" si="339"/>
        <v/>
      </c>
      <c r="M2143" s="1386"/>
      <c r="R2143" s="1387" t="s">
        <v>2049</v>
      </c>
    </row>
    <row r="2144" spans="1:18" s="1385" customFormat="1" x14ac:dyDescent="0.25">
      <c r="A2144" s="875" t="s">
        <v>1386</v>
      </c>
      <c r="B2144" s="1307" t="str">
        <f>IFERROR(_xlfn.CONCAT("D",('Configurable Tab'!$C$28+5)),"")</f>
        <v>D285</v>
      </c>
      <c r="C2144" s="1307" t="str">
        <f>IFERROR(_xlfn.CONCAT("E",('Configurable Tab'!$C$28+5)),"")</f>
        <v>E285</v>
      </c>
      <c r="D2144" s="852" t="s">
        <v>1350</v>
      </c>
      <c r="E2144" s="852" t="s">
        <v>1743</v>
      </c>
      <c r="F2144" s="1387"/>
      <c r="G2144" s="1387"/>
      <c r="H2144" s="1387"/>
      <c r="I2144" s="1307" t="str">
        <f t="shared" si="338"/>
        <v/>
      </c>
      <c r="J2144" s="1387" t="str">
        <f t="shared" si="345"/>
        <v/>
      </c>
      <c r="K2144" s="1387" t="str">
        <f t="shared" si="339"/>
        <v/>
      </c>
      <c r="M2144" s="1386"/>
      <c r="R2144" s="1387" t="s">
        <v>2049</v>
      </c>
    </row>
    <row r="2145" spans="1:18" s="1385" customFormat="1" x14ac:dyDescent="0.25">
      <c r="A2145" s="875" t="s">
        <v>1396</v>
      </c>
      <c r="B2145" s="1307" t="str">
        <f>IFERROR(_xlfn.CONCAT("G",('Configurable Tab'!$C$28+7)),"")</f>
        <v>G287</v>
      </c>
      <c r="C2145" s="1307" t="str">
        <f>IFERROR(_xlfn.CONCAT("G",('Configurable Tab'!$C$28+8)),"")</f>
        <v>G288</v>
      </c>
      <c r="D2145" s="852" t="s">
        <v>1350</v>
      </c>
      <c r="E2145" s="852" t="s">
        <v>1743</v>
      </c>
      <c r="F2145" s="1387"/>
      <c r="G2145" s="1387"/>
      <c r="H2145" s="1387"/>
      <c r="I2145" s="1307" t="str">
        <f t="shared" si="338"/>
        <v/>
      </c>
      <c r="J2145" s="1387" t="str">
        <f t="shared" si="345"/>
        <v/>
      </c>
      <c r="K2145" s="1387" t="str">
        <f t="shared" si="339"/>
        <v/>
      </c>
      <c r="M2145" s="1386"/>
      <c r="R2145" s="1387" t="s">
        <v>2049</v>
      </c>
    </row>
    <row r="2146" spans="1:18" s="1385" customFormat="1" x14ac:dyDescent="0.25">
      <c r="A2146" s="875" t="s">
        <v>2006</v>
      </c>
      <c r="B2146" s="1307" t="str">
        <f>IFERROR(_xlfn.CONCAT("G",('Configurable Tab'!$C$28+7)),"")</f>
        <v>G287</v>
      </c>
      <c r="C2146" s="1307" t="str">
        <f>IFERROR(_xlfn.CONCAT("G",('Configurable Tab'!$C$28+8)),"")</f>
        <v>G288</v>
      </c>
      <c r="D2146" s="852" t="s">
        <v>1350</v>
      </c>
      <c r="E2146" s="852" t="s">
        <v>1743</v>
      </c>
      <c r="F2146" s="1387"/>
      <c r="G2146" s="1387"/>
      <c r="H2146" s="1387"/>
      <c r="I2146" s="1307" t="str">
        <f t="shared" si="338"/>
        <v/>
      </c>
      <c r="J2146" s="1387" t="str">
        <f t="shared" si="345"/>
        <v/>
      </c>
      <c r="K2146" s="1387" t="str">
        <f t="shared" si="339"/>
        <v/>
      </c>
      <c r="M2146" s="1386"/>
      <c r="R2146" s="1387" t="s">
        <v>2049</v>
      </c>
    </row>
    <row r="2147" spans="1:18" s="1385" customFormat="1" x14ac:dyDescent="0.25">
      <c r="A2147" s="875" t="s">
        <v>1483</v>
      </c>
      <c r="B2147" s="1307" t="str">
        <f>IFERROR(_xlfn.CONCAT("K",('Configurable Tab'!$C$28+7)),"")</f>
        <v>K287</v>
      </c>
      <c r="C2147" s="1307" t="str">
        <f>IFERROR(_xlfn.CONCAT("K",('Configurable Tab'!$C$28+8)),"")</f>
        <v>K288</v>
      </c>
      <c r="D2147" s="852" t="s">
        <v>1350</v>
      </c>
      <c r="E2147" s="852" t="s">
        <v>1743</v>
      </c>
      <c r="F2147" s="1387"/>
      <c r="G2147" s="1387"/>
      <c r="H2147" s="1387"/>
      <c r="I2147" s="1307" t="str">
        <f t="shared" si="338"/>
        <v/>
      </c>
      <c r="J2147" s="1387" t="str">
        <f t="shared" si="345"/>
        <v/>
      </c>
      <c r="K2147" s="1387" t="str">
        <f t="shared" si="339"/>
        <v/>
      </c>
      <c r="M2147" s="1386"/>
      <c r="R2147" s="1387" t="s">
        <v>2049</v>
      </c>
    </row>
    <row r="2148" spans="1:18" s="1385" customFormat="1" x14ac:dyDescent="0.25">
      <c r="A2148" s="875" t="s">
        <v>1397</v>
      </c>
      <c r="B2148" s="1307" t="str">
        <f>IFERROR(_xlfn.CONCAT("K",('Configurable Tab'!$C$28+1)),"")</f>
        <v>K281</v>
      </c>
      <c r="C2148" s="1307" t="str">
        <f>IFERROR(_xlfn.CONCAT("K",('Configurable Tab'!$C$28+2)),"")</f>
        <v>K282</v>
      </c>
      <c r="D2148" s="852" t="s">
        <v>1350</v>
      </c>
      <c r="E2148" s="852" t="s">
        <v>1743</v>
      </c>
      <c r="F2148" s="1387"/>
      <c r="G2148" s="1387"/>
      <c r="H2148" s="1387"/>
      <c r="I2148" s="1307" t="str">
        <f t="shared" si="338"/>
        <v/>
      </c>
      <c r="J2148" s="1387" t="str">
        <f t="shared" si="345"/>
        <v/>
      </c>
      <c r="K2148" s="1387" t="str">
        <f t="shared" si="339"/>
        <v/>
      </c>
      <c r="M2148" s="1386"/>
      <c r="R2148" s="1387" t="s">
        <v>2049</v>
      </c>
    </row>
    <row r="2149" spans="1:18" s="1385" customFormat="1" x14ac:dyDescent="0.25">
      <c r="A2149" s="872" t="s">
        <v>1706</v>
      </c>
      <c r="B2149" s="1307" t="str">
        <f>IFERROR(_xlfn.CONCAT("D",('Configurable Tab'!$C$29+1)),"")</f>
        <v>D292</v>
      </c>
      <c r="C2149" s="1307" t="str">
        <f>IFERROR(_xlfn.CONCAT("E",('Configurable Tab'!$C$29+1)),"")</f>
        <v>E292</v>
      </c>
      <c r="D2149" s="852" t="s">
        <v>1350</v>
      </c>
      <c r="E2149" s="852" t="s">
        <v>1743</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2050</v>
      </c>
    </row>
    <row r="2150" spans="1:18" s="1385" customFormat="1" x14ac:dyDescent="0.25">
      <c r="A2150" s="872" t="s">
        <v>1383</v>
      </c>
      <c r="B2150" s="1307" t="str">
        <f>IFERROR(_xlfn.CONCAT("D",('Configurable Tab'!$C$29+2)),"")</f>
        <v>D293</v>
      </c>
      <c r="C2150" s="1307" t="str">
        <f>IFERROR(_xlfn.CONCAT("E",('Configurable Tab'!$C$29+2)),"")</f>
        <v>E293</v>
      </c>
      <c r="D2150" s="852" t="s">
        <v>1350</v>
      </c>
      <c r="E2150" s="852" t="s">
        <v>1743</v>
      </c>
      <c r="F2150" s="1387"/>
      <c r="G2150" s="1387"/>
      <c r="H2150" s="1387"/>
      <c r="I2150" s="1307" t="str">
        <f t="shared" si="338"/>
        <v/>
      </c>
      <c r="J2150" s="1387" t="str">
        <f t="shared" ref="J2150:J2158" si="346">IF($Q$2057="Yes",Q$1&amp;M2058,"")</f>
        <v/>
      </c>
      <c r="K2150" s="1387" t="str">
        <f t="shared" si="339"/>
        <v/>
      </c>
      <c r="M2150" s="1386"/>
      <c r="R2150" s="1387" t="s">
        <v>2050</v>
      </c>
    </row>
    <row r="2151" spans="1:18" s="1385" customFormat="1" x14ac:dyDescent="0.25">
      <c r="A2151" s="872" t="s">
        <v>1381</v>
      </c>
      <c r="B2151" s="1307" t="str">
        <f>IFERROR(_xlfn.CONCAT("I",('Configurable Tab'!$C$29+1)),"")</f>
        <v>I292</v>
      </c>
      <c r="C2151" s="1307" t="str">
        <f>IFERROR(_xlfn.CONCAT("I",('Configurable Tab'!$C$29+2)),"")</f>
        <v>I293</v>
      </c>
      <c r="D2151" s="852" t="s">
        <v>1350</v>
      </c>
      <c r="E2151" s="852" t="s">
        <v>1743</v>
      </c>
      <c r="F2151" s="1387"/>
      <c r="G2151" s="1387"/>
      <c r="H2151" s="1387"/>
      <c r="I2151" s="1307" t="str">
        <f t="shared" si="338"/>
        <v/>
      </c>
      <c r="J2151" s="1387" t="str">
        <f t="shared" si="346"/>
        <v/>
      </c>
      <c r="K2151" s="1387" t="str">
        <f t="shared" si="339"/>
        <v/>
      </c>
      <c r="M2151" s="1386"/>
      <c r="R2151" s="1387" t="s">
        <v>2050</v>
      </c>
    </row>
    <row r="2152" spans="1:18" s="1385" customFormat="1" x14ac:dyDescent="0.25">
      <c r="A2152" s="872" t="s">
        <v>1382</v>
      </c>
      <c r="B2152" s="1307" t="str">
        <f>IFERROR(_xlfn.CONCAT("M",('Configurable Tab'!$C$29+1)),"")</f>
        <v>M292</v>
      </c>
      <c r="C2152" s="1307" t="str">
        <f>IFERROR(_xlfn.CONCAT("M",('Configurable Tab'!$C$29+2)),"")</f>
        <v>M293</v>
      </c>
      <c r="D2152" s="852" t="s">
        <v>1350</v>
      </c>
      <c r="E2152" s="852" t="s">
        <v>1743</v>
      </c>
      <c r="F2152" s="1387"/>
      <c r="G2152" s="1387"/>
      <c r="H2152" s="1387"/>
      <c r="I2152" s="1307" t="str">
        <f t="shared" si="338"/>
        <v/>
      </c>
      <c r="J2152" s="1387" t="str">
        <f t="shared" si="346"/>
        <v/>
      </c>
      <c r="K2152" s="1387" t="str">
        <f t="shared" si="339"/>
        <v/>
      </c>
      <c r="M2152" s="1386"/>
      <c r="R2152" s="1387" t="s">
        <v>2050</v>
      </c>
    </row>
    <row r="2153" spans="1:18" s="1385" customFormat="1" x14ac:dyDescent="0.25">
      <c r="A2153" s="872" t="s">
        <v>1385</v>
      </c>
      <c r="B2153" s="1307" t="str">
        <f>IFERROR(_xlfn.CONCAT("D",('Configurable Tab'!$C$29+4)),"")</f>
        <v>D295</v>
      </c>
      <c r="C2153" s="1307" t="str">
        <f>IFERROR(_xlfn.CONCAT("E",('Configurable Tab'!$C$29+4)),"")</f>
        <v>E295</v>
      </c>
      <c r="D2153" s="852" t="s">
        <v>1350</v>
      </c>
      <c r="E2153" s="852" t="s">
        <v>1743</v>
      </c>
      <c r="F2153" s="1387"/>
      <c r="G2153" s="1387"/>
      <c r="H2153" s="1387"/>
      <c r="I2153" s="1307" t="str">
        <f t="shared" ref="I2153:I2178" si="347">IF(J2153&lt;&gt;"",A2153,"")</f>
        <v/>
      </c>
      <c r="J2153" s="1387" t="str">
        <f t="shared" si="346"/>
        <v/>
      </c>
      <c r="K2153" s="1387" t="str">
        <f t="shared" ref="K2153:K2178" si="348">IF(J2153&lt;&gt;"",E2153,"")</f>
        <v/>
      </c>
      <c r="M2153" s="1386"/>
      <c r="R2153" s="1387" t="s">
        <v>2050</v>
      </c>
    </row>
    <row r="2154" spans="1:18" s="1385" customFormat="1" x14ac:dyDescent="0.25">
      <c r="A2154" s="872" t="s">
        <v>1386</v>
      </c>
      <c r="B2154" s="1307" t="str">
        <f>IFERROR(_xlfn.CONCAT("D",('Configurable Tab'!$C$29+5)),"")</f>
        <v>D296</v>
      </c>
      <c r="C2154" s="1307" t="str">
        <f>IFERROR(_xlfn.CONCAT("E",('Configurable Tab'!$C$29+5)),"")</f>
        <v>E296</v>
      </c>
      <c r="D2154" s="852" t="s">
        <v>1350</v>
      </c>
      <c r="E2154" s="852" t="s">
        <v>1743</v>
      </c>
      <c r="F2154" s="1387"/>
      <c r="G2154" s="1387"/>
      <c r="H2154" s="1387"/>
      <c r="I2154" s="1307" t="str">
        <f t="shared" si="347"/>
        <v/>
      </c>
      <c r="J2154" s="1387" t="str">
        <f t="shared" si="346"/>
        <v/>
      </c>
      <c r="K2154" s="1387" t="str">
        <f t="shared" si="348"/>
        <v/>
      </c>
      <c r="M2154" s="1386"/>
      <c r="R2154" s="1387" t="s">
        <v>2050</v>
      </c>
    </row>
    <row r="2155" spans="1:18" s="1385" customFormat="1" x14ac:dyDescent="0.25">
      <c r="A2155" s="872" t="s">
        <v>1396</v>
      </c>
      <c r="B2155" s="1307" t="str">
        <f>IFERROR(_xlfn.CONCAT("G",('Configurable Tab'!$C$29+7)),"")</f>
        <v>G298</v>
      </c>
      <c r="C2155" s="1307" t="str">
        <f>IFERROR(_xlfn.CONCAT("G",('Configurable Tab'!$C$29+8)),"")</f>
        <v>G299</v>
      </c>
      <c r="D2155" s="852" t="s">
        <v>1350</v>
      </c>
      <c r="E2155" s="852" t="s">
        <v>1743</v>
      </c>
      <c r="F2155" s="1387"/>
      <c r="G2155" s="1387"/>
      <c r="H2155" s="1387"/>
      <c r="I2155" s="1307" t="str">
        <f t="shared" si="347"/>
        <v/>
      </c>
      <c r="J2155" s="1387" t="str">
        <f t="shared" si="346"/>
        <v/>
      </c>
      <c r="K2155" s="1387" t="str">
        <f t="shared" si="348"/>
        <v/>
      </c>
      <c r="M2155" s="1386"/>
      <c r="R2155" s="1387" t="s">
        <v>2050</v>
      </c>
    </row>
    <row r="2156" spans="1:18" s="1385" customFormat="1" x14ac:dyDescent="0.25">
      <c r="A2156" s="872" t="s">
        <v>2006</v>
      </c>
      <c r="B2156" s="1307" t="str">
        <f>IFERROR(_xlfn.CONCAT("G",('Configurable Tab'!$C$29+7)),"")</f>
        <v>G298</v>
      </c>
      <c r="C2156" s="1307" t="str">
        <f>IFERROR(_xlfn.CONCAT("G",('Configurable Tab'!$C$29+8)),"")</f>
        <v>G299</v>
      </c>
      <c r="D2156" s="852" t="s">
        <v>1350</v>
      </c>
      <c r="E2156" s="852" t="s">
        <v>1743</v>
      </c>
      <c r="F2156" s="1387"/>
      <c r="G2156" s="1387"/>
      <c r="H2156" s="1387"/>
      <c r="I2156" s="1307" t="str">
        <f t="shared" si="347"/>
        <v/>
      </c>
      <c r="J2156" s="1387" t="str">
        <f t="shared" si="346"/>
        <v/>
      </c>
      <c r="K2156" s="1387" t="str">
        <f t="shared" si="348"/>
        <v/>
      </c>
      <c r="M2156" s="1386"/>
      <c r="R2156" s="1387" t="s">
        <v>2050</v>
      </c>
    </row>
    <row r="2157" spans="1:18" s="1385" customFormat="1" x14ac:dyDescent="0.25">
      <c r="A2157" s="872" t="s">
        <v>1483</v>
      </c>
      <c r="B2157" s="1307" t="str">
        <f>IFERROR(_xlfn.CONCAT("K",('Configurable Tab'!$C$29+7)),"")</f>
        <v>K298</v>
      </c>
      <c r="C2157" s="1307" t="str">
        <f>IFERROR(_xlfn.CONCAT("K",('Configurable Tab'!$C$29+8)),"")</f>
        <v>K299</v>
      </c>
      <c r="D2157" s="852" t="s">
        <v>1350</v>
      </c>
      <c r="E2157" s="852" t="s">
        <v>1743</v>
      </c>
      <c r="F2157" s="1387"/>
      <c r="G2157" s="1387"/>
      <c r="H2157" s="1387"/>
      <c r="I2157" s="1307" t="str">
        <f t="shared" si="347"/>
        <v/>
      </c>
      <c r="J2157" s="1387" t="str">
        <f t="shared" si="346"/>
        <v/>
      </c>
      <c r="K2157" s="1387" t="str">
        <f t="shared" si="348"/>
        <v/>
      </c>
      <c r="M2157" s="1386"/>
      <c r="R2157" s="1387" t="s">
        <v>2050</v>
      </c>
    </row>
    <row r="2158" spans="1:18" s="1385" customFormat="1" x14ac:dyDescent="0.25">
      <c r="A2158" s="872" t="s">
        <v>1397</v>
      </c>
      <c r="B2158" s="1307" t="str">
        <f>IFERROR(_xlfn.CONCAT("K",('Configurable Tab'!$C$29+1)),"")</f>
        <v>K292</v>
      </c>
      <c r="C2158" s="1307" t="str">
        <f>IFERROR(_xlfn.CONCAT("K",('Configurable Tab'!$C$29+2)),"")</f>
        <v>K293</v>
      </c>
      <c r="D2158" s="852" t="s">
        <v>1350</v>
      </c>
      <c r="E2158" s="852" t="s">
        <v>1743</v>
      </c>
      <c r="F2158" s="1387"/>
      <c r="G2158" s="1387"/>
      <c r="H2158" s="1387"/>
      <c r="I2158" s="1307" t="str">
        <f t="shared" si="347"/>
        <v/>
      </c>
      <c r="J2158" s="1387" t="str">
        <f t="shared" si="346"/>
        <v/>
      </c>
      <c r="K2158" s="1387" t="str">
        <f t="shared" si="348"/>
        <v/>
      </c>
      <c r="M2158" s="1386"/>
      <c r="R2158" s="1387" t="s">
        <v>2050</v>
      </c>
    </row>
    <row r="2159" spans="1:18" s="1385" customFormat="1" x14ac:dyDescent="0.25">
      <c r="A2159" s="875" t="s">
        <v>1706</v>
      </c>
      <c r="B2159" s="1307" t="str">
        <f>IFERROR(_xlfn.CONCAT("D",('Configurable Tab'!$C$30+1)),"")</f>
        <v>D303</v>
      </c>
      <c r="C2159" s="1307" t="str">
        <f>IFERROR(_xlfn.CONCAT("E",('Configurable Tab'!$C$30+1)),"")</f>
        <v>E303</v>
      </c>
      <c r="D2159" s="852" t="s">
        <v>1350</v>
      </c>
      <c r="E2159" s="852" t="s">
        <v>1743</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2051</v>
      </c>
    </row>
    <row r="2160" spans="1:18" s="1385" customFormat="1" x14ac:dyDescent="0.25">
      <c r="A2160" s="875" t="s">
        <v>1383</v>
      </c>
      <c r="B2160" s="1307" t="str">
        <f>IFERROR(_xlfn.CONCAT("D",('Configurable Tab'!$C$30+2)),"")</f>
        <v>D304</v>
      </c>
      <c r="C2160" s="1307" t="str">
        <f>IFERROR(_xlfn.CONCAT("E",('Configurable Tab'!$C$30+2)),"")</f>
        <v>E304</v>
      </c>
      <c r="D2160" s="852" t="s">
        <v>1350</v>
      </c>
      <c r="E2160" s="852" t="s">
        <v>1743</v>
      </c>
      <c r="F2160" s="1387"/>
      <c r="G2160" s="1387"/>
      <c r="H2160" s="1387"/>
      <c r="I2160" s="1307" t="str">
        <f t="shared" si="347"/>
        <v/>
      </c>
      <c r="J2160" s="1387" t="str">
        <f t="shared" ref="J2160:J2168" si="349">IF($Q$2068="Yes",Q$1&amp;M2069,"")</f>
        <v/>
      </c>
      <c r="K2160" s="1387" t="str">
        <f t="shared" si="348"/>
        <v/>
      </c>
      <c r="M2160" s="1386"/>
      <c r="R2160" s="1387" t="s">
        <v>2051</v>
      </c>
    </row>
    <row r="2161" spans="1:18" s="1385" customFormat="1" x14ac:dyDescent="0.25">
      <c r="A2161" s="875" t="s">
        <v>1381</v>
      </c>
      <c r="B2161" s="1307" t="str">
        <f>IFERROR(_xlfn.CONCAT("I",('Configurable Tab'!$C$30+1)),"")</f>
        <v>I303</v>
      </c>
      <c r="C2161" s="1307" t="str">
        <f>IFERROR(_xlfn.CONCAT("I",('Configurable Tab'!$C$30+2)),"")</f>
        <v>I304</v>
      </c>
      <c r="D2161" s="852" t="s">
        <v>1350</v>
      </c>
      <c r="E2161" s="852" t="s">
        <v>1743</v>
      </c>
      <c r="F2161" s="1387"/>
      <c r="G2161" s="1387"/>
      <c r="H2161" s="1387"/>
      <c r="I2161" s="1307" t="str">
        <f t="shared" si="347"/>
        <v/>
      </c>
      <c r="J2161" s="1387" t="str">
        <f t="shared" si="349"/>
        <v/>
      </c>
      <c r="K2161" s="1387" t="str">
        <f t="shared" si="348"/>
        <v/>
      </c>
      <c r="M2161" s="1386"/>
      <c r="R2161" s="1387" t="s">
        <v>2051</v>
      </c>
    </row>
    <row r="2162" spans="1:18" s="1385" customFormat="1" x14ac:dyDescent="0.25">
      <c r="A2162" s="875" t="s">
        <v>1382</v>
      </c>
      <c r="B2162" s="1307" t="str">
        <f>IFERROR(_xlfn.CONCAT("M",('Configurable Tab'!$C$30+1)),"")</f>
        <v>M303</v>
      </c>
      <c r="C2162" s="1307" t="str">
        <f>IFERROR(_xlfn.CONCAT("M",('Configurable Tab'!$C$30+2)),"")</f>
        <v>M304</v>
      </c>
      <c r="D2162" s="852" t="s">
        <v>1350</v>
      </c>
      <c r="E2162" s="852" t="s">
        <v>1743</v>
      </c>
      <c r="F2162" s="1387"/>
      <c r="G2162" s="1387"/>
      <c r="H2162" s="1387"/>
      <c r="I2162" s="1307" t="str">
        <f t="shared" si="347"/>
        <v/>
      </c>
      <c r="J2162" s="1387" t="str">
        <f t="shared" si="349"/>
        <v/>
      </c>
      <c r="K2162" s="1387" t="str">
        <f t="shared" si="348"/>
        <v/>
      </c>
      <c r="M2162" s="1386"/>
      <c r="R2162" s="1387" t="s">
        <v>2051</v>
      </c>
    </row>
    <row r="2163" spans="1:18" s="1385" customFormat="1" x14ac:dyDescent="0.25">
      <c r="A2163" s="875" t="s">
        <v>1385</v>
      </c>
      <c r="B2163" s="1307" t="str">
        <f>IFERROR(_xlfn.CONCAT("D",('Configurable Tab'!$C$30+4)),"")</f>
        <v>D306</v>
      </c>
      <c r="C2163" s="1307" t="str">
        <f>IFERROR(_xlfn.CONCAT("E",('Configurable Tab'!$C$30+4)),"")</f>
        <v>E306</v>
      </c>
      <c r="D2163" s="852" t="s">
        <v>1350</v>
      </c>
      <c r="E2163" s="852" t="s">
        <v>1743</v>
      </c>
      <c r="F2163" s="1387"/>
      <c r="G2163" s="1387"/>
      <c r="H2163" s="1387"/>
      <c r="I2163" s="1307" t="str">
        <f t="shared" si="347"/>
        <v/>
      </c>
      <c r="J2163" s="1387" t="str">
        <f t="shared" si="349"/>
        <v/>
      </c>
      <c r="K2163" s="1387" t="str">
        <f t="shared" si="348"/>
        <v/>
      </c>
      <c r="M2163" s="1386"/>
      <c r="R2163" s="1387" t="s">
        <v>2051</v>
      </c>
    </row>
    <row r="2164" spans="1:18" s="1385" customFormat="1" x14ac:dyDescent="0.25">
      <c r="A2164" s="875" t="s">
        <v>1386</v>
      </c>
      <c r="B2164" s="1307" t="str">
        <f>IFERROR(_xlfn.CONCAT("D",('Configurable Tab'!$C$30+5)),"")</f>
        <v>D307</v>
      </c>
      <c r="C2164" s="1307" t="str">
        <f>IFERROR(_xlfn.CONCAT("E",('Configurable Tab'!$C$30+5)),"")</f>
        <v>E307</v>
      </c>
      <c r="D2164" s="852" t="s">
        <v>1350</v>
      </c>
      <c r="E2164" s="852" t="s">
        <v>1743</v>
      </c>
      <c r="F2164" s="1387"/>
      <c r="G2164" s="1387"/>
      <c r="H2164" s="1387"/>
      <c r="I2164" s="1307" t="str">
        <f t="shared" si="347"/>
        <v/>
      </c>
      <c r="J2164" s="1387" t="str">
        <f t="shared" si="349"/>
        <v/>
      </c>
      <c r="K2164" s="1387" t="str">
        <f t="shared" si="348"/>
        <v/>
      </c>
      <c r="M2164" s="1386"/>
      <c r="R2164" s="1387" t="s">
        <v>2051</v>
      </c>
    </row>
    <row r="2165" spans="1:18" s="1385" customFormat="1" x14ac:dyDescent="0.25">
      <c r="A2165" s="875" t="s">
        <v>1396</v>
      </c>
      <c r="B2165" s="1307" t="str">
        <f>IFERROR(_xlfn.CONCAT("G",('Configurable Tab'!$C$30+7)),"")</f>
        <v>G309</v>
      </c>
      <c r="C2165" s="1307" t="str">
        <f>IFERROR(_xlfn.CONCAT("G",('Configurable Tab'!$C$30+8)),"")</f>
        <v>G310</v>
      </c>
      <c r="D2165" s="852" t="s">
        <v>1350</v>
      </c>
      <c r="E2165" s="852" t="s">
        <v>1743</v>
      </c>
      <c r="F2165" s="1387"/>
      <c r="G2165" s="1387"/>
      <c r="H2165" s="1387"/>
      <c r="I2165" s="1307" t="str">
        <f t="shared" si="347"/>
        <v/>
      </c>
      <c r="J2165" s="1387" t="str">
        <f t="shared" si="349"/>
        <v/>
      </c>
      <c r="K2165" s="1387" t="str">
        <f t="shared" si="348"/>
        <v/>
      </c>
      <c r="M2165" s="1386"/>
      <c r="R2165" s="1387" t="s">
        <v>2051</v>
      </c>
    </row>
    <row r="2166" spans="1:18" s="1385" customFormat="1" x14ac:dyDescent="0.25">
      <c r="A2166" s="875" t="s">
        <v>2006</v>
      </c>
      <c r="B2166" s="1307" t="str">
        <f>IFERROR(_xlfn.CONCAT("G",('Configurable Tab'!$C$30+7)),"")</f>
        <v>G309</v>
      </c>
      <c r="C2166" s="1307" t="str">
        <f>IFERROR(_xlfn.CONCAT("G",('Configurable Tab'!$C$30+8)),"")</f>
        <v>G310</v>
      </c>
      <c r="D2166" s="852" t="s">
        <v>1350</v>
      </c>
      <c r="E2166" s="852" t="s">
        <v>1743</v>
      </c>
      <c r="F2166" s="1387"/>
      <c r="G2166" s="1387"/>
      <c r="H2166" s="1387"/>
      <c r="I2166" s="1307" t="str">
        <f t="shared" si="347"/>
        <v/>
      </c>
      <c r="J2166" s="1387" t="str">
        <f t="shared" si="349"/>
        <v/>
      </c>
      <c r="K2166" s="1387" t="str">
        <f t="shared" si="348"/>
        <v/>
      </c>
      <c r="M2166" s="1386"/>
      <c r="R2166" s="1387" t="s">
        <v>2051</v>
      </c>
    </row>
    <row r="2167" spans="1:18" s="1385" customFormat="1" x14ac:dyDescent="0.25">
      <c r="A2167" s="875" t="s">
        <v>1483</v>
      </c>
      <c r="B2167" s="1307" t="str">
        <f>IFERROR(_xlfn.CONCAT("K",('Configurable Tab'!$C$30+7)),"")</f>
        <v>K309</v>
      </c>
      <c r="C2167" s="1307" t="str">
        <f>IFERROR(_xlfn.CONCAT("K",('Configurable Tab'!$C$30+8)),"")</f>
        <v>K310</v>
      </c>
      <c r="D2167" s="852" t="s">
        <v>1350</v>
      </c>
      <c r="E2167" s="852" t="s">
        <v>1743</v>
      </c>
      <c r="F2167" s="1387"/>
      <c r="G2167" s="1387"/>
      <c r="H2167" s="1387"/>
      <c r="I2167" s="1307" t="str">
        <f t="shared" si="347"/>
        <v/>
      </c>
      <c r="J2167" s="1387" t="str">
        <f t="shared" si="349"/>
        <v/>
      </c>
      <c r="K2167" s="1387" t="str">
        <f t="shared" si="348"/>
        <v/>
      </c>
      <c r="M2167" s="1386"/>
      <c r="R2167" s="1387" t="s">
        <v>2051</v>
      </c>
    </row>
    <row r="2168" spans="1:18" s="1385" customFormat="1" x14ac:dyDescent="0.25">
      <c r="A2168" s="875" t="s">
        <v>1397</v>
      </c>
      <c r="B2168" s="1307" t="str">
        <f>IFERROR(_xlfn.CONCAT("K",('Configurable Tab'!$C$30+1)),"")</f>
        <v>K303</v>
      </c>
      <c r="C2168" s="1307" t="str">
        <f>IFERROR(_xlfn.CONCAT("K",('Configurable Tab'!$C$30+2)),"")</f>
        <v>K304</v>
      </c>
      <c r="D2168" s="852" t="s">
        <v>1350</v>
      </c>
      <c r="E2168" s="852" t="s">
        <v>1743</v>
      </c>
      <c r="F2168" s="1387"/>
      <c r="G2168" s="1387"/>
      <c r="H2168" s="1387"/>
      <c r="I2168" s="1307" t="str">
        <f t="shared" si="347"/>
        <v/>
      </c>
      <c r="J2168" s="1387" t="str">
        <f t="shared" si="349"/>
        <v/>
      </c>
      <c r="K2168" s="1387" t="str">
        <f t="shared" si="348"/>
        <v/>
      </c>
      <c r="M2168" s="1386"/>
      <c r="R2168" s="1387" t="s">
        <v>2051</v>
      </c>
    </row>
    <row r="2169" spans="1:18" s="1385" customFormat="1" x14ac:dyDescent="0.25">
      <c r="A2169" s="872" t="s">
        <v>1706</v>
      </c>
      <c r="B2169" s="1307" t="str">
        <f>IFERROR(_xlfn.CONCAT("D",('Configurable Tab'!$C$31+1)),"")</f>
        <v>D314</v>
      </c>
      <c r="C2169" s="1307" t="str">
        <f>IFERROR(_xlfn.CONCAT("E",('Configurable Tab'!$C$31+1)),"")</f>
        <v>E314</v>
      </c>
      <c r="D2169" s="852" t="s">
        <v>1350</v>
      </c>
      <c r="E2169" s="852" t="s">
        <v>1743</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2052</v>
      </c>
    </row>
    <row r="2170" spans="1:18" s="1385" customFormat="1" x14ac:dyDescent="0.25">
      <c r="A2170" s="872" t="s">
        <v>1383</v>
      </c>
      <c r="B2170" s="1307" t="str">
        <f>IFERROR(_xlfn.CONCAT("D",('Configurable Tab'!$C$31+2)),"")</f>
        <v>D315</v>
      </c>
      <c r="C2170" s="1307" t="str">
        <f>IFERROR(_xlfn.CONCAT("E",('Configurable Tab'!$C$31+2)),"")</f>
        <v>E315</v>
      </c>
      <c r="D2170" s="852" t="s">
        <v>1350</v>
      </c>
      <c r="E2170" s="852" t="s">
        <v>1743</v>
      </c>
      <c r="F2170" s="1387"/>
      <c r="G2170" s="1387"/>
      <c r="H2170" s="1387"/>
      <c r="I2170" s="1307" t="str">
        <f t="shared" si="347"/>
        <v/>
      </c>
      <c r="J2170" s="1387" t="str">
        <f t="shared" ref="J2170:J2178" si="350">IF($Q$2079="Yes",Q$1&amp;M2080,"")</f>
        <v/>
      </c>
      <c r="K2170" s="1387" t="str">
        <f t="shared" si="348"/>
        <v/>
      </c>
      <c r="M2170" s="1386"/>
      <c r="R2170" s="1387" t="s">
        <v>2052</v>
      </c>
    </row>
    <row r="2171" spans="1:18" s="1385" customFormat="1" x14ac:dyDescent="0.25">
      <c r="A2171" s="872" t="s">
        <v>1381</v>
      </c>
      <c r="B2171" s="1307" t="str">
        <f>IFERROR(_xlfn.CONCAT("I",('Configurable Tab'!$C$31+1)),"")</f>
        <v>I314</v>
      </c>
      <c r="C2171" s="1307" t="str">
        <f>IFERROR(_xlfn.CONCAT("I",('Configurable Tab'!$C$31+2)),"")</f>
        <v>I315</v>
      </c>
      <c r="D2171" s="852" t="s">
        <v>1350</v>
      </c>
      <c r="E2171" s="852" t="s">
        <v>1743</v>
      </c>
      <c r="F2171" s="1387"/>
      <c r="G2171" s="1387"/>
      <c r="H2171" s="1387"/>
      <c r="I2171" s="1307" t="str">
        <f t="shared" si="347"/>
        <v/>
      </c>
      <c r="J2171" s="1387" t="str">
        <f t="shared" si="350"/>
        <v/>
      </c>
      <c r="K2171" s="1387" t="str">
        <f t="shared" si="348"/>
        <v/>
      </c>
      <c r="M2171" s="1386"/>
      <c r="R2171" s="1387" t="s">
        <v>2052</v>
      </c>
    </row>
    <row r="2172" spans="1:18" s="1385" customFormat="1" x14ac:dyDescent="0.25">
      <c r="A2172" s="872" t="s">
        <v>1382</v>
      </c>
      <c r="B2172" s="1307" t="str">
        <f>IFERROR(_xlfn.CONCAT("M",('Configurable Tab'!$C$31+1)),"")</f>
        <v>M314</v>
      </c>
      <c r="C2172" s="1307" t="str">
        <f>IFERROR(_xlfn.CONCAT("M",('Configurable Tab'!$C$31+2)),"")</f>
        <v>M315</v>
      </c>
      <c r="D2172" s="852" t="s">
        <v>1350</v>
      </c>
      <c r="E2172" s="852" t="s">
        <v>1743</v>
      </c>
      <c r="F2172" s="1387"/>
      <c r="G2172" s="1387"/>
      <c r="H2172" s="1387"/>
      <c r="I2172" s="1307" t="str">
        <f t="shared" si="347"/>
        <v/>
      </c>
      <c r="J2172" s="1387" t="str">
        <f t="shared" si="350"/>
        <v/>
      </c>
      <c r="K2172" s="1387" t="str">
        <f t="shared" si="348"/>
        <v/>
      </c>
      <c r="M2172" s="1386"/>
      <c r="R2172" s="1387" t="s">
        <v>2052</v>
      </c>
    </row>
    <row r="2173" spans="1:18" s="1385" customFormat="1" x14ac:dyDescent="0.25">
      <c r="A2173" s="872" t="s">
        <v>1385</v>
      </c>
      <c r="B2173" s="1307" t="str">
        <f>IFERROR(_xlfn.CONCAT("D",('Configurable Tab'!$C$31+4)),"")</f>
        <v>D317</v>
      </c>
      <c r="C2173" s="1307" t="str">
        <f>IFERROR(_xlfn.CONCAT("E",('Configurable Tab'!$C$31+4)),"")</f>
        <v>E317</v>
      </c>
      <c r="D2173" s="852" t="s">
        <v>1350</v>
      </c>
      <c r="E2173" s="852" t="s">
        <v>1743</v>
      </c>
      <c r="F2173" s="1387"/>
      <c r="G2173" s="1387"/>
      <c r="H2173" s="1387"/>
      <c r="I2173" s="1307" t="str">
        <f t="shared" si="347"/>
        <v/>
      </c>
      <c r="J2173" s="1387" t="str">
        <f t="shared" si="350"/>
        <v/>
      </c>
      <c r="K2173" s="1387" t="str">
        <f t="shared" si="348"/>
        <v/>
      </c>
      <c r="M2173" s="1386"/>
      <c r="R2173" s="1387" t="s">
        <v>2052</v>
      </c>
    </row>
    <row r="2174" spans="1:18" s="1385" customFormat="1" x14ac:dyDescent="0.25">
      <c r="A2174" s="872" t="s">
        <v>1386</v>
      </c>
      <c r="B2174" s="1307" t="str">
        <f>IFERROR(_xlfn.CONCAT("D",('Configurable Tab'!$C$31+5)),"")</f>
        <v>D318</v>
      </c>
      <c r="C2174" s="1307" t="str">
        <f>IFERROR(_xlfn.CONCAT("E",('Configurable Tab'!$C$31+5)),"")</f>
        <v>E318</v>
      </c>
      <c r="D2174" s="852" t="s">
        <v>1350</v>
      </c>
      <c r="E2174" s="852" t="s">
        <v>1743</v>
      </c>
      <c r="F2174" s="1387"/>
      <c r="G2174" s="1387"/>
      <c r="H2174" s="1387"/>
      <c r="I2174" s="1307" t="str">
        <f t="shared" si="347"/>
        <v/>
      </c>
      <c r="J2174" s="1387" t="str">
        <f t="shared" si="350"/>
        <v/>
      </c>
      <c r="K2174" s="1387" t="str">
        <f t="shared" si="348"/>
        <v/>
      </c>
      <c r="M2174" s="1386"/>
      <c r="R2174" s="1387" t="s">
        <v>2052</v>
      </c>
    </row>
    <row r="2175" spans="1:18" s="1385" customFormat="1" x14ac:dyDescent="0.25">
      <c r="A2175" s="872" t="s">
        <v>1396</v>
      </c>
      <c r="B2175" s="1307" t="str">
        <f>IFERROR(_xlfn.CONCAT("G",('Configurable Tab'!$C$31+7)),"")</f>
        <v>G320</v>
      </c>
      <c r="C2175" s="1307" t="str">
        <f>IFERROR(_xlfn.CONCAT("G",('Configurable Tab'!$C$31+8)),"")</f>
        <v>G321</v>
      </c>
      <c r="D2175" s="852" t="s">
        <v>1350</v>
      </c>
      <c r="E2175" s="852" t="s">
        <v>1743</v>
      </c>
      <c r="F2175" s="1387"/>
      <c r="G2175" s="1387"/>
      <c r="H2175" s="1387"/>
      <c r="I2175" s="1307" t="str">
        <f t="shared" si="347"/>
        <v/>
      </c>
      <c r="J2175" s="1387" t="str">
        <f t="shared" si="350"/>
        <v/>
      </c>
      <c r="K2175" s="1387" t="str">
        <f t="shared" si="348"/>
        <v/>
      </c>
      <c r="M2175" s="1386"/>
      <c r="R2175" s="1387" t="s">
        <v>2052</v>
      </c>
    </row>
    <row r="2176" spans="1:18" s="1385" customFormat="1" x14ac:dyDescent="0.25">
      <c r="A2176" s="872" t="s">
        <v>2006</v>
      </c>
      <c r="B2176" s="1307" t="str">
        <f>IFERROR(_xlfn.CONCAT("G",('Configurable Tab'!$C$31+7)),"")</f>
        <v>G320</v>
      </c>
      <c r="C2176" s="1307" t="str">
        <f>IFERROR(_xlfn.CONCAT("G",('Configurable Tab'!$C$31+8)),"")</f>
        <v>G321</v>
      </c>
      <c r="D2176" s="852" t="s">
        <v>1350</v>
      </c>
      <c r="E2176" s="852" t="s">
        <v>1743</v>
      </c>
      <c r="F2176" s="1387"/>
      <c r="G2176" s="1387"/>
      <c r="H2176" s="1387"/>
      <c r="I2176" s="1307" t="str">
        <f t="shared" si="347"/>
        <v/>
      </c>
      <c r="J2176" s="1387" t="str">
        <f t="shared" si="350"/>
        <v/>
      </c>
      <c r="K2176" s="1387" t="str">
        <f t="shared" si="348"/>
        <v/>
      </c>
      <c r="M2176" s="1386"/>
      <c r="R2176" s="1387" t="s">
        <v>2052</v>
      </c>
    </row>
    <row r="2177" spans="1:20" s="1385" customFormat="1" x14ac:dyDescent="0.25">
      <c r="A2177" s="872" t="s">
        <v>1483</v>
      </c>
      <c r="B2177" s="1307" t="str">
        <f>IFERROR(_xlfn.CONCAT("K",('Configurable Tab'!$C$31+7)),"")</f>
        <v>K320</v>
      </c>
      <c r="C2177" s="1307" t="str">
        <f>IFERROR(_xlfn.CONCAT("K",('Configurable Tab'!$C$31+8)),"")</f>
        <v>K321</v>
      </c>
      <c r="D2177" s="852" t="s">
        <v>1350</v>
      </c>
      <c r="E2177" s="852" t="s">
        <v>1743</v>
      </c>
      <c r="F2177" s="1387"/>
      <c r="G2177" s="1387"/>
      <c r="H2177" s="1387"/>
      <c r="I2177" s="1307" t="str">
        <f t="shared" si="347"/>
        <v/>
      </c>
      <c r="J2177" s="1387" t="str">
        <f t="shared" si="350"/>
        <v/>
      </c>
      <c r="K2177" s="1387" t="str">
        <f t="shared" si="348"/>
        <v/>
      </c>
      <c r="M2177" s="1386"/>
      <c r="R2177" s="1387" t="s">
        <v>2052</v>
      </c>
    </row>
    <row r="2178" spans="1:20" s="1385" customFormat="1" x14ac:dyDescent="0.25">
      <c r="A2178" s="872" t="s">
        <v>1397</v>
      </c>
      <c r="B2178" s="1307" t="str">
        <f>IFERROR(_xlfn.CONCAT("K",('Configurable Tab'!$C$31+1)),"")</f>
        <v>K314</v>
      </c>
      <c r="C2178" s="1307" t="str">
        <f>IFERROR(_xlfn.CONCAT("K",('Configurable Tab'!$C$31+2)),"")</f>
        <v>K315</v>
      </c>
      <c r="D2178" s="852" t="s">
        <v>1350</v>
      </c>
      <c r="E2178" s="852" t="s">
        <v>1743</v>
      </c>
      <c r="F2178" s="1387"/>
      <c r="G2178" s="1387"/>
      <c r="H2178" s="1387"/>
      <c r="I2178" s="1307" t="str">
        <f t="shared" si="347"/>
        <v/>
      </c>
      <c r="J2178" s="1387" t="str">
        <f t="shared" si="350"/>
        <v/>
      </c>
      <c r="K2178" s="1387" t="str">
        <f t="shared" si="348"/>
        <v/>
      </c>
      <c r="M2178" s="1386"/>
      <c r="R2178" s="1387"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0"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31" t="s">
        <v>1489</v>
      </c>
      <c r="G2180" s="1431" t="str">
        <f>IF(T2180&lt;&gt;"","AW","")</f>
        <v/>
      </c>
      <c r="H2180" s="1431" t="s">
        <v>1991</v>
      </c>
      <c r="I2180" s="1307"/>
      <c r="J2180" s="1431"/>
      <c r="K2180" s="1431"/>
      <c r="L2180" s="852"/>
      <c r="M2180" s="1432"/>
      <c r="N2180" s="1431"/>
      <c r="R2180" s="1431" t="s">
        <v>481</v>
      </c>
      <c r="T2180" s="1431" t="str">
        <f t="shared" ref="T2180" si="351">IF(Q$1005="Yes",23,"")</f>
        <v/>
      </c>
    </row>
    <row r="2181" spans="1:20" s="1430" customFormat="1" x14ac:dyDescent="0.25">
      <c r="A2181" s="1039"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31" t="s">
        <v>1489</v>
      </c>
      <c r="G2181" s="1431" t="str">
        <f t="shared" ref="G2181:G2184" si="352">IF(T2181&lt;&gt;"","AW","")</f>
        <v/>
      </c>
      <c r="H2181" s="1431" t="s">
        <v>1991</v>
      </c>
      <c r="I2181" s="1307"/>
      <c r="J2181" s="1431"/>
      <c r="K2181" s="1431"/>
      <c r="L2181" s="852"/>
      <c r="M2181" s="1432"/>
      <c r="N2181" s="1431"/>
      <c r="R2181" s="1431" t="s">
        <v>481</v>
      </c>
      <c r="T2181" s="1431" t="str">
        <f t="shared" ref="T2181" si="353">IF(Q$1016="Yes",24,"")</f>
        <v/>
      </c>
    </row>
    <row r="2182" spans="1:20" s="1430"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31" t="s">
        <v>1489</v>
      </c>
      <c r="G2182" s="1431" t="str">
        <f t="shared" si="352"/>
        <v/>
      </c>
      <c r="H2182" s="1431" t="s">
        <v>1991</v>
      </c>
      <c r="I2182" s="1307"/>
      <c r="J2182" s="1431"/>
      <c r="K2182" s="1431"/>
      <c r="L2182" s="852"/>
      <c r="M2182" s="1432"/>
      <c r="N2182" s="1431"/>
      <c r="R2182" s="1431" t="s">
        <v>481</v>
      </c>
      <c r="T2182" s="1431" t="str">
        <f>IF(Q$1027="Yes",25,"")</f>
        <v/>
      </c>
    </row>
    <row r="2183" spans="1:20" s="1430"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31" t="s">
        <v>1489</v>
      </c>
      <c r="G2183" s="1431" t="str">
        <f t="shared" si="352"/>
        <v/>
      </c>
      <c r="H2183" s="1431" t="s">
        <v>1991</v>
      </c>
      <c r="I2183" s="1307"/>
      <c r="J2183" s="1431"/>
      <c r="K2183" s="1431"/>
      <c r="L2183" s="852"/>
      <c r="M2183" s="1432"/>
      <c r="N2183" s="1431"/>
      <c r="R2183" s="1431" t="s">
        <v>1701</v>
      </c>
      <c r="T2183" s="1431" t="str">
        <f t="shared" ref="T2183" si="354">IF(Q$1052="Yes",27,"")</f>
        <v/>
      </c>
    </row>
    <row r="2184" spans="1:20" s="1430" customFormat="1" x14ac:dyDescent="0.25">
      <c r="A2184" s="1039"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31" t="s">
        <v>1489</v>
      </c>
      <c r="G2184" s="1431" t="str">
        <f t="shared" si="352"/>
        <v/>
      </c>
      <c r="H2184" s="1431" t="s">
        <v>1991</v>
      </c>
      <c r="I2184" s="1307"/>
      <c r="J2184" s="1431"/>
      <c r="K2184" s="1431"/>
      <c r="L2184" s="852"/>
      <c r="M2184" s="1432"/>
      <c r="N2184" s="1431"/>
      <c r="R2184" s="1431" t="s">
        <v>1701</v>
      </c>
      <c r="T2184" s="1431" t="str">
        <f t="shared" ref="T2184" si="355">IF(Q$1069="Yes",28,"")</f>
        <v/>
      </c>
    </row>
    <row r="2185" spans="1:20" x14ac:dyDescent="0.25">
      <c r="A2185" s="1441"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2073</v>
      </c>
      <c r="M2185" s="1442">
        <v>1208</v>
      </c>
      <c r="N2185" s="1443"/>
    </row>
    <row r="2186" spans="1:20" x14ac:dyDescent="0.25">
      <c r="A2186" s="1474" t="s">
        <v>2072</v>
      </c>
      <c r="B2186" s="52" t="str">
        <f>IFERROR(_xlfn.CONCAT("D",MATCH(A2186,'Tracking &amp; Profitability'!D$1:D$62,0)),"")</f>
        <v>D31</v>
      </c>
      <c r="C2186" s="52" t="str">
        <f>IFERROR(_xlfn.CONCAT("E",MATCH(A2186,'Tracking &amp; Profitability'!D$1:D$62,0)),"")</f>
        <v>E31</v>
      </c>
      <c r="D2186" s="817" t="s">
        <v>1350</v>
      </c>
      <c r="E2186" s="52" t="s">
        <v>129</v>
      </c>
      <c r="F2186" s="1476" t="s">
        <v>2074</v>
      </c>
      <c r="G2186" s="1476" t="s">
        <v>2075</v>
      </c>
      <c r="H2186" s="1130" t="s">
        <v>1928</v>
      </c>
      <c r="I2186" s="1474"/>
      <c r="J2186" s="1474"/>
      <c r="K2186" s="1474"/>
      <c r="L2186" s="1474"/>
      <c r="M2186" s="1475"/>
      <c r="N2186" s="1474"/>
    </row>
    <row r="2187" spans="1:20" s="1572"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573" t="s">
        <v>1992</v>
      </c>
      <c r="G2187" s="1573" t="str">
        <f>IF(T2187&lt;&gt;"","E","")</f>
        <v/>
      </c>
      <c r="H2187" s="1573" t="s">
        <v>1991</v>
      </c>
      <c r="I2187" s="1307"/>
      <c r="J2187" s="1573"/>
      <c r="K2187" s="1573"/>
      <c r="L2187" s="852"/>
      <c r="M2187" s="1574"/>
      <c r="N2187" s="1573"/>
      <c r="O2187" s="1572" t="s">
        <v>1657</v>
      </c>
      <c r="R2187" s="1573" t="s">
        <v>1099</v>
      </c>
      <c r="T2187" s="1573" t="str">
        <f t="shared" ref="T2187" si="359">IF(Q$1085="Yes",29,"")</f>
        <v/>
      </c>
    </row>
    <row r="2188" spans="1:20" s="1572" customFormat="1" x14ac:dyDescent="0.25">
      <c r="A2188" s="1039"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573" t="s">
        <v>1992</v>
      </c>
      <c r="G2188" s="1573" t="str">
        <f>IF(T2188&lt;&gt;"","E","")</f>
        <v/>
      </c>
      <c r="H2188" s="1573" t="s">
        <v>1991</v>
      </c>
      <c r="I2188" s="1307"/>
      <c r="J2188" s="1573"/>
      <c r="K2188" s="1573"/>
      <c r="L2188" s="852"/>
      <c r="M2188" s="1574"/>
      <c r="N2188" s="1573"/>
      <c r="O2188" s="1572" t="s">
        <v>1658</v>
      </c>
      <c r="R2188" s="1573" t="s">
        <v>1099</v>
      </c>
      <c r="T2188" s="1573" t="str">
        <f t="shared" ref="T2188" si="360">IF(Q$1095="Yes",30,"")</f>
        <v/>
      </c>
    </row>
    <row r="2189" spans="1:20" x14ac:dyDescent="0.25">
      <c r="A2189" s="1587" t="s">
        <v>2103</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1517</v>
      </c>
      <c r="F2189" s="1588" t="s">
        <v>2103</v>
      </c>
      <c r="G2189" s="1590" t="str">
        <f>IF(T2189&lt;&gt;"","AM","")</f>
        <v/>
      </c>
      <c r="H2189" s="1590" t="s">
        <v>1991</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2103</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1517</v>
      </c>
      <c r="F2190" s="1590" t="s">
        <v>2103</v>
      </c>
      <c r="G2190" s="1590" t="str">
        <f t="shared" ref="G2190:G2212" si="363">IF(T2190&lt;&gt;"","AM","")</f>
        <v/>
      </c>
      <c r="H2190" s="1590" t="s">
        <v>1991</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2103</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1517</v>
      </c>
      <c r="F2191" s="1590" t="s">
        <v>2103</v>
      </c>
      <c r="G2191" s="1590" t="str">
        <f t="shared" si="363"/>
        <v/>
      </c>
      <c r="H2191" s="1590" t="s">
        <v>1991</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2103</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1517</v>
      </c>
      <c r="F2192" s="1590" t="s">
        <v>2103</v>
      </c>
      <c r="G2192" s="1590" t="str">
        <f t="shared" si="363"/>
        <v/>
      </c>
      <c r="H2192" s="1590" t="s">
        <v>1991</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2103</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1517</v>
      </c>
      <c r="F2193" s="1590" t="s">
        <v>2103</v>
      </c>
      <c r="G2193" s="1590" t="str">
        <f t="shared" si="363"/>
        <v/>
      </c>
      <c r="H2193" s="1590" t="s">
        <v>1991</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2103</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1517</v>
      </c>
      <c r="F2194" s="1590" t="s">
        <v>2103</v>
      </c>
      <c r="G2194" s="1590" t="str">
        <f t="shared" si="363"/>
        <v/>
      </c>
      <c r="H2194" s="1590" t="s">
        <v>1991</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2103</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1517</v>
      </c>
      <c r="F2195" s="1590" t="s">
        <v>2103</v>
      </c>
      <c r="G2195" s="1590" t="str">
        <f t="shared" si="363"/>
        <v/>
      </c>
      <c r="H2195" s="1590" t="s">
        <v>1991</v>
      </c>
      <c r="I2195" s="1588"/>
      <c r="J2195" s="1588" t="str">
        <f t="shared" si="361"/>
        <v>F1315</v>
      </c>
      <c r="K2195" s="1588"/>
      <c r="L2195" s="1588"/>
      <c r="M2195" s="1589">
        <v>1315</v>
      </c>
      <c r="N2195" s="1588"/>
      <c r="R2195" s="1588" t="s">
        <v>1526</v>
      </c>
      <c r="T2195" s="1590" t="str">
        <f t="shared" ref="T2195" si="369">IF(Q$670="Yes",7,"")</f>
        <v/>
      </c>
    </row>
    <row r="2196" spans="1:20" x14ac:dyDescent="0.25">
      <c r="A2196" s="1587" t="s">
        <v>2103</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1517</v>
      </c>
      <c r="F2196" s="1590" t="s">
        <v>2103</v>
      </c>
      <c r="G2196" s="1590" t="str">
        <f t="shared" si="363"/>
        <v/>
      </c>
      <c r="H2196" s="1590" t="s">
        <v>1991</v>
      </c>
      <c r="I2196" s="1588"/>
      <c r="J2196" s="1588" t="str">
        <f t="shared" si="361"/>
        <v>F1316</v>
      </c>
      <c r="K2196" s="1588"/>
      <c r="L2196" s="1588"/>
      <c r="M2196" s="1589">
        <v>1316</v>
      </c>
      <c r="N2196" s="1588"/>
      <c r="R2196" s="1588" t="s">
        <v>1526</v>
      </c>
      <c r="T2196" s="1590" t="str">
        <f t="shared" ref="T2196" si="370">IF(Q$688="Yes",8,"")</f>
        <v/>
      </c>
    </row>
    <row r="2197" spans="1:20" x14ac:dyDescent="0.25">
      <c r="A2197" s="1587" t="s">
        <v>2103</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1517</v>
      </c>
      <c r="F2197" s="1590" t="s">
        <v>2103</v>
      </c>
      <c r="G2197" s="1590" t="str">
        <f t="shared" si="363"/>
        <v/>
      </c>
      <c r="H2197" s="1590" t="s">
        <v>1991</v>
      </c>
      <c r="I2197" s="1588"/>
      <c r="J2197" s="1588" t="str">
        <f t="shared" si="361"/>
        <v>F1317</v>
      </c>
      <c r="K2197" s="1588"/>
      <c r="L2197" s="1588"/>
      <c r="M2197" s="1589">
        <v>1317</v>
      </c>
      <c r="N2197" s="1588"/>
      <c r="R2197" s="1588" t="s">
        <v>1526</v>
      </c>
      <c r="T2197" s="1590" t="str">
        <f t="shared" ref="T2197" si="371">IF(Q$706="Yes",9,"")</f>
        <v/>
      </c>
    </row>
    <row r="2198" spans="1:20" x14ac:dyDescent="0.25">
      <c r="A2198" s="1587" t="s">
        <v>2103</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1517</v>
      </c>
      <c r="F2198" s="1590" t="s">
        <v>2103</v>
      </c>
      <c r="G2198" s="1590" t="str">
        <f t="shared" si="363"/>
        <v/>
      </c>
      <c r="H2198" s="1590" t="s">
        <v>1991</v>
      </c>
      <c r="I2198" s="1588"/>
      <c r="J2198" s="1588" t="str">
        <f t="shared" si="361"/>
        <v>F1318</v>
      </c>
      <c r="K2198" s="1588"/>
      <c r="L2198" s="1588"/>
      <c r="M2198" s="1589">
        <v>1318</v>
      </c>
      <c r="N2198" s="1588"/>
      <c r="R2198" s="1588" t="s">
        <v>1526</v>
      </c>
      <c r="T2198" s="1590" t="str">
        <f t="shared" ref="T2198" si="372">IF(Q$736="Yes",10,"")</f>
        <v/>
      </c>
    </row>
    <row r="2199" spans="1:20" x14ac:dyDescent="0.25">
      <c r="A2199" s="1587" t="s">
        <v>2103</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1517</v>
      </c>
      <c r="F2199" s="1590" t="s">
        <v>2103</v>
      </c>
      <c r="G2199" s="1590" t="str">
        <f t="shared" si="363"/>
        <v/>
      </c>
      <c r="H2199" s="1590" t="s">
        <v>1991</v>
      </c>
      <c r="I2199" s="1588"/>
      <c r="J2199" s="1588" t="str">
        <f t="shared" si="361"/>
        <v>F1319</v>
      </c>
      <c r="K2199" s="1588"/>
      <c r="L2199" s="1588"/>
      <c r="M2199" s="1589">
        <v>1319</v>
      </c>
      <c r="N2199" s="1588"/>
      <c r="R2199" s="1588" t="s">
        <v>1532</v>
      </c>
      <c r="T2199" s="1590" t="str">
        <f t="shared" ref="T2199" si="373">IF(Q$766="Yes",11,"")</f>
        <v/>
      </c>
    </row>
    <row r="2200" spans="1:20" x14ac:dyDescent="0.25">
      <c r="A2200" s="1587" t="s">
        <v>2103</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1517</v>
      </c>
      <c r="F2200" s="1590" t="s">
        <v>2103</v>
      </c>
      <c r="G2200" s="1590" t="str">
        <f t="shared" si="363"/>
        <v/>
      </c>
      <c r="H2200" s="1590" t="s">
        <v>1991</v>
      </c>
      <c r="I2200" s="1588"/>
      <c r="J2200" s="1588" t="str">
        <f t="shared" si="361"/>
        <v>F1320</v>
      </c>
      <c r="K2200" s="1588"/>
      <c r="L2200" s="1588"/>
      <c r="M2200" s="1589">
        <v>1320</v>
      </c>
      <c r="N2200" s="1588"/>
      <c r="R2200" s="1588" t="s">
        <v>1532</v>
      </c>
      <c r="T2200" s="1590" t="str">
        <f t="shared" ref="T2200" si="374">IF(Q$781="Yes",12,"")</f>
        <v/>
      </c>
    </row>
    <row r="2201" spans="1:20" x14ac:dyDescent="0.25">
      <c r="A2201" s="1587" t="s">
        <v>2103</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1517</v>
      </c>
      <c r="F2201" s="1590" t="s">
        <v>2103</v>
      </c>
      <c r="G2201" s="1590" t="str">
        <f t="shared" si="363"/>
        <v/>
      </c>
      <c r="H2201" s="1590" t="s">
        <v>1991</v>
      </c>
      <c r="I2201" s="1588"/>
      <c r="J2201" s="1588" t="str">
        <f t="shared" si="361"/>
        <v>F1321</v>
      </c>
      <c r="K2201" s="1588"/>
      <c r="L2201" s="1588"/>
      <c r="M2201" s="1589">
        <v>1321</v>
      </c>
      <c r="N2201" s="1588"/>
      <c r="R2201" s="1588" t="s">
        <v>1532</v>
      </c>
      <c r="T2201" s="1590" t="str">
        <f t="shared" ref="T2201" si="375">IF(Q$796="Yes",13,"")</f>
        <v/>
      </c>
    </row>
    <row r="2202" spans="1:20" x14ac:dyDescent="0.25">
      <c r="A2202" s="1587" t="s">
        <v>2103</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1517</v>
      </c>
      <c r="F2202" s="1590" t="s">
        <v>2103</v>
      </c>
      <c r="G2202" s="1590" t="str">
        <f t="shared" si="363"/>
        <v/>
      </c>
      <c r="H2202" s="1590" t="s">
        <v>1991</v>
      </c>
      <c r="I2202" s="1588"/>
      <c r="J2202" s="1588" t="str">
        <f t="shared" si="361"/>
        <v>F1322</v>
      </c>
      <c r="K2202" s="1588"/>
      <c r="L2202" s="1588"/>
      <c r="M2202" s="1589">
        <v>1322</v>
      </c>
      <c r="N2202" s="1588"/>
      <c r="R2202" s="1588" t="s">
        <v>1532</v>
      </c>
      <c r="T2202" s="1590" t="str">
        <f t="shared" ref="T2202" si="376">IF(Q$814="Yes",14,"")</f>
        <v/>
      </c>
    </row>
    <row r="2203" spans="1:20" x14ac:dyDescent="0.25">
      <c r="A2203" s="1587" t="s">
        <v>2103</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1517</v>
      </c>
      <c r="F2203" s="1590" t="s">
        <v>2103</v>
      </c>
      <c r="G2203" s="1590" t="str">
        <f t="shared" si="363"/>
        <v/>
      </c>
      <c r="H2203" s="1590" t="s">
        <v>1991</v>
      </c>
      <c r="I2203" s="1588"/>
      <c r="J2203" s="1588" t="str">
        <f t="shared" si="361"/>
        <v>F1323</v>
      </c>
      <c r="K2203" s="1588"/>
      <c r="L2203" s="1588"/>
      <c r="M2203" s="1589">
        <v>1323</v>
      </c>
      <c r="N2203" s="1588"/>
      <c r="R2203" s="1588" t="s">
        <v>1532</v>
      </c>
      <c r="T2203" s="1590" t="str">
        <f t="shared" ref="T2203" si="377">IF(Q$832="Yes",15,"")</f>
        <v/>
      </c>
    </row>
    <row r="2204" spans="1:20" x14ac:dyDescent="0.25">
      <c r="A2204" s="1587" t="s">
        <v>2103</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1517</v>
      </c>
      <c r="F2204" s="1590" t="s">
        <v>2103</v>
      </c>
      <c r="G2204" s="1590" t="str">
        <f t="shared" si="363"/>
        <v/>
      </c>
      <c r="H2204" s="1590" t="s">
        <v>1991</v>
      </c>
      <c r="I2204" s="1588"/>
      <c r="J2204" s="1588" t="str">
        <f t="shared" si="361"/>
        <v>F1324</v>
      </c>
      <c r="K2204" s="1588"/>
      <c r="L2204" s="1588"/>
      <c r="M2204" s="1589">
        <v>1324</v>
      </c>
      <c r="N2204" s="1588"/>
      <c r="R2204" s="1588" t="s">
        <v>1532</v>
      </c>
      <c r="T2204" s="1590" t="str">
        <f t="shared" ref="T2204" si="378">IF(Q$862="Yes",16,"")</f>
        <v/>
      </c>
    </row>
    <row r="2205" spans="1:20" x14ac:dyDescent="0.25">
      <c r="A2205" s="1587" t="s">
        <v>2103</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1517</v>
      </c>
      <c r="F2205" s="1590" t="s">
        <v>2103</v>
      </c>
      <c r="G2205" s="1590" t="str">
        <f t="shared" si="363"/>
        <v/>
      </c>
      <c r="H2205" s="1590" t="s">
        <v>1991</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2103</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1517</v>
      </c>
      <c r="F2206" s="1590" t="s">
        <v>2103</v>
      </c>
      <c r="G2206" s="1590" t="str">
        <f t="shared" si="363"/>
        <v/>
      </c>
      <c r="H2206" s="1590" t="s">
        <v>1991</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2103</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1517</v>
      </c>
      <c r="F2207" s="1590" t="s">
        <v>2103</v>
      </c>
      <c r="G2207" s="1590" t="str">
        <f t="shared" si="363"/>
        <v/>
      </c>
      <c r="H2207" s="1590" t="s">
        <v>1991</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2103</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1517</v>
      </c>
      <c r="F2208" s="1590" t="s">
        <v>2103</v>
      </c>
      <c r="G2208" s="1590" t="str">
        <f t="shared" si="363"/>
        <v/>
      </c>
      <c r="H2208" s="1590" t="s">
        <v>1991</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2103</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1517</v>
      </c>
      <c r="F2209" s="1590" t="s">
        <v>2103</v>
      </c>
      <c r="G2209" s="1590" t="str">
        <f t="shared" si="363"/>
        <v/>
      </c>
      <c r="H2209" s="1590" t="s">
        <v>1991</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2103</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1517</v>
      </c>
      <c r="F2210" s="1590" t="s">
        <v>2103</v>
      </c>
      <c r="G2210" s="1590" t="str">
        <f t="shared" si="363"/>
        <v/>
      </c>
      <c r="H2210" s="1590" t="s">
        <v>1991</v>
      </c>
      <c r="I2210" s="1588"/>
      <c r="J2210" s="1588" t="str">
        <f t="shared" si="361"/>
        <v>F1330</v>
      </c>
      <c r="K2210" s="1588"/>
      <c r="L2210" s="1588"/>
      <c r="M2210" s="1589">
        <v>1330</v>
      </c>
      <c r="N2210" s="1588"/>
      <c r="R2210" s="1588" t="s">
        <v>1697</v>
      </c>
      <c r="T2210" s="1590" t="str">
        <f t="shared" ref="T2210" si="384">IF(Q$987="Yes",22,"")</f>
        <v/>
      </c>
    </row>
    <row r="2211" spans="1:20" x14ac:dyDescent="0.25">
      <c r="A2211" s="1587" t="s">
        <v>2103</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1517</v>
      </c>
      <c r="F2211" s="1590" t="s">
        <v>2103</v>
      </c>
      <c r="G2211" s="1590" t="str">
        <f t="shared" si="363"/>
        <v/>
      </c>
      <c r="H2211" s="1590" t="s">
        <v>1991</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2103</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1517</v>
      </c>
      <c r="F2212" s="1590" t="s">
        <v>2103</v>
      </c>
      <c r="G2212" s="1590" t="str">
        <f t="shared" si="363"/>
        <v/>
      </c>
      <c r="H2212" s="1590" t="s">
        <v>1991</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00" t="s">
        <v>1497</v>
      </c>
      <c r="G2213" s="1600" t="str">
        <f t="shared" ref="G2213:G2221" si="387">IF(T2213&lt;&gt;"","AS","")</f>
        <v/>
      </c>
      <c r="H2213" s="1600" t="s">
        <v>1991</v>
      </c>
      <c r="I2213" s="1307" t="str">
        <f t="shared" ref="I2213:I2221" si="388">IF(J2213&lt;&gt;"",A2213,"")</f>
        <v/>
      </c>
      <c r="J2213" s="1600"/>
      <c r="K2213" s="1600" t="str">
        <f t="shared" ref="K2213:K2221" si="389">IF(J2213&lt;&gt;"",E2213,"")</f>
        <v/>
      </c>
      <c r="L2213" s="852"/>
      <c r="M2213" s="1601"/>
      <c r="N2213" s="1604"/>
      <c r="R2213" s="1604" t="s">
        <v>2044</v>
      </c>
      <c r="T2213" s="1602" t="str">
        <f t="shared" ref="T2213" si="390">IF(Q$1991="Yes",36,"")</f>
        <v/>
      </c>
    </row>
    <row r="2214" spans="1:20" s="1599"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00" t="s">
        <v>1497</v>
      </c>
      <c r="G2214" s="1600" t="str">
        <f t="shared" si="387"/>
        <v/>
      </c>
      <c r="H2214" s="1600" t="s">
        <v>1991</v>
      </c>
      <c r="I2214" s="1307" t="str">
        <f t="shared" si="388"/>
        <v/>
      </c>
      <c r="J2214" s="1600"/>
      <c r="K2214" s="1600" t="str">
        <f t="shared" si="389"/>
        <v/>
      </c>
      <c r="L2214" s="852"/>
      <c r="M2214" s="1601"/>
      <c r="N2214" s="1600"/>
      <c r="R2214" s="1600" t="s">
        <v>2045</v>
      </c>
      <c r="T2214" s="1604" t="str">
        <f>IF(Q$2002="Yes",37,"")</f>
        <v/>
      </c>
    </row>
    <row r="2215" spans="1:20" s="1599"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00" t="s">
        <v>1497</v>
      </c>
      <c r="G2215" s="1600" t="str">
        <f t="shared" si="387"/>
        <v/>
      </c>
      <c r="H2215" s="1600" t="s">
        <v>1991</v>
      </c>
      <c r="I2215" s="1307" t="str">
        <f t="shared" si="388"/>
        <v/>
      </c>
      <c r="J2215" s="1600"/>
      <c r="K2215" s="1600" t="str">
        <f t="shared" si="389"/>
        <v/>
      </c>
      <c r="L2215" s="852"/>
      <c r="M2215" s="1601"/>
      <c r="N2215" s="1600"/>
      <c r="R2215" s="1600" t="s">
        <v>2046</v>
      </c>
      <c r="T2215" s="1604" t="str">
        <f>IF(Q$2013="Yes",38,"")</f>
        <v/>
      </c>
    </row>
    <row r="2216" spans="1:20" s="1599"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00" t="s">
        <v>1497</v>
      </c>
      <c r="G2216" s="1600" t="str">
        <f t="shared" si="387"/>
        <v/>
      </c>
      <c r="H2216" s="1600" t="s">
        <v>1991</v>
      </c>
      <c r="I2216" s="1307" t="str">
        <f t="shared" si="388"/>
        <v/>
      </c>
      <c r="J2216" s="1600"/>
      <c r="K2216" s="1600" t="str">
        <f t="shared" si="389"/>
        <v/>
      </c>
      <c r="L2216" s="852"/>
      <c r="M2216" s="1601"/>
      <c r="N2216" s="1600"/>
      <c r="R2216" s="1600" t="s">
        <v>2047</v>
      </c>
      <c r="T2216" s="1604" t="str">
        <f>IF(Q$2024="Yes",39,"")</f>
        <v/>
      </c>
    </row>
    <row r="2217" spans="1:20" s="1599"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00" t="s">
        <v>1497</v>
      </c>
      <c r="G2217" s="1600" t="str">
        <f t="shared" si="387"/>
        <v/>
      </c>
      <c r="H2217" s="1600" t="s">
        <v>1991</v>
      </c>
      <c r="I2217" s="1307" t="str">
        <f t="shared" si="388"/>
        <v/>
      </c>
      <c r="J2217" s="1600"/>
      <c r="K2217" s="1600" t="str">
        <f t="shared" si="389"/>
        <v/>
      </c>
      <c r="L2217" s="852"/>
      <c r="M2217" s="1601"/>
      <c r="N2217" s="1600"/>
      <c r="R2217" s="1600" t="s">
        <v>2048</v>
      </c>
      <c r="T2217" s="1604" t="str">
        <f>IF(Q$2035="Yes",40,"")</f>
        <v/>
      </c>
    </row>
    <row r="2218" spans="1:20" s="1599"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00" t="s">
        <v>1497</v>
      </c>
      <c r="G2218" s="1600" t="str">
        <f t="shared" si="387"/>
        <v/>
      </c>
      <c r="H2218" s="1600" t="s">
        <v>1991</v>
      </c>
      <c r="I2218" s="1307" t="str">
        <f t="shared" si="388"/>
        <v/>
      </c>
      <c r="J2218" s="1600"/>
      <c r="K2218" s="1600" t="str">
        <f t="shared" si="389"/>
        <v/>
      </c>
      <c r="L2218" s="852"/>
      <c r="M2218" s="1601"/>
      <c r="N2218" s="1600"/>
      <c r="R2218" s="1600" t="s">
        <v>2049</v>
      </c>
      <c r="T2218" s="1604" t="str">
        <f>IF(Q$2046="Yes",41,"")</f>
        <v/>
      </c>
    </row>
    <row r="2219" spans="1:20" s="1599"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00" t="s">
        <v>1497</v>
      </c>
      <c r="G2219" s="1600" t="str">
        <f t="shared" si="387"/>
        <v/>
      </c>
      <c r="H2219" s="1600" t="s">
        <v>1991</v>
      </c>
      <c r="I2219" s="1307" t="str">
        <f t="shared" si="388"/>
        <v/>
      </c>
      <c r="J2219" s="1600"/>
      <c r="K2219" s="1600" t="str">
        <f t="shared" si="389"/>
        <v/>
      </c>
      <c r="L2219" s="852"/>
      <c r="M2219" s="1601"/>
      <c r="N2219" s="1600"/>
      <c r="R2219" s="1600" t="s">
        <v>2050</v>
      </c>
      <c r="T2219" s="1604" t="str">
        <f>IF(Q$2057="Yes",42,"")</f>
        <v/>
      </c>
    </row>
    <row r="2220" spans="1:20" s="1599"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00" t="s">
        <v>1497</v>
      </c>
      <c r="G2220" s="1600" t="str">
        <f t="shared" si="387"/>
        <v/>
      </c>
      <c r="H2220" s="1600" t="s">
        <v>1991</v>
      </c>
      <c r="I2220" s="1307" t="str">
        <f t="shared" si="388"/>
        <v/>
      </c>
      <c r="J2220" s="1600"/>
      <c r="K2220" s="1600" t="str">
        <f t="shared" si="389"/>
        <v/>
      </c>
      <c r="L2220" s="852"/>
      <c r="M2220" s="1601"/>
      <c r="N2220" s="1600"/>
      <c r="R2220" s="1600" t="s">
        <v>2051</v>
      </c>
      <c r="T2220" s="1604" t="str">
        <f>IF(Q$2068="Yes",43,"")</f>
        <v/>
      </c>
    </row>
    <row r="2221" spans="1:20" s="1599"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00" t="s">
        <v>1497</v>
      </c>
      <c r="G2221" s="1600" t="str">
        <f t="shared" si="387"/>
        <v/>
      </c>
      <c r="H2221" s="1600" t="s">
        <v>1991</v>
      </c>
      <c r="I2221" s="1307" t="str">
        <f t="shared" si="388"/>
        <v/>
      </c>
      <c r="J2221" s="1600"/>
      <c r="K2221" s="1600" t="str">
        <f t="shared" si="389"/>
        <v/>
      </c>
      <c r="L2221" s="852"/>
      <c r="M2221" s="1601"/>
      <c r="N2221" s="1600"/>
      <c r="R2221" s="1600" t="s">
        <v>2052</v>
      </c>
      <c r="T2221" s="1604" t="str">
        <f>IF(Q$2079="Yes",44,"")</f>
        <v/>
      </c>
    </row>
    <row r="2222" spans="1:20" s="1603"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04" t="s">
        <v>1496</v>
      </c>
      <c r="G2222" s="1604" t="str">
        <f>IF(T2222&lt;&gt;"","AN","")</f>
        <v/>
      </c>
      <c r="H2222" s="1604" t="s">
        <v>1991</v>
      </c>
      <c r="I2222" s="1307"/>
      <c r="J2222" s="1604"/>
      <c r="K2222" s="1604"/>
      <c r="L2222" s="852"/>
      <c r="M2222" s="1605"/>
      <c r="N2222" s="1604"/>
      <c r="O2222" s="1606"/>
      <c r="P2222" s="625"/>
      <c r="Q2222" s="625"/>
      <c r="R2222" s="1604" t="s">
        <v>2044</v>
      </c>
      <c r="T2222" s="1604" t="str">
        <f t="shared" ref="T2222:T2228" si="391">IF(Q$1991="Yes",36,"")</f>
        <v/>
      </c>
    </row>
    <row r="2223" spans="1:20" s="1603"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04" t="s">
        <v>1493</v>
      </c>
      <c r="G2223" s="1604" t="str">
        <f>IF(T2223&lt;&gt;"","AL","")</f>
        <v/>
      </c>
      <c r="H2223" s="1604" t="s">
        <v>1991</v>
      </c>
      <c r="I2223" s="1307"/>
      <c r="J2223" s="1604"/>
      <c r="K2223" s="1604"/>
      <c r="L2223" s="852"/>
      <c r="M2223" s="1605"/>
      <c r="N2223" s="1604"/>
      <c r="O2223" s="625"/>
      <c r="P2223" s="625"/>
      <c r="Q2223" s="625"/>
      <c r="R2223" s="1604" t="s">
        <v>2044</v>
      </c>
      <c r="T2223" s="1604" t="str">
        <f t="shared" si="391"/>
        <v/>
      </c>
    </row>
    <row r="2224" spans="1:20" s="160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04" t="s">
        <v>1992</v>
      </c>
      <c r="G2224" s="1604" t="str">
        <f>IF(T2224&lt;&gt;"","E","")</f>
        <v/>
      </c>
      <c r="H2224" s="1604" t="s">
        <v>1991</v>
      </c>
      <c r="I2224" s="1307"/>
      <c r="J2224" s="1604"/>
      <c r="K2224" s="1604"/>
      <c r="L2224" s="852"/>
      <c r="M2224" s="1605"/>
      <c r="N2224" s="1604"/>
      <c r="O2224" s="625"/>
      <c r="P2224" s="625"/>
      <c r="Q2224" s="625"/>
      <c r="R2224" s="1604" t="s">
        <v>2044</v>
      </c>
      <c r="T2224" s="1604" t="str">
        <f t="shared" si="391"/>
        <v/>
      </c>
    </row>
    <row r="2225" spans="1:20" s="1603"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04" t="s">
        <v>1996</v>
      </c>
      <c r="G2225" s="1604" t="str">
        <f>IF(T2225&lt;&gt;"","G","")</f>
        <v/>
      </c>
      <c r="H2225" s="1604" t="s">
        <v>1991</v>
      </c>
      <c r="I2225" s="1307"/>
      <c r="J2225" s="1604"/>
      <c r="K2225" s="1604"/>
      <c r="L2225" s="852"/>
      <c r="M2225" s="1605"/>
      <c r="N2225" s="1604"/>
      <c r="O2225" s="625"/>
      <c r="P2225" s="625"/>
      <c r="Q2225" s="625"/>
      <c r="R2225" s="1604" t="s">
        <v>2044</v>
      </c>
      <c r="T2225" s="1604" t="str">
        <f t="shared" si="391"/>
        <v/>
      </c>
    </row>
    <row r="2226" spans="1:20" s="1603"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04" t="str">
        <f>IF(T2226&lt;&gt;"","AW","")</f>
        <v/>
      </c>
      <c r="H2226" s="1604" t="s">
        <v>1991</v>
      </c>
      <c r="I2226" s="1307"/>
      <c r="J2226" s="1604"/>
      <c r="K2226" s="1604"/>
      <c r="L2226" s="852"/>
      <c r="M2226" s="1605"/>
      <c r="N2226" s="1604"/>
      <c r="O2226" s="625"/>
      <c r="P2226" s="625"/>
      <c r="Q2226" s="625"/>
      <c r="R2226" s="1604" t="s">
        <v>2044</v>
      </c>
      <c r="T2226" s="1604" t="str">
        <f t="shared" si="391"/>
        <v/>
      </c>
    </row>
    <row r="2227" spans="1:20" s="1603"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04" t="s">
        <v>2000</v>
      </c>
      <c r="G2227" s="1604" t="str">
        <f t="shared" ref="G2227" si="392">IF(T2227&lt;&gt;"","AB","")</f>
        <v/>
      </c>
      <c r="H2227" s="1604" t="s">
        <v>1991</v>
      </c>
      <c r="I2227" s="1307"/>
      <c r="J2227" s="1604"/>
      <c r="K2227" s="1604"/>
      <c r="L2227" s="852"/>
      <c r="M2227" s="1605"/>
      <c r="N2227" s="1604"/>
      <c r="O2227" s="625"/>
      <c r="P2227" s="625"/>
      <c r="Q2227" s="625"/>
      <c r="R2227" s="1604" t="s">
        <v>2044</v>
      </c>
      <c r="T2227" s="1604" t="str">
        <f t="shared" si="391"/>
        <v/>
      </c>
    </row>
    <row r="2228" spans="1:20" s="1603"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04" t="s">
        <v>1605</v>
      </c>
      <c r="G2228" s="1604" t="str">
        <f t="shared" ref="G2228" si="393">IF(T2228&lt;&gt;"","AP","")</f>
        <v/>
      </c>
      <c r="H2228" s="1604" t="s">
        <v>1991</v>
      </c>
      <c r="I2228" s="1307"/>
      <c r="J2228" s="1604"/>
      <c r="K2228" s="1604"/>
      <c r="L2228" s="852"/>
      <c r="M2228" s="1605"/>
      <c r="N2228" s="1604"/>
      <c r="O2228" s="625"/>
      <c r="P2228" s="625"/>
      <c r="Q2228" s="625"/>
      <c r="R2228" s="1604" t="s">
        <v>2044</v>
      </c>
      <c r="T2228" s="1604" t="str">
        <f t="shared" si="391"/>
        <v/>
      </c>
    </row>
    <row r="2229" spans="1:20" s="1603"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04" t="s">
        <v>1496</v>
      </c>
      <c r="G2229" s="1604" t="str">
        <f>IF(T2229&lt;&gt;"","AN","")</f>
        <v/>
      </c>
      <c r="H2229" s="1604" t="s">
        <v>1991</v>
      </c>
      <c r="I2229" s="1307"/>
      <c r="J2229" s="1604"/>
      <c r="K2229" s="1604"/>
      <c r="L2229" s="852"/>
      <c r="M2229" s="1605"/>
      <c r="N2229" s="1604"/>
      <c r="O2229" s="1606"/>
      <c r="P2229" s="625"/>
      <c r="Q2229" s="625"/>
      <c r="R2229" s="1604" t="s">
        <v>2045</v>
      </c>
      <c r="T2229" s="1604" t="str">
        <f t="shared" ref="T2229:T2235" si="394">IF(Q$2002="Yes",37,"")</f>
        <v/>
      </c>
    </row>
    <row r="2230" spans="1:20" s="1603"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04" t="s">
        <v>1493</v>
      </c>
      <c r="G2230" s="1604" t="str">
        <f>IF(T2230&lt;&gt;"","AL","")</f>
        <v/>
      </c>
      <c r="H2230" s="1604" t="s">
        <v>1991</v>
      </c>
      <c r="I2230" s="1307"/>
      <c r="J2230" s="1604"/>
      <c r="K2230" s="1604"/>
      <c r="L2230" s="852"/>
      <c r="M2230" s="1605"/>
      <c r="N2230" s="1604"/>
      <c r="O2230" s="625"/>
      <c r="P2230" s="625"/>
      <c r="Q2230" s="625"/>
      <c r="R2230" s="1604" t="s">
        <v>2045</v>
      </c>
      <c r="T2230" s="1604" t="str">
        <f t="shared" si="394"/>
        <v/>
      </c>
    </row>
    <row r="2231" spans="1:20" s="160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04" t="s">
        <v>1992</v>
      </c>
      <c r="G2231" s="1604" t="str">
        <f>IF(T2231&lt;&gt;"","E","")</f>
        <v/>
      </c>
      <c r="H2231" s="1604" t="s">
        <v>1991</v>
      </c>
      <c r="I2231" s="1307"/>
      <c r="J2231" s="1604"/>
      <c r="K2231" s="1604"/>
      <c r="L2231" s="852"/>
      <c r="M2231" s="1605"/>
      <c r="N2231" s="1604"/>
      <c r="O2231" s="625"/>
      <c r="P2231" s="625"/>
      <c r="Q2231" s="625"/>
      <c r="R2231" s="1604" t="s">
        <v>2045</v>
      </c>
      <c r="T2231" s="1604" t="str">
        <f t="shared" si="394"/>
        <v/>
      </c>
    </row>
    <row r="2232" spans="1:20" s="1603"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04" t="s">
        <v>1996</v>
      </c>
      <c r="G2232" s="1604" t="str">
        <f>IF(T2232&lt;&gt;"","G","")</f>
        <v/>
      </c>
      <c r="H2232" s="1604" t="s">
        <v>1991</v>
      </c>
      <c r="I2232" s="1307"/>
      <c r="J2232" s="1604"/>
      <c r="K2232" s="1604"/>
      <c r="L2232" s="852"/>
      <c r="M2232" s="1605"/>
      <c r="N2232" s="1604"/>
      <c r="O2232" s="625"/>
      <c r="P2232" s="625"/>
      <c r="Q2232" s="625"/>
      <c r="R2232" s="1604" t="s">
        <v>2045</v>
      </c>
      <c r="T2232" s="1604" t="str">
        <f t="shared" si="394"/>
        <v/>
      </c>
    </row>
    <row r="2233" spans="1:20" s="1603"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04" t="str">
        <f>IF(T2233&lt;&gt;"","AW","")</f>
        <v/>
      </c>
      <c r="H2233" s="1604" t="s">
        <v>1991</v>
      </c>
      <c r="I2233" s="1307"/>
      <c r="J2233" s="1604"/>
      <c r="K2233" s="1604"/>
      <c r="L2233" s="852"/>
      <c r="M2233" s="1605"/>
      <c r="N2233" s="1604"/>
      <c r="O2233" s="625"/>
      <c r="P2233" s="625"/>
      <c r="Q2233" s="625"/>
      <c r="R2233" s="1604" t="s">
        <v>2045</v>
      </c>
      <c r="T2233" s="1604" t="str">
        <f t="shared" si="394"/>
        <v/>
      </c>
    </row>
    <row r="2234" spans="1:20" s="1603"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04" t="s">
        <v>2000</v>
      </c>
      <c r="G2234" s="1604" t="str">
        <f t="shared" ref="G2234" si="395">IF(T2234&lt;&gt;"","AB","")</f>
        <v/>
      </c>
      <c r="H2234" s="1604" t="s">
        <v>1991</v>
      </c>
      <c r="I2234" s="1307"/>
      <c r="J2234" s="1604"/>
      <c r="K2234" s="1604"/>
      <c r="L2234" s="852"/>
      <c r="M2234" s="1605"/>
      <c r="N2234" s="1604"/>
      <c r="O2234" s="625"/>
      <c r="P2234" s="625"/>
      <c r="Q2234" s="625"/>
      <c r="R2234" s="1604" t="s">
        <v>2045</v>
      </c>
      <c r="T2234" s="1604" t="str">
        <f t="shared" si="394"/>
        <v/>
      </c>
    </row>
    <row r="2235" spans="1:20" s="1603"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04" t="s">
        <v>1605</v>
      </c>
      <c r="G2235" s="1604" t="str">
        <f t="shared" ref="G2235" si="396">IF(T2235&lt;&gt;"","AP","")</f>
        <v/>
      </c>
      <c r="H2235" s="1604" t="s">
        <v>1991</v>
      </c>
      <c r="I2235" s="1307"/>
      <c r="J2235" s="1604"/>
      <c r="K2235" s="1604"/>
      <c r="L2235" s="852"/>
      <c r="M2235" s="1605"/>
      <c r="N2235" s="1604"/>
      <c r="O2235" s="625"/>
      <c r="P2235" s="625"/>
      <c r="Q2235" s="625"/>
      <c r="R2235" s="1604" t="s">
        <v>2045</v>
      </c>
      <c r="T2235" s="1604" t="str">
        <f t="shared" si="394"/>
        <v/>
      </c>
    </row>
    <row r="2236" spans="1:20" s="1603"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04" t="s">
        <v>1496</v>
      </c>
      <c r="G2236" s="1604" t="str">
        <f>IF(T2236&lt;&gt;"","AN","")</f>
        <v/>
      </c>
      <c r="H2236" s="1604" t="s">
        <v>1991</v>
      </c>
      <c r="I2236" s="1307"/>
      <c r="J2236" s="1604"/>
      <c r="K2236" s="1604"/>
      <c r="L2236" s="852"/>
      <c r="M2236" s="1605"/>
      <c r="N2236" s="1604"/>
      <c r="O2236" s="1606"/>
      <c r="P2236" s="625"/>
      <c r="Q2236" s="625"/>
      <c r="R2236" s="1604" t="s">
        <v>2046</v>
      </c>
      <c r="T2236" s="1604" t="str">
        <f t="shared" ref="T2236:T2242" si="397">IF(Q$2013="Yes",38,"")</f>
        <v/>
      </c>
    </row>
    <row r="2237" spans="1:20" s="1603"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04" t="s">
        <v>1493</v>
      </c>
      <c r="G2237" s="1604" t="str">
        <f>IF(T2237&lt;&gt;"","AL","")</f>
        <v/>
      </c>
      <c r="H2237" s="1604" t="s">
        <v>1991</v>
      </c>
      <c r="I2237" s="1307"/>
      <c r="J2237" s="1604"/>
      <c r="K2237" s="1604"/>
      <c r="L2237" s="852"/>
      <c r="M2237" s="1605"/>
      <c r="N2237" s="1604"/>
      <c r="O2237" s="625"/>
      <c r="P2237" s="625"/>
      <c r="Q2237" s="625"/>
      <c r="R2237" s="1604" t="s">
        <v>2046</v>
      </c>
      <c r="T2237" s="1604" t="str">
        <f t="shared" si="397"/>
        <v/>
      </c>
    </row>
    <row r="2238" spans="1:20" s="160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04" t="s">
        <v>1992</v>
      </c>
      <c r="G2238" s="1604" t="str">
        <f>IF(T2238&lt;&gt;"","E","")</f>
        <v/>
      </c>
      <c r="H2238" s="1604" t="s">
        <v>1991</v>
      </c>
      <c r="I2238" s="1307"/>
      <c r="J2238" s="1604"/>
      <c r="K2238" s="1604"/>
      <c r="L2238" s="852"/>
      <c r="M2238" s="1605"/>
      <c r="N2238" s="1604"/>
      <c r="O2238" s="625"/>
      <c r="P2238" s="625"/>
      <c r="Q2238" s="625"/>
      <c r="R2238" s="1604" t="s">
        <v>2046</v>
      </c>
      <c r="T2238" s="1604" t="str">
        <f t="shared" si="397"/>
        <v/>
      </c>
    </row>
    <row r="2239" spans="1:20" s="1603"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04" t="s">
        <v>1996</v>
      </c>
      <c r="G2239" s="1604" t="str">
        <f>IF(T2239&lt;&gt;"","G","")</f>
        <v/>
      </c>
      <c r="H2239" s="1604" t="s">
        <v>1991</v>
      </c>
      <c r="I2239" s="1307"/>
      <c r="J2239" s="1604"/>
      <c r="K2239" s="1604"/>
      <c r="L2239" s="852"/>
      <c r="M2239" s="1605"/>
      <c r="N2239" s="1604"/>
      <c r="O2239" s="625"/>
      <c r="P2239" s="625"/>
      <c r="Q2239" s="625"/>
      <c r="R2239" s="1604" t="s">
        <v>2046</v>
      </c>
      <c r="T2239" s="1604" t="str">
        <f t="shared" si="397"/>
        <v/>
      </c>
    </row>
    <row r="2240" spans="1:20" s="1603"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04" t="str">
        <f>IF(T2240&lt;&gt;"","AW","")</f>
        <v/>
      </c>
      <c r="H2240" s="1604" t="s">
        <v>1991</v>
      </c>
      <c r="I2240" s="1307"/>
      <c r="J2240" s="1604"/>
      <c r="K2240" s="1604"/>
      <c r="L2240" s="852"/>
      <c r="M2240" s="1605"/>
      <c r="N2240" s="1604"/>
      <c r="O2240" s="625"/>
      <c r="P2240" s="625"/>
      <c r="Q2240" s="625"/>
      <c r="R2240" s="1604" t="s">
        <v>2046</v>
      </c>
      <c r="T2240" s="1604" t="str">
        <f t="shared" si="397"/>
        <v/>
      </c>
    </row>
    <row r="2241" spans="1:20" s="1603"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04" t="s">
        <v>2000</v>
      </c>
      <c r="G2241" s="1604" t="str">
        <f t="shared" ref="G2241" si="398">IF(T2241&lt;&gt;"","AB","")</f>
        <v/>
      </c>
      <c r="H2241" s="1604" t="s">
        <v>1991</v>
      </c>
      <c r="I2241" s="1307"/>
      <c r="J2241" s="1604"/>
      <c r="K2241" s="1604"/>
      <c r="L2241" s="852"/>
      <c r="M2241" s="1605"/>
      <c r="N2241" s="1604"/>
      <c r="O2241" s="625"/>
      <c r="P2241" s="625"/>
      <c r="Q2241" s="625"/>
      <c r="R2241" s="1604" t="s">
        <v>2046</v>
      </c>
      <c r="T2241" s="1604" t="str">
        <f t="shared" si="397"/>
        <v/>
      </c>
    </row>
    <row r="2242" spans="1:20" s="1603"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04" t="s">
        <v>1605</v>
      </c>
      <c r="G2242" s="1604" t="str">
        <f t="shared" ref="G2242" si="399">IF(T2242&lt;&gt;"","AP","")</f>
        <v/>
      </c>
      <c r="H2242" s="1604" t="s">
        <v>1991</v>
      </c>
      <c r="I2242" s="1307"/>
      <c r="J2242" s="1604"/>
      <c r="K2242" s="1604"/>
      <c r="L2242" s="852"/>
      <c r="M2242" s="1605"/>
      <c r="N2242" s="1604"/>
      <c r="O2242" s="625"/>
      <c r="P2242" s="625"/>
      <c r="Q2242" s="625"/>
      <c r="R2242" s="1604" t="s">
        <v>2046</v>
      </c>
      <c r="T2242" s="1604" t="str">
        <f t="shared" si="397"/>
        <v/>
      </c>
    </row>
    <row r="2243" spans="1:20" s="1603"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04" t="s">
        <v>1496</v>
      </c>
      <c r="G2243" s="1604" t="str">
        <f>IF(T2243&lt;&gt;"","AN","")</f>
        <v/>
      </c>
      <c r="H2243" s="1604" t="s">
        <v>1991</v>
      </c>
      <c r="I2243" s="1307"/>
      <c r="J2243" s="1604"/>
      <c r="K2243" s="1604"/>
      <c r="L2243" s="852"/>
      <c r="M2243" s="1605"/>
      <c r="N2243" s="1604"/>
      <c r="O2243" s="1606"/>
      <c r="P2243" s="625"/>
      <c r="Q2243" s="625"/>
      <c r="R2243" s="1604" t="s">
        <v>2047</v>
      </c>
      <c r="T2243" s="1604" t="str">
        <f t="shared" ref="T2243:T2249" si="400">IF(Q$2024="Yes",39,"")</f>
        <v/>
      </c>
    </row>
    <row r="2244" spans="1:20" s="1603"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04" t="s">
        <v>1493</v>
      </c>
      <c r="G2244" s="1604" t="str">
        <f>IF(T2244&lt;&gt;"","AL","")</f>
        <v/>
      </c>
      <c r="H2244" s="1604" t="s">
        <v>1991</v>
      </c>
      <c r="I2244" s="1307"/>
      <c r="J2244" s="1604"/>
      <c r="K2244" s="1604"/>
      <c r="L2244" s="852"/>
      <c r="M2244" s="1605"/>
      <c r="N2244" s="1604"/>
      <c r="O2244" s="625"/>
      <c r="P2244" s="625"/>
      <c r="Q2244" s="625"/>
      <c r="R2244" s="1604" t="s">
        <v>2047</v>
      </c>
      <c r="T2244" s="1604" t="str">
        <f t="shared" si="400"/>
        <v/>
      </c>
    </row>
    <row r="2245" spans="1:20" s="160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04" t="s">
        <v>1992</v>
      </c>
      <c r="G2245" s="1604" t="str">
        <f>IF(T2245&lt;&gt;"","E","")</f>
        <v/>
      </c>
      <c r="H2245" s="1604" t="s">
        <v>1991</v>
      </c>
      <c r="I2245" s="1307"/>
      <c r="J2245" s="1604"/>
      <c r="K2245" s="1604"/>
      <c r="L2245" s="852"/>
      <c r="M2245" s="1605"/>
      <c r="N2245" s="1604"/>
      <c r="O2245" s="625"/>
      <c r="P2245" s="625"/>
      <c r="Q2245" s="625"/>
      <c r="R2245" s="1604" t="s">
        <v>2047</v>
      </c>
      <c r="T2245" s="1604" t="str">
        <f t="shared" si="400"/>
        <v/>
      </c>
    </row>
    <row r="2246" spans="1:20" s="1603"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04" t="s">
        <v>1996</v>
      </c>
      <c r="G2246" s="1604" t="str">
        <f>IF(T2246&lt;&gt;"","G","")</f>
        <v/>
      </c>
      <c r="H2246" s="1604" t="s">
        <v>1991</v>
      </c>
      <c r="I2246" s="1307"/>
      <c r="J2246" s="1604"/>
      <c r="K2246" s="1604"/>
      <c r="L2246" s="852"/>
      <c r="M2246" s="1605"/>
      <c r="N2246" s="1604"/>
      <c r="O2246" s="625"/>
      <c r="P2246" s="625"/>
      <c r="Q2246" s="625"/>
      <c r="R2246" s="1604" t="s">
        <v>2047</v>
      </c>
      <c r="T2246" s="1604" t="str">
        <f t="shared" si="400"/>
        <v/>
      </c>
    </row>
    <row r="2247" spans="1:20" s="1603"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04" t="str">
        <f>IF(T2247&lt;&gt;"","AW","")</f>
        <v/>
      </c>
      <c r="H2247" s="1604" t="s">
        <v>1991</v>
      </c>
      <c r="I2247" s="1307"/>
      <c r="J2247" s="1604"/>
      <c r="K2247" s="1604"/>
      <c r="L2247" s="852"/>
      <c r="M2247" s="1605"/>
      <c r="N2247" s="1604"/>
      <c r="O2247" s="625"/>
      <c r="P2247" s="625"/>
      <c r="Q2247" s="625"/>
      <c r="R2247" s="1604" t="s">
        <v>2047</v>
      </c>
      <c r="T2247" s="1604" t="str">
        <f t="shared" si="400"/>
        <v/>
      </c>
    </row>
    <row r="2248" spans="1:20" s="1603"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04" t="s">
        <v>2000</v>
      </c>
      <c r="G2248" s="1604" t="str">
        <f t="shared" ref="G2248" si="401">IF(T2248&lt;&gt;"","AB","")</f>
        <v/>
      </c>
      <c r="H2248" s="1604" t="s">
        <v>1991</v>
      </c>
      <c r="I2248" s="1307"/>
      <c r="J2248" s="1604"/>
      <c r="K2248" s="1604"/>
      <c r="L2248" s="852"/>
      <c r="M2248" s="1605"/>
      <c r="N2248" s="1604"/>
      <c r="R2248" s="1604" t="s">
        <v>2047</v>
      </c>
      <c r="T2248" s="1604" t="str">
        <f t="shared" si="400"/>
        <v/>
      </c>
    </row>
    <row r="2249" spans="1:20" s="1603"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04" t="s">
        <v>1605</v>
      </c>
      <c r="G2249" s="1604" t="str">
        <f t="shared" ref="G2249" si="402">IF(T2249&lt;&gt;"","AP","")</f>
        <v/>
      </c>
      <c r="H2249" s="1604" t="s">
        <v>1991</v>
      </c>
      <c r="I2249" s="1307"/>
      <c r="J2249" s="1604"/>
      <c r="K2249" s="1604"/>
      <c r="L2249" s="852"/>
      <c r="M2249" s="1605"/>
      <c r="N2249" s="1604"/>
      <c r="R2249" s="1604" t="s">
        <v>2047</v>
      </c>
      <c r="T2249" s="1604" t="str">
        <f t="shared" si="400"/>
        <v/>
      </c>
    </row>
    <row r="2250" spans="1:20" s="1603"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04" t="s">
        <v>1496</v>
      </c>
      <c r="G2250" s="1604" t="str">
        <f>IF(T2250&lt;&gt;"","AN","")</f>
        <v/>
      </c>
      <c r="H2250" s="1604" t="s">
        <v>1991</v>
      </c>
      <c r="I2250" s="1307"/>
      <c r="J2250" s="1604"/>
      <c r="K2250" s="1604"/>
      <c r="L2250" s="852"/>
      <c r="M2250" s="1605"/>
      <c r="N2250" s="1604"/>
      <c r="O2250" s="1606"/>
      <c r="P2250" s="625"/>
      <c r="Q2250" s="625"/>
      <c r="R2250" s="1604" t="s">
        <v>2048</v>
      </c>
      <c r="T2250" s="1604" t="str">
        <f t="shared" ref="T2250:T2256" si="403">IF(Q$2035="Yes",40,"")</f>
        <v/>
      </c>
    </row>
    <row r="2251" spans="1:20" s="1603"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04" t="s">
        <v>1493</v>
      </c>
      <c r="G2251" s="1604" t="str">
        <f>IF(T2251&lt;&gt;"","AL","")</f>
        <v/>
      </c>
      <c r="H2251" s="1604" t="s">
        <v>1991</v>
      </c>
      <c r="I2251" s="1307"/>
      <c r="J2251" s="1604"/>
      <c r="K2251" s="1604"/>
      <c r="L2251" s="852"/>
      <c r="M2251" s="1605"/>
      <c r="N2251" s="1604"/>
      <c r="O2251" s="625"/>
      <c r="P2251" s="625"/>
      <c r="Q2251" s="625"/>
      <c r="R2251" s="1604" t="s">
        <v>2048</v>
      </c>
      <c r="T2251" s="1604" t="str">
        <f t="shared" si="403"/>
        <v/>
      </c>
    </row>
    <row r="2252" spans="1:20" s="160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04" t="s">
        <v>1992</v>
      </c>
      <c r="G2252" s="1604" t="str">
        <f>IF(T2252&lt;&gt;"","E","")</f>
        <v/>
      </c>
      <c r="H2252" s="1604" t="s">
        <v>1991</v>
      </c>
      <c r="I2252" s="1307"/>
      <c r="J2252" s="1604"/>
      <c r="K2252" s="1604"/>
      <c r="L2252" s="852"/>
      <c r="M2252" s="1605"/>
      <c r="N2252" s="1604"/>
      <c r="O2252" s="625"/>
      <c r="P2252" s="625"/>
      <c r="Q2252" s="625"/>
      <c r="R2252" s="1604" t="s">
        <v>2048</v>
      </c>
      <c r="T2252" s="1604" t="str">
        <f t="shared" si="403"/>
        <v/>
      </c>
    </row>
    <row r="2253" spans="1:20" s="1603"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04" t="s">
        <v>1996</v>
      </c>
      <c r="G2253" s="1604" t="str">
        <f>IF(T2253&lt;&gt;"","G","")</f>
        <v/>
      </c>
      <c r="H2253" s="1604" t="s">
        <v>1991</v>
      </c>
      <c r="I2253" s="1307"/>
      <c r="J2253" s="1604"/>
      <c r="K2253" s="1604"/>
      <c r="L2253" s="852"/>
      <c r="M2253" s="1605"/>
      <c r="N2253" s="1604"/>
      <c r="O2253" s="625"/>
      <c r="P2253" s="625"/>
      <c r="Q2253" s="625"/>
      <c r="R2253" s="1604" t="s">
        <v>2048</v>
      </c>
      <c r="T2253" s="1604" t="str">
        <f t="shared" si="403"/>
        <v/>
      </c>
    </row>
    <row r="2254" spans="1:20" s="1603"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04" t="str">
        <f>IF(T2254&lt;&gt;"","AW","")</f>
        <v/>
      </c>
      <c r="H2254" s="1604" t="s">
        <v>1991</v>
      </c>
      <c r="I2254" s="1307"/>
      <c r="J2254" s="1604"/>
      <c r="K2254" s="1604"/>
      <c r="L2254" s="852"/>
      <c r="M2254" s="1605"/>
      <c r="N2254" s="1604"/>
      <c r="O2254" s="625"/>
      <c r="P2254" s="625"/>
      <c r="Q2254" s="625"/>
      <c r="R2254" s="1604" t="s">
        <v>2048</v>
      </c>
      <c r="T2254" s="1604" t="str">
        <f t="shared" si="403"/>
        <v/>
      </c>
    </row>
    <row r="2255" spans="1:20" s="1603"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04" t="s">
        <v>2000</v>
      </c>
      <c r="G2255" s="1604" t="str">
        <f t="shared" ref="G2255" si="404">IF(T2255&lt;&gt;"","AB","")</f>
        <v/>
      </c>
      <c r="H2255" s="1604" t="s">
        <v>1991</v>
      </c>
      <c r="I2255" s="1307"/>
      <c r="J2255" s="1604"/>
      <c r="K2255" s="1604"/>
      <c r="L2255" s="852"/>
      <c r="M2255" s="1605"/>
      <c r="N2255" s="1604"/>
      <c r="O2255" s="625"/>
      <c r="P2255" s="625"/>
      <c r="Q2255" s="625"/>
      <c r="R2255" s="1604" t="s">
        <v>2048</v>
      </c>
      <c r="T2255" s="1604" t="str">
        <f t="shared" si="403"/>
        <v/>
      </c>
    </row>
    <row r="2256" spans="1:20" s="1603"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04" t="s">
        <v>1605</v>
      </c>
      <c r="G2256" s="1604" t="str">
        <f t="shared" ref="G2256" si="405">IF(T2256&lt;&gt;"","AP","")</f>
        <v/>
      </c>
      <c r="H2256" s="1604" t="s">
        <v>1991</v>
      </c>
      <c r="I2256" s="1307"/>
      <c r="J2256" s="1604"/>
      <c r="K2256" s="1604"/>
      <c r="L2256" s="852"/>
      <c r="M2256" s="1605"/>
      <c r="N2256" s="1604"/>
      <c r="O2256" s="625"/>
      <c r="P2256" s="625"/>
      <c r="Q2256" s="625"/>
      <c r="R2256" s="1604" t="s">
        <v>2048</v>
      </c>
      <c r="T2256" s="1604" t="str">
        <f t="shared" si="403"/>
        <v/>
      </c>
    </row>
    <row r="2257" spans="1:20" s="1603"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04" t="s">
        <v>1496</v>
      </c>
      <c r="G2257" s="1604" t="str">
        <f>IF(T2257&lt;&gt;"","AN","")</f>
        <v/>
      </c>
      <c r="H2257" s="1604" t="s">
        <v>1991</v>
      </c>
      <c r="I2257" s="1307"/>
      <c r="J2257" s="1604"/>
      <c r="K2257" s="1604"/>
      <c r="L2257" s="852"/>
      <c r="M2257" s="1605"/>
      <c r="N2257" s="1604"/>
      <c r="O2257" s="1606"/>
      <c r="P2257" s="625"/>
      <c r="Q2257" s="625"/>
      <c r="R2257" s="1604" t="s">
        <v>2049</v>
      </c>
      <c r="T2257" s="1604" t="str">
        <f t="shared" ref="T2257:T2263" si="406">IF(Q$2046="Yes",41,"")</f>
        <v/>
      </c>
    </row>
    <row r="2258" spans="1:20" s="1603"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04" t="s">
        <v>1493</v>
      </c>
      <c r="G2258" s="1604" t="str">
        <f>IF(T2258&lt;&gt;"","AL","")</f>
        <v/>
      </c>
      <c r="H2258" s="1604" t="s">
        <v>1991</v>
      </c>
      <c r="I2258" s="1307"/>
      <c r="J2258" s="1604"/>
      <c r="K2258" s="1604"/>
      <c r="L2258" s="852"/>
      <c r="M2258" s="1605"/>
      <c r="N2258" s="1604"/>
      <c r="O2258" s="625"/>
      <c r="P2258" s="625"/>
      <c r="Q2258" s="625"/>
      <c r="R2258" s="1604" t="s">
        <v>2049</v>
      </c>
      <c r="T2258" s="1604" t="str">
        <f t="shared" si="406"/>
        <v/>
      </c>
    </row>
    <row r="2259" spans="1:20" s="160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04" t="s">
        <v>1992</v>
      </c>
      <c r="G2259" s="1604" t="str">
        <f>IF(T2259&lt;&gt;"","E","")</f>
        <v/>
      </c>
      <c r="H2259" s="1604" t="s">
        <v>1991</v>
      </c>
      <c r="I2259" s="1307"/>
      <c r="J2259" s="1604"/>
      <c r="K2259" s="1604"/>
      <c r="L2259" s="852"/>
      <c r="M2259" s="1605"/>
      <c r="N2259" s="1604"/>
      <c r="O2259" s="625"/>
      <c r="P2259" s="625"/>
      <c r="Q2259" s="625"/>
      <c r="R2259" s="1604" t="s">
        <v>2049</v>
      </c>
      <c r="T2259" s="1604" t="str">
        <f t="shared" si="406"/>
        <v/>
      </c>
    </row>
    <row r="2260" spans="1:20" s="1603"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04" t="s">
        <v>1996</v>
      </c>
      <c r="G2260" s="1604" t="str">
        <f>IF(T2260&lt;&gt;"","G","")</f>
        <v/>
      </c>
      <c r="H2260" s="1604" t="s">
        <v>1991</v>
      </c>
      <c r="I2260" s="1307"/>
      <c r="J2260" s="1604"/>
      <c r="K2260" s="1604"/>
      <c r="L2260" s="852"/>
      <c r="M2260" s="1605"/>
      <c r="N2260" s="1604"/>
      <c r="O2260" s="625"/>
      <c r="P2260" s="625"/>
      <c r="Q2260" s="625"/>
      <c r="R2260" s="1604" t="s">
        <v>2049</v>
      </c>
      <c r="T2260" s="1604" t="str">
        <f t="shared" si="406"/>
        <v/>
      </c>
    </row>
    <row r="2261" spans="1:20" s="1603"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04" t="str">
        <f>IF(T2261&lt;&gt;"","AW","")</f>
        <v/>
      </c>
      <c r="H2261" s="1604" t="s">
        <v>1991</v>
      </c>
      <c r="I2261" s="1307"/>
      <c r="J2261" s="1604"/>
      <c r="K2261" s="1604"/>
      <c r="L2261" s="852"/>
      <c r="M2261" s="1605"/>
      <c r="N2261" s="1604"/>
      <c r="O2261" s="625"/>
      <c r="P2261" s="625"/>
      <c r="Q2261" s="625"/>
      <c r="R2261" s="1604" t="s">
        <v>2049</v>
      </c>
      <c r="T2261" s="1604" t="str">
        <f t="shared" si="406"/>
        <v/>
      </c>
    </row>
    <row r="2262" spans="1:20" s="1603"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04" t="s">
        <v>2000</v>
      </c>
      <c r="G2262" s="1604" t="str">
        <f t="shared" ref="G2262" si="407">IF(T2262&lt;&gt;"","AB","")</f>
        <v/>
      </c>
      <c r="H2262" s="1604" t="s">
        <v>1991</v>
      </c>
      <c r="I2262" s="1307"/>
      <c r="J2262" s="1604"/>
      <c r="K2262" s="1604"/>
      <c r="L2262" s="852"/>
      <c r="M2262" s="1605"/>
      <c r="N2262" s="1604"/>
      <c r="O2262" s="625"/>
      <c r="P2262" s="625"/>
      <c r="Q2262" s="625"/>
      <c r="R2262" s="1604" t="s">
        <v>2049</v>
      </c>
      <c r="T2262" s="1604" t="str">
        <f t="shared" si="406"/>
        <v/>
      </c>
    </row>
    <row r="2263" spans="1:20" s="1603"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04" t="s">
        <v>1605</v>
      </c>
      <c r="G2263" s="1604" t="str">
        <f t="shared" ref="G2263" si="408">IF(T2263&lt;&gt;"","AP","")</f>
        <v/>
      </c>
      <c r="H2263" s="1604" t="s">
        <v>1991</v>
      </c>
      <c r="I2263" s="1307"/>
      <c r="J2263" s="1604"/>
      <c r="K2263" s="1604"/>
      <c r="L2263" s="852"/>
      <c r="M2263" s="1605"/>
      <c r="N2263" s="1604"/>
      <c r="O2263" s="625"/>
      <c r="P2263" s="625"/>
      <c r="Q2263" s="625"/>
      <c r="R2263" s="1604" t="s">
        <v>2049</v>
      </c>
      <c r="T2263" s="1604" t="str">
        <f t="shared" si="406"/>
        <v/>
      </c>
    </row>
    <row r="2264" spans="1:20" s="1603"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04" t="s">
        <v>1496</v>
      </c>
      <c r="G2264" s="1604" t="str">
        <f>IF(T2264&lt;&gt;"","AN","")</f>
        <v/>
      </c>
      <c r="H2264" s="1604" t="s">
        <v>1991</v>
      </c>
      <c r="I2264" s="1307"/>
      <c r="J2264" s="1604"/>
      <c r="K2264" s="1604"/>
      <c r="L2264" s="852"/>
      <c r="M2264" s="1605"/>
      <c r="N2264" s="1604"/>
      <c r="O2264" s="1606"/>
      <c r="P2264" s="625"/>
      <c r="Q2264" s="625"/>
      <c r="R2264" s="1604" t="s">
        <v>2050</v>
      </c>
      <c r="T2264" s="1604" t="str">
        <f t="shared" ref="T2264:T2270" si="409">IF(Q$2057="Yes",42,"")</f>
        <v/>
      </c>
    </row>
    <row r="2265" spans="1:20" s="1603"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04" t="s">
        <v>1493</v>
      </c>
      <c r="G2265" s="1604" t="str">
        <f>IF(T2265&lt;&gt;"","AL","")</f>
        <v/>
      </c>
      <c r="H2265" s="1604" t="s">
        <v>1991</v>
      </c>
      <c r="I2265" s="1307"/>
      <c r="J2265" s="1604"/>
      <c r="K2265" s="1604"/>
      <c r="L2265" s="852"/>
      <c r="M2265" s="1605"/>
      <c r="N2265" s="1604"/>
      <c r="O2265" s="625"/>
      <c r="P2265" s="625"/>
      <c r="Q2265" s="625"/>
      <c r="R2265" s="1604" t="s">
        <v>2050</v>
      </c>
      <c r="T2265" s="1604" t="str">
        <f t="shared" si="409"/>
        <v/>
      </c>
    </row>
    <row r="2266" spans="1:20" s="160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04" t="s">
        <v>1992</v>
      </c>
      <c r="G2266" s="1604" t="str">
        <f>IF(T2266&lt;&gt;"","E","")</f>
        <v/>
      </c>
      <c r="H2266" s="1604" t="s">
        <v>1991</v>
      </c>
      <c r="I2266" s="1307"/>
      <c r="J2266" s="1604"/>
      <c r="K2266" s="1604"/>
      <c r="L2266" s="852"/>
      <c r="M2266" s="1605"/>
      <c r="N2266" s="1604"/>
      <c r="O2266" s="625"/>
      <c r="P2266" s="625"/>
      <c r="Q2266" s="625"/>
      <c r="R2266" s="1604" t="s">
        <v>2050</v>
      </c>
      <c r="T2266" s="1604" t="str">
        <f t="shared" si="409"/>
        <v/>
      </c>
    </row>
    <row r="2267" spans="1:20" s="1603"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04" t="s">
        <v>1996</v>
      </c>
      <c r="G2267" s="1604" t="str">
        <f>IF(T2267&lt;&gt;"","G","")</f>
        <v/>
      </c>
      <c r="H2267" s="1604" t="s">
        <v>1991</v>
      </c>
      <c r="I2267" s="1307"/>
      <c r="J2267" s="1604"/>
      <c r="K2267" s="1604"/>
      <c r="L2267" s="852"/>
      <c r="M2267" s="1605"/>
      <c r="N2267" s="1604"/>
      <c r="O2267" s="625"/>
      <c r="P2267" s="625"/>
      <c r="Q2267" s="625"/>
      <c r="R2267" s="1604" t="s">
        <v>2050</v>
      </c>
      <c r="T2267" s="1604" t="str">
        <f t="shared" si="409"/>
        <v/>
      </c>
    </row>
    <row r="2268" spans="1:20" s="1603"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04" t="str">
        <f>IF(T2268&lt;&gt;"","AW","")</f>
        <v/>
      </c>
      <c r="H2268" s="1604" t="s">
        <v>1991</v>
      </c>
      <c r="I2268" s="1307"/>
      <c r="J2268" s="1604"/>
      <c r="K2268" s="1604"/>
      <c r="L2268" s="852"/>
      <c r="M2268" s="1605"/>
      <c r="N2268" s="1604"/>
      <c r="O2268" s="625"/>
      <c r="P2268" s="625"/>
      <c r="Q2268" s="625"/>
      <c r="R2268" s="1604" t="s">
        <v>2050</v>
      </c>
      <c r="T2268" s="1604" t="str">
        <f t="shared" si="409"/>
        <v/>
      </c>
    </row>
    <row r="2269" spans="1:20" s="1603"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04" t="s">
        <v>2000</v>
      </c>
      <c r="G2269" s="1604" t="str">
        <f t="shared" ref="G2269" si="410">IF(T2269&lt;&gt;"","AB","")</f>
        <v/>
      </c>
      <c r="H2269" s="1604" t="s">
        <v>1991</v>
      </c>
      <c r="I2269" s="1307"/>
      <c r="J2269" s="1604"/>
      <c r="K2269" s="1604"/>
      <c r="L2269" s="852"/>
      <c r="M2269" s="1605"/>
      <c r="N2269" s="1604"/>
      <c r="O2269" s="625"/>
      <c r="P2269" s="625"/>
      <c r="Q2269" s="625"/>
      <c r="R2269" s="1604" t="s">
        <v>2050</v>
      </c>
      <c r="T2269" s="1604" t="str">
        <f t="shared" si="409"/>
        <v/>
      </c>
    </row>
    <row r="2270" spans="1:20" s="1603"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04" t="s">
        <v>1605</v>
      </c>
      <c r="G2270" s="1604" t="str">
        <f t="shared" ref="G2270" si="411">IF(T2270&lt;&gt;"","AP","")</f>
        <v/>
      </c>
      <c r="H2270" s="1604" t="s">
        <v>1991</v>
      </c>
      <c r="I2270" s="1307"/>
      <c r="J2270" s="1604"/>
      <c r="K2270" s="1604"/>
      <c r="L2270" s="852"/>
      <c r="M2270" s="1605"/>
      <c r="N2270" s="1604"/>
      <c r="O2270" s="625"/>
      <c r="P2270" s="625"/>
      <c r="Q2270" s="625"/>
      <c r="R2270" s="1604" t="s">
        <v>2050</v>
      </c>
      <c r="T2270" s="1604" t="str">
        <f t="shared" si="409"/>
        <v/>
      </c>
    </row>
    <row r="2271" spans="1:20" s="1603"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04" t="s">
        <v>1496</v>
      </c>
      <c r="G2271" s="1604" t="str">
        <f>IF(T2271&lt;&gt;"","AN","")</f>
        <v/>
      </c>
      <c r="H2271" s="1604" t="s">
        <v>1991</v>
      </c>
      <c r="I2271" s="1307"/>
      <c r="J2271" s="1604"/>
      <c r="K2271" s="1604"/>
      <c r="L2271" s="852"/>
      <c r="M2271" s="1605"/>
      <c r="N2271" s="1604"/>
      <c r="O2271" s="1606"/>
      <c r="P2271" s="625"/>
      <c r="Q2271" s="625"/>
      <c r="R2271" s="1604" t="s">
        <v>2051</v>
      </c>
      <c r="T2271" s="1604" t="str">
        <f t="shared" ref="T2271:T2277" si="412">IF(Q$2068="Yes",43,"")</f>
        <v/>
      </c>
    </row>
    <row r="2272" spans="1:20" s="1603"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04" t="s">
        <v>1493</v>
      </c>
      <c r="G2272" s="1604" t="str">
        <f>IF(T2272&lt;&gt;"","AL","")</f>
        <v/>
      </c>
      <c r="H2272" s="1604" t="s">
        <v>1991</v>
      </c>
      <c r="I2272" s="1307"/>
      <c r="J2272" s="1604"/>
      <c r="K2272" s="1604"/>
      <c r="L2272" s="852"/>
      <c r="M2272" s="1605"/>
      <c r="N2272" s="1604"/>
      <c r="O2272" s="625"/>
      <c r="P2272" s="625"/>
      <c r="Q2272" s="625"/>
      <c r="R2272" s="1604" t="s">
        <v>2051</v>
      </c>
      <c r="T2272" s="1604" t="str">
        <f t="shared" si="412"/>
        <v/>
      </c>
    </row>
    <row r="2273" spans="1:20" s="160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04" t="s">
        <v>1992</v>
      </c>
      <c r="G2273" s="1604" t="str">
        <f>IF(T2273&lt;&gt;"","E","")</f>
        <v/>
      </c>
      <c r="H2273" s="1604" t="s">
        <v>1991</v>
      </c>
      <c r="I2273" s="1307"/>
      <c r="J2273" s="1604"/>
      <c r="K2273" s="1604"/>
      <c r="L2273" s="852"/>
      <c r="M2273" s="1605"/>
      <c r="N2273" s="1604"/>
      <c r="O2273" s="625"/>
      <c r="P2273" s="625"/>
      <c r="Q2273" s="625"/>
      <c r="R2273" s="1604" t="s">
        <v>2051</v>
      </c>
      <c r="T2273" s="1604" t="str">
        <f t="shared" si="412"/>
        <v/>
      </c>
    </row>
    <row r="2274" spans="1:20" s="1603"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04" t="s">
        <v>1996</v>
      </c>
      <c r="G2274" s="1604" t="str">
        <f>IF(T2274&lt;&gt;"","G","")</f>
        <v/>
      </c>
      <c r="H2274" s="1604" t="s">
        <v>1991</v>
      </c>
      <c r="I2274" s="1307"/>
      <c r="J2274" s="1604"/>
      <c r="K2274" s="1604"/>
      <c r="L2274" s="852"/>
      <c r="M2274" s="1605"/>
      <c r="N2274" s="1604"/>
      <c r="O2274" s="625"/>
      <c r="P2274" s="625"/>
      <c r="Q2274" s="625"/>
      <c r="R2274" s="1604" t="s">
        <v>2051</v>
      </c>
      <c r="T2274" s="1604" t="str">
        <f t="shared" si="412"/>
        <v/>
      </c>
    </row>
    <row r="2275" spans="1:20" s="1603"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04" t="str">
        <f>IF(T2275&lt;&gt;"","AW","")</f>
        <v/>
      </c>
      <c r="H2275" s="1604" t="s">
        <v>1991</v>
      </c>
      <c r="I2275" s="1307"/>
      <c r="J2275" s="1604"/>
      <c r="K2275" s="1604"/>
      <c r="L2275" s="852"/>
      <c r="M2275" s="1605"/>
      <c r="N2275" s="1604"/>
      <c r="O2275" s="625"/>
      <c r="P2275" s="625"/>
      <c r="Q2275" s="625"/>
      <c r="R2275" s="1604" t="s">
        <v>2051</v>
      </c>
      <c r="T2275" s="1604" t="str">
        <f t="shared" si="412"/>
        <v/>
      </c>
    </row>
    <row r="2276" spans="1:20" s="1603"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04" t="s">
        <v>2000</v>
      </c>
      <c r="G2276" s="1604" t="str">
        <f t="shared" ref="G2276" si="413">IF(T2276&lt;&gt;"","AB","")</f>
        <v/>
      </c>
      <c r="H2276" s="1604" t="s">
        <v>1991</v>
      </c>
      <c r="I2276" s="1307"/>
      <c r="J2276" s="1604"/>
      <c r="K2276" s="1604"/>
      <c r="L2276" s="852"/>
      <c r="M2276" s="1605"/>
      <c r="N2276" s="1604"/>
      <c r="R2276" s="1604" t="s">
        <v>2051</v>
      </c>
      <c r="T2276" s="1604" t="str">
        <f t="shared" si="412"/>
        <v/>
      </c>
    </row>
    <row r="2277" spans="1:20" s="1603"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04" t="s">
        <v>1605</v>
      </c>
      <c r="G2277" s="1604" t="str">
        <f t="shared" ref="G2277" si="414">IF(T2277&lt;&gt;"","AP","")</f>
        <v/>
      </c>
      <c r="H2277" s="1604" t="s">
        <v>1991</v>
      </c>
      <c r="I2277" s="1307"/>
      <c r="J2277" s="1604"/>
      <c r="K2277" s="1604"/>
      <c r="L2277" s="852"/>
      <c r="M2277" s="1605"/>
      <c r="N2277" s="1604"/>
      <c r="R2277" s="1604" t="s">
        <v>2051</v>
      </c>
      <c r="T2277" s="1604" t="str">
        <f t="shared" si="412"/>
        <v/>
      </c>
    </row>
    <row r="2278" spans="1:20" s="1603"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04" t="s">
        <v>1496</v>
      </c>
      <c r="G2278" s="1604" t="str">
        <f>IF(T2278&lt;&gt;"","AN","")</f>
        <v/>
      </c>
      <c r="H2278" s="1604" t="s">
        <v>1991</v>
      </c>
      <c r="I2278" s="1307"/>
      <c r="J2278" s="1604"/>
      <c r="K2278" s="1604"/>
      <c r="L2278" s="852"/>
      <c r="M2278" s="1605"/>
      <c r="N2278" s="1604"/>
      <c r="O2278" s="1606"/>
      <c r="P2278" s="625"/>
      <c r="Q2278" s="625"/>
      <c r="R2278" s="1604" t="s">
        <v>2052</v>
      </c>
      <c r="T2278" s="1604" t="str">
        <f t="shared" ref="T2278:T2284" si="415">IF(Q$2079="Yes",44,"")</f>
        <v/>
      </c>
    </row>
    <row r="2279" spans="1:20" s="1603"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04" t="s">
        <v>1493</v>
      </c>
      <c r="G2279" s="1604" t="str">
        <f>IF(T2279&lt;&gt;"","AL","")</f>
        <v/>
      </c>
      <c r="H2279" s="1604" t="s">
        <v>1991</v>
      </c>
      <c r="I2279" s="1307"/>
      <c r="J2279" s="1604"/>
      <c r="K2279" s="1604"/>
      <c r="L2279" s="852"/>
      <c r="M2279" s="1605"/>
      <c r="N2279" s="1604"/>
      <c r="O2279" s="625"/>
      <c r="P2279" s="625"/>
      <c r="Q2279" s="625"/>
      <c r="R2279" s="1604" t="s">
        <v>2052</v>
      </c>
      <c r="T2279" s="1604" t="str">
        <f t="shared" si="415"/>
        <v/>
      </c>
    </row>
    <row r="2280" spans="1:20" s="160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04" t="s">
        <v>1992</v>
      </c>
      <c r="G2280" s="1604" t="str">
        <f>IF(T2280&lt;&gt;"","E","")</f>
        <v/>
      </c>
      <c r="H2280" s="1604" t="s">
        <v>1991</v>
      </c>
      <c r="I2280" s="1307"/>
      <c r="J2280" s="1604"/>
      <c r="K2280" s="1604"/>
      <c r="L2280" s="852"/>
      <c r="M2280" s="1605"/>
      <c r="N2280" s="1604"/>
      <c r="O2280" s="625"/>
      <c r="P2280" s="625"/>
      <c r="Q2280" s="625"/>
      <c r="R2280" s="1604" t="s">
        <v>2052</v>
      </c>
      <c r="T2280" s="1604" t="str">
        <f t="shared" si="415"/>
        <v/>
      </c>
    </row>
    <row r="2281" spans="1:20" s="1603"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04" t="s">
        <v>1996</v>
      </c>
      <c r="G2281" s="1604" t="str">
        <f>IF(T2281&lt;&gt;"","G","")</f>
        <v/>
      </c>
      <c r="H2281" s="1604" t="s">
        <v>1991</v>
      </c>
      <c r="I2281" s="1307"/>
      <c r="J2281" s="1604"/>
      <c r="K2281" s="1604"/>
      <c r="L2281" s="852"/>
      <c r="M2281" s="1605"/>
      <c r="N2281" s="1604"/>
      <c r="O2281" s="625"/>
      <c r="P2281" s="625"/>
      <c r="Q2281" s="625"/>
      <c r="R2281" s="1604" t="s">
        <v>2052</v>
      </c>
      <c r="T2281" s="1604" t="str">
        <f t="shared" si="415"/>
        <v/>
      </c>
    </row>
    <row r="2282" spans="1:20" s="1603"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04" t="str">
        <f>IF(T2282&lt;&gt;"","AW","")</f>
        <v/>
      </c>
      <c r="H2282" s="1604" t="s">
        <v>1991</v>
      </c>
      <c r="I2282" s="1307"/>
      <c r="J2282" s="1604"/>
      <c r="K2282" s="1604"/>
      <c r="L2282" s="852"/>
      <c r="M2282" s="1605"/>
      <c r="N2282" s="1604"/>
      <c r="O2282" s="625"/>
      <c r="P2282" s="625"/>
      <c r="Q2282" s="625"/>
      <c r="R2282" s="1604" t="s">
        <v>2052</v>
      </c>
      <c r="T2282" s="1604" t="str">
        <f t="shared" si="415"/>
        <v/>
      </c>
    </row>
    <row r="2283" spans="1:20" s="1603"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04" t="s">
        <v>2000</v>
      </c>
      <c r="G2283" s="1604" t="str">
        <f t="shared" ref="G2283" si="416">IF(T2283&lt;&gt;"","AB","")</f>
        <v/>
      </c>
      <c r="H2283" s="1604" t="s">
        <v>1991</v>
      </c>
      <c r="I2283" s="1307"/>
      <c r="J2283" s="1604"/>
      <c r="K2283" s="1604"/>
      <c r="L2283" s="852"/>
      <c r="M2283" s="1605"/>
      <c r="N2283" s="1604"/>
      <c r="O2283" s="625"/>
      <c r="P2283" s="625"/>
      <c r="Q2283" s="625"/>
      <c r="R2283" s="1604" t="s">
        <v>2052</v>
      </c>
      <c r="T2283" s="1604" t="str">
        <f t="shared" si="415"/>
        <v/>
      </c>
    </row>
    <row r="2284" spans="1:20" s="1603"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04" t="s">
        <v>1605</v>
      </c>
      <c r="G2284" s="1604" t="str">
        <f t="shared" ref="G2284" si="417">IF(T2284&lt;&gt;"","AP","")</f>
        <v/>
      </c>
      <c r="H2284" s="1604" t="s">
        <v>1991</v>
      </c>
      <c r="I2284" s="1307"/>
      <c r="J2284" s="1604"/>
      <c r="K2284" s="1604"/>
      <c r="L2284" s="852"/>
      <c r="M2284" s="1605"/>
      <c r="N2284" s="1604"/>
      <c r="O2284" s="625"/>
      <c r="P2284" s="625"/>
      <c r="Q2284" s="625"/>
      <c r="R2284" s="1604" t="s">
        <v>2052</v>
      </c>
      <c r="T2284" s="1604" t="str">
        <f t="shared" si="415"/>
        <v/>
      </c>
    </row>
    <row r="2285" spans="1:20" s="1607"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08" t="s">
        <v>2136</v>
      </c>
      <c r="G2285" s="1608" t="str">
        <f>IF(T2285&lt;&gt;"","AZ","")</f>
        <v/>
      </c>
      <c r="H2285" s="1608" t="s">
        <v>1991</v>
      </c>
      <c r="I2285" s="1307"/>
      <c r="J2285" s="1608"/>
      <c r="K2285" s="1608"/>
      <c r="L2285" s="852" t="s">
        <v>2136</v>
      </c>
      <c r="M2285" s="1609">
        <v>1333</v>
      </c>
      <c r="N2285" s="1608"/>
      <c r="O2285" s="625"/>
      <c r="P2285" s="625"/>
      <c r="Q2285" s="625"/>
      <c r="R2285" s="1608" t="s">
        <v>2044</v>
      </c>
      <c r="T2285" s="1608" t="str">
        <f t="shared" ref="T2285" si="418">IF(Q$1991="Yes",36,"")</f>
        <v/>
      </c>
    </row>
    <row r="2286" spans="1:20" s="1607"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08" t="s">
        <v>2136</v>
      </c>
      <c r="G2286" s="1608" t="str">
        <f t="shared" ref="G2286:G2293" si="419">IF(T2286&lt;&gt;"","AZ","")</f>
        <v/>
      </c>
      <c r="H2286" s="1608" t="s">
        <v>1991</v>
      </c>
      <c r="I2286" s="1307"/>
      <c r="J2286" s="1608"/>
      <c r="K2286" s="1608"/>
      <c r="L2286" s="852" t="s">
        <v>2136</v>
      </c>
      <c r="M2286" s="1609">
        <v>1334</v>
      </c>
      <c r="N2286" s="1608"/>
      <c r="O2286" s="625"/>
      <c r="P2286" s="625"/>
      <c r="Q2286" s="625"/>
      <c r="R2286" s="1608" t="s">
        <v>2045</v>
      </c>
      <c r="T2286" s="1608" t="str">
        <f t="shared" ref="T2286" si="420">IF(Q$2002="Yes",37,"")</f>
        <v/>
      </c>
    </row>
    <row r="2287" spans="1:20" s="1607"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08" t="s">
        <v>2136</v>
      </c>
      <c r="G2287" s="1608" t="str">
        <f t="shared" si="419"/>
        <v/>
      </c>
      <c r="H2287" s="1608" t="s">
        <v>1991</v>
      </c>
      <c r="I2287" s="1307"/>
      <c r="J2287" s="1608"/>
      <c r="K2287" s="1608"/>
      <c r="L2287" s="852" t="s">
        <v>2136</v>
      </c>
      <c r="M2287" s="1609">
        <v>1335</v>
      </c>
      <c r="N2287" s="1608"/>
      <c r="O2287" s="625"/>
      <c r="P2287" s="625"/>
      <c r="Q2287" s="625"/>
      <c r="R2287" s="1608" t="s">
        <v>2046</v>
      </c>
      <c r="T2287" s="1608" t="str">
        <f t="shared" ref="T2287" si="421">IF(Q$2013="Yes",38,"")</f>
        <v/>
      </c>
    </row>
    <row r="2288" spans="1:20" s="1607"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08" t="s">
        <v>2136</v>
      </c>
      <c r="G2288" s="1608" t="str">
        <f t="shared" si="419"/>
        <v/>
      </c>
      <c r="H2288" s="1608" t="s">
        <v>1991</v>
      </c>
      <c r="I2288" s="1307"/>
      <c r="J2288" s="1608"/>
      <c r="K2288" s="1608"/>
      <c r="L2288" s="852" t="s">
        <v>2136</v>
      </c>
      <c r="M2288" s="1609">
        <v>1336</v>
      </c>
      <c r="N2288" s="1608"/>
      <c r="O2288" s="625"/>
      <c r="P2288" s="625"/>
      <c r="Q2288" s="625"/>
      <c r="R2288" s="1608" t="s">
        <v>2047</v>
      </c>
      <c r="T2288" s="1608" t="str">
        <f t="shared" ref="T2288" si="422">IF(Q$2024="Yes",39,"")</f>
        <v/>
      </c>
    </row>
    <row r="2289" spans="1:20" s="1607"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08" t="s">
        <v>2136</v>
      </c>
      <c r="G2289" s="1608" t="str">
        <f t="shared" si="419"/>
        <v/>
      </c>
      <c r="H2289" s="1608" t="s">
        <v>1991</v>
      </c>
      <c r="I2289" s="1307"/>
      <c r="J2289" s="1608"/>
      <c r="K2289" s="1608"/>
      <c r="L2289" s="852" t="s">
        <v>2136</v>
      </c>
      <c r="M2289" s="1609">
        <v>1337</v>
      </c>
      <c r="N2289" s="1608"/>
      <c r="O2289" s="625"/>
      <c r="P2289" s="625"/>
      <c r="Q2289" s="625"/>
      <c r="R2289" s="1608" t="s">
        <v>2048</v>
      </c>
      <c r="T2289" s="1608" t="str">
        <f t="shared" ref="T2289" si="423">IF(Q$2035="Yes",40,"")</f>
        <v/>
      </c>
    </row>
    <row r="2290" spans="1:20" s="1607"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08" t="s">
        <v>2136</v>
      </c>
      <c r="G2290" s="1608" t="str">
        <f t="shared" si="419"/>
        <v/>
      </c>
      <c r="H2290" s="1608" t="s">
        <v>1991</v>
      </c>
      <c r="I2290" s="1307"/>
      <c r="J2290" s="1608"/>
      <c r="K2290" s="1608"/>
      <c r="L2290" s="852" t="s">
        <v>2136</v>
      </c>
      <c r="M2290" s="1609">
        <v>1338</v>
      </c>
      <c r="N2290" s="1608"/>
      <c r="O2290" s="625"/>
      <c r="P2290" s="625"/>
      <c r="Q2290" s="625"/>
      <c r="R2290" s="1608" t="s">
        <v>2049</v>
      </c>
      <c r="T2290" s="1608" t="str">
        <f t="shared" ref="T2290" si="424">IF(Q$2046="Yes",41,"")</f>
        <v/>
      </c>
    </row>
    <row r="2291" spans="1:20" s="1607"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08" t="s">
        <v>2136</v>
      </c>
      <c r="G2291" s="1608" t="str">
        <f t="shared" si="419"/>
        <v/>
      </c>
      <c r="H2291" s="1608" t="s">
        <v>1991</v>
      </c>
      <c r="I2291" s="1307"/>
      <c r="J2291" s="1608"/>
      <c r="K2291" s="1608"/>
      <c r="L2291" s="852" t="s">
        <v>2136</v>
      </c>
      <c r="M2291" s="1609">
        <v>1339</v>
      </c>
      <c r="N2291" s="1608"/>
      <c r="O2291" s="625"/>
      <c r="P2291" s="625"/>
      <c r="Q2291" s="625"/>
      <c r="R2291" s="1608" t="s">
        <v>2050</v>
      </c>
      <c r="T2291" s="1608" t="str">
        <f t="shared" ref="T2291" si="425">IF(Q$2057="Yes",42,"")</f>
        <v/>
      </c>
    </row>
    <row r="2292" spans="1:20" s="1607"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08" t="s">
        <v>2136</v>
      </c>
      <c r="G2292" s="1608" t="str">
        <f t="shared" si="419"/>
        <v/>
      </c>
      <c r="H2292" s="1608" t="s">
        <v>1991</v>
      </c>
      <c r="I2292" s="1307"/>
      <c r="J2292" s="1608"/>
      <c r="K2292" s="1608"/>
      <c r="L2292" s="852" t="s">
        <v>2136</v>
      </c>
      <c r="M2292" s="1609">
        <v>1340</v>
      </c>
      <c r="N2292" s="1608"/>
      <c r="O2292" s="625"/>
      <c r="P2292" s="625"/>
      <c r="Q2292" s="625"/>
      <c r="R2292" s="1608" t="s">
        <v>2051</v>
      </c>
      <c r="T2292" s="1608" t="str">
        <f t="shared" ref="T2292" si="426">IF(Q$2068="Yes",43,"")</f>
        <v/>
      </c>
    </row>
    <row r="2293" spans="1:20" s="1607"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08" t="s">
        <v>2136</v>
      </c>
      <c r="G2293" s="1608" t="str">
        <f t="shared" si="419"/>
        <v/>
      </c>
      <c r="H2293" s="1608" t="s">
        <v>1991</v>
      </c>
      <c r="I2293" s="1307"/>
      <c r="J2293" s="1608"/>
      <c r="K2293" s="1608"/>
      <c r="L2293" s="852" t="s">
        <v>2136</v>
      </c>
      <c r="M2293" s="1609">
        <v>1341</v>
      </c>
      <c r="N2293" s="1608"/>
      <c r="O2293" s="625"/>
      <c r="P2293" s="625"/>
      <c r="Q2293" s="625"/>
      <c r="R2293" s="1608" t="s">
        <v>2052</v>
      </c>
      <c r="T2293" s="1608" t="str">
        <f t="shared" ref="T2293" si="427">IF(Q$2079="Yes",44,"")</f>
        <v/>
      </c>
    </row>
    <row r="2294" spans="1:20" s="1632" customFormat="1" x14ac:dyDescent="0.25">
      <c r="A2294" s="872" t="s">
        <v>1492</v>
      </c>
      <c r="B2294" s="852" t="str">
        <f ca="1">IFERROR(_xlfn.CONCAT("C",MATCH(A2294,INDIRECT("'"&amp;E2294&amp;"'!C"&amp;$O$2294&amp;":C"&amp;$O$2296),0)+$O$2294-1),"")</f>
        <v>C633</v>
      </c>
      <c r="C2294" s="852" t="str">
        <f ca="1">IFERROR(_xlfn.CONCAT("D",MATCH(A2294,INDIRECT("'"&amp;E2294&amp;"'!C"&amp;$O$2294&amp;":C"&amp;$O$2296),0)+$O$2294-1),"")</f>
        <v>D633</v>
      </c>
      <c r="D2294" s="852" t="s">
        <v>1350</v>
      </c>
      <c r="E2294" s="852" t="s">
        <v>1517</v>
      </c>
      <c r="F2294" s="1633" t="s">
        <v>1492</v>
      </c>
      <c r="G2294" s="1633" t="str">
        <f>IF(T2294&lt;&gt;"","A","")</f>
        <v/>
      </c>
      <c r="H2294" s="1633" t="s">
        <v>1991</v>
      </c>
      <c r="I2294" s="1307" t="str">
        <f t="shared" ref="I2294:I2306" si="428">IF(J2294&lt;&gt;"",A2294,"")</f>
        <v/>
      </c>
      <c r="J2294" s="1633"/>
      <c r="K2294" s="1633" t="str">
        <f t="shared" ref="K2294:K2306" si="429">IF(J2294&lt;&gt;"",E2294,"")</f>
        <v/>
      </c>
      <c r="L2294" s="852" t="s">
        <v>1492</v>
      </c>
      <c r="M2294" s="1634">
        <v>1342</v>
      </c>
      <c r="N2294" s="1633"/>
      <c r="O2294" s="1632">
        <f>'Configurable Tab'!H47</f>
        <v>629</v>
      </c>
      <c r="R2294" s="1633" t="s">
        <v>851</v>
      </c>
      <c r="T2294" s="1633" t="str">
        <f>IF(Q$2295="Yes",1,"")</f>
        <v/>
      </c>
    </row>
    <row r="2295" spans="1:20" s="1632" customFormat="1" x14ac:dyDescent="0.25">
      <c r="A2295" s="872" t="s">
        <v>1706</v>
      </c>
      <c r="B2295" s="852" t="str">
        <f ca="1">_xlfn.CONCAT(IFERROR(SUBSTITUTE(ADDRESS(1,MATCH(A2295,INDIRECT("'"&amp;E2295&amp;"'"&amp;"!A" &amp; $O$2294+11 &amp; ":Z" &amp; $O$2294+11 ),0),4),1,""),""),$O$2294+11)</f>
        <v>T640</v>
      </c>
      <c r="C2295" s="852" t="str">
        <f ca="1">_xlfn.CONCAT(IFERROR(SUBSTITUTE(ADDRESS(1,MATCH(A2295,INDIRECT("'"&amp;E2295&amp;"'"&amp;"!A" &amp; $O$2294+11 &amp; ":Z" &amp; $O$2294+11 ),0),4),1,""),""),$O$2294+12)</f>
        <v>T641</v>
      </c>
      <c r="D2295" s="852" t="s">
        <v>1350</v>
      </c>
      <c r="E2295" s="852" t="s">
        <v>1517</v>
      </c>
      <c r="F2295" s="1633"/>
      <c r="G2295" s="1633"/>
      <c r="H2295" s="1633"/>
      <c r="I2295" s="1307" t="str">
        <f t="shared" si="428"/>
        <v/>
      </c>
      <c r="J2295" s="1633" t="str">
        <f t="shared" ref="J2295" si="430">IF(M2295&lt;&gt;"",IF($Q$540="Yes",Q$1&amp;M2295,""))</f>
        <v/>
      </c>
      <c r="K2295" s="1633" t="str">
        <f t="shared" si="429"/>
        <v/>
      </c>
      <c r="L2295" s="852" t="s">
        <v>1706</v>
      </c>
      <c r="M2295" s="1634">
        <v>1343</v>
      </c>
      <c r="N2295" s="1633"/>
      <c r="O2295" s="1632" t="s">
        <v>726</v>
      </c>
      <c r="P2295" s="18" t="str">
        <f>'Configurable Tab'!J47</f>
        <v>No</v>
      </c>
      <c r="Q2295" s="1632" t="s">
        <v>648</v>
      </c>
      <c r="R2295" s="1633" t="s">
        <v>851</v>
      </c>
      <c r="T2295" s="1633" t="str">
        <f t="shared" ref="T2295:T2306" si="431">IF(Q$2295="Yes",1,"")</f>
        <v/>
      </c>
    </row>
    <row r="2296" spans="1:20" s="1632" customFormat="1" x14ac:dyDescent="0.25">
      <c r="A2296" s="872" t="s">
        <v>1383</v>
      </c>
      <c r="B2296" s="852" t="str">
        <f ca="1">IFERROR(_xlfn.CONCAT("C",MATCH(A2296,INDIRECT("'"&amp;E2296&amp;"'!C"&amp;$O$2294&amp;":C"&amp;$O$2296),0)+$O$2294-1),"")</f>
        <v>C631</v>
      </c>
      <c r="C2296" s="852" t="str">
        <f ca="1">IFERROR(_xlfn.CONCAT("D",MATCH(A2296,INDIRECT("'"&amp;E2296&amp;"'!C"&amp;$O$2294&amp;":C"&amp;$O$2296),0)+$O$2294-1),"")</f>
        <v>D631</v>
      </c>
      <c r="D2296" s="852" t="s">
        <v>1350</v>
      </c>
      <c r="E2296" s="852" t="s">
        <v>1517</v>
      </c>
      <c r="F2296" s="1633" t="s">
        <v>1383</v>
      </c>
      <c r="G2296" s="1633" t="str">
        <f>IF(T2296&lt;&gt;"","B","")</f>
        <v/>
      </c>
      <c r="H2296" s="1633" t="s">
        <v>1991</v>
      </c>
      <c r="I2296" s="1307" t="str">
        <f t="shared" si="428"/>
        <v/>
      </c>
      <c r="J2296" s="1633"/>
      <c r="K2296" s="1633" t="str">
        <f t="shared" si="429"/>
        <v/>
      </c>
      <c r="L2296" s="852" t="s">
        <v>1383</v>
      </c>
      <c r="M2296" s="1634">
        <v>1344</v>
      </c>
      <c r="N2296" s="1633"/>
      <c r="O2296" s="1632">
        <f>'Configurable Tab'!I47</f>
        <v>642</v>
      </c>
      <c r="R2296" s="1633" t="s">
        <v>851</v>
      </c>
      <c r="T2296" s="1633" t="str">
        <f t="shared" si="431"/>
        <v/>
      </c>
    </row>
    <row r="2297" spans="1:20" s="1632" customFormat="1" x14ac:dyDescent="0.25">
      <c r="A2297" s="872" t="s">
        <v>1380</v>
      </c>
      <c r="B2297" s="852" t="str">
        <f ca="1">_xlfn.CONCAT(IFERROR(SUBSTITUTE(ADDRESS(1,MATCH(A2297,INDIRECT("'"&amp;E2297&amp;"'"&amp;"!A" &amp; $O$2294+2 &amp; ":Z"&amp;$O$2294+2 ),0),4),1,""),""),$O$2294+2)</f>
        <v>H631</v>
      </c>
      <c r="C2297" s="852" t="str">
        <f ca="1">_xlfn.CONCAT(IFERROR(SUBSTITUTE(ADDRESS(1,MATCH(A2297,INDIRECT("'"&amp;E2297&amp;"'"&amp;"!A" &amp; $O$2294+2 &amp; ":Z"&amp;$O$2294+2 ),0),4),1,""),""),$O$2294+3)</f>
        <v>H632</v>
      </c>
      <c r="D2297" s="852" t="s">
        <v>1350</v>
      </c>
      <c r="E2297" s="852" t="s">
        <v>1517</v>
      </c>
      <c r="F2297" s="1633" t="s">
        <v>1992</v>
      </c>
      <c r="G2297" s="1633" t="str">
        <f>IF(T2297&lt;&gt;"","E","")</f>
        <v/>
      </c>
      <c r="H2297" s="1633" t="s">
        <v>1991</v>
      </c>
      <c r="I2297" s="1307" t="str">
        <f t="shared" si="428"/>
        <v/>
      </c>
      <c r="J2297" s="1633" t="str">
        <f t="shared" ref="J2297:J2302" si="432">IF(M2297&lt;&gt;"",IF($Q$540="Yes",Q$1&amp;M2297,""))</f>
        <v/>
      </c>
      <c r="K2297" s="1633" t="str">
        <f t="shared" si="429"/>
        <v/>
      </c>
      <c r="L2297" s="852" t="s">
        <v>1380</v>
      </c>
      <c r="M2297" s="1634">
        <v>1345</v>
      </c>
      <c r="N2297" s="1633"/>
      <c r="O2297" s="1632" t="s">
        <v>2147</v>
      </c>
      <c r="R2297" s="1633" t="s">
        <v>851</v>
      </c>
      <c r="T2297" s="1633" t="str">
        <f t="shared" si="431"/>
        <v/>
      </c>
    </row>
    <row r="2298" spans="1:20" s="1632" customFormat="1" x14ac:dyDescent="0.25">
      <c r="A2298" s="872" t="s">
        <v>1381</v>
      </c>
      <c r="B2298" s="852" t="str">
        <f ca="1">_xlfn.CONCAT(IFERROR(SUBSTITUTE(ADDRESS(1,MATCH(A2298,INDIRECT("'"&amp;E2298&amp;"'"&amp;"!A" &amp; $O$2294+2 &amp; ":Z"&amp;$O$2294+2 ),0),4),1,""),""),$O$2294+2)</f>
        <v>J631</v>
      </c>
      <c r="C2298" s="852" t="str">
        <f ca="1">_xlfn.CONCAT(IFERROR(SUBSTITUTE(ADDRESS(1,MATCH(A2298,INDIRECT("'"&amp;E2298&amp;"'"&amp;"!A" &amp; $O$2294+2 &amp; ":Z"&amp;$O$2294+2 ),0),4),1,""),""),$O$2294+3)</f>
        <v>J632</v>
      </c>
      <c r="D2298" s="852" t="s">
        <v>1350</v>
      </c>
      <c r="E2298" s="852" t="s">
        <v>1517</v>
      </c>
      <c r="F2298" s="1633" t="s">
        <v>1993</v>
      </c>
      <c r="G2298" s="1633" t="str">
        <f>IF(T2298&lt;&gt;"","I","")</f>
        <v/>
      </c>
      <c r="H2298" s="1633" t="s">
        <v>1991</v>
      </c>
      <c r="I2298" s="1307" t="str">
        <f t="shared" si="428"/>
        <v/>
      </c>
      <c r="J2298" s="1633" t="str">
        <f t="shared" si="432"/>
        <v/>
      </c>
      <c r="K2298" s="1633" t="str">
        <f t="shared" si="429"/>
        <v/>
      </c>
      <c r="L2298" s="852" t="s">
        <v>1381</v>
      </c>
      <c r="M2298" s="1634">
        <v>1346</v>
      </c>
      <c r="N2298" s="1633"/>
      <c r="R2298" s="1633" t="s">
        <v>851</v>
      </c>
      <c r="T2298" s="1633" t="str">
        <f t="shared" si="431"/>
        <v/>
      </c>
    </row>
    <row r="2299" spans="1:20" s="1632" customFormat="1" x14ac:dyDescent="0.25">
      <c r="A2299" s="872" t="s">
        <v>1397</v>
      </c>
      <c r="B2299" s="852" t="str">
        <f ca="1">_xlfn.CONCAT(IFERROR(SUBSTITUTE(ADDRESS(1,MATCH(A2299,INDIRECT("'"&amp;E2299&amp;"'"&amp;"!A" &amp; $O$2294+2 &amp; ":Z"&amp;$O$2294+2 ),0),4),1,""),""),$O$2294+2)</f>
        <v>L631</v>
      </c>
      <c r="C2299" s="852" t="str">
        <f ca="1">_xlfn.CONCAT(IFERROR(SUBSTITUTE(ADDRESS(1,MATCH(A2299,INDIRECT("'"&amp;E2299&amp;"'"&amp;"!A" &amp; $O$2294+2 &amp; ":Z"&amp;$O$2294+2 ),0),4),1,""),""),$O$2294+3)</f>
        <v>L632</v>
      </c>
      <c r="D2299" s="852" t="s">
        <v>1350</v>
      </c>
      <c r="E2299" s="852" t="s">
        <v>1517</v>
      </c>
      <c r="F2299" s="1633" t="s">
        <v>1994</v>
      </c>
      <c r="G2299" s="1633" t="str">
        <f>IF(T2299&lt;&gt;"","H","")</f>
        <v/>
      </c>
      <c r="H2299" s="1633" t="s">
        <v>1991</v>
      </c>
      <c r="I2299" s="1307" t="str">
        <f t="shared" si="428"/>
        <v/>
      </c>
      <c r="J2299" s="1633" t="str">
        <f t="shared" si="432"/>
        <v/>
      </c>
      <c r="K2299" s="1633" t="str">
        <f t="shared" si="429"/>
        <v/>
      </c>
      <c r="L2299" s="852" t="s">
        <v>1397</v>
      </c>
      <c r="M2299" s="1634">
        <v>1347</v>
      </c>
      <c r="N2299" s="1633"/>
      <c r="R2299" s="1633" t="s">
        <v>851</v>
      </c>
      <c r="T2299" s="1633" t="str">
        <f t="shared" si="431"/>
        <v/>
      </c>
    </row>
    <row r="2300" spans="1:20" s="1632" customFormat="1" x14ac:dyDescent="0.25">
      <c r="A2300" s="872" t="s">
        <v>1382</v>
      </c>
      <c r="B2300" s="852" t="str">
        <f ca="1">_xlfn.CONCAT(IFERROR(SUBSTITUTE(ADDRESS(1,MATCH(A2300,INDIRECT("'"&amp;E2300&amp;"'"&amp;"!A" &amp; $O$2294+2 &amp; ":Z"&amp;$O$2294+2 ),0),4),1,""),""),$O$2294+2)</f>
        <v>N631</v>
      </c>
      <c r="C2300" s="852" t="str">
        <f ca="1">_xlfn.CONCAT(IFERROR(SUBSTITUTE(ADDRESS(1,MATCH(A2300,INDIRECT("'"&amp;E2300&amp;"'"&amp;"!A" &amp; $O$2294+2 &amp; ":Z"&amp;$O$2294+2 ),0),4),1,""),""),$O$2294+3)</f>
        <v>N632</v>
      </c>
      <c r="D2300" s="852" t="s">
        <v>1350</v>
      </c>
      <c r="E2300" s="852" t="s">
        <v>1517</v>
      </c>
      <c r="F2300" s="1633" t="s">
        <v>1382</v>
      </c>
      <c r="G2300" s="1633" t="str">
        <f>IF(T2300&lt;&gt;"",IF(Q2298="Credit Memo","J",IF(Q2298="Check","K","")),"")</f>
        <v/>
      </c>
      <c r="H2300" s="1633" t="s">
        <v>1991</v>
      </c>
      <c r="I2300" s="1307" t="str">
        <f t="shared" si="428"/>
        <v/>
      </c>
      <c r="J2300" s="1633" t="str">
        <f t="shared" si="432"/>
        <v/>
      </c>
      <c r="K2300" s="1633" t="str">
        <f t="shared" si="429"/>
        <v/>
      </c>
      <c r="L2300" s="852" t="s">
        <v>1382</v>
      </c>
      <c r="M2300" s="1634">
        <v>1348</v>
      </c>
      <c r="N2300" s="1633"/>
      <c r="R2300" s="1633" t="s">
        <v>851</v>
      </c>
      <c r="T2300" s="1633" t="str">
        <f t="shared" si="431"/>
        <v/>
      </c>
    </row>
    <row r="2301" spans="1:20" s="1632" customFormat="1" x14ac:dyDescent="0.25">
      <c r="A2301" s="872" t="s">
        <v>1488</v>
      </c>
      <c r="B2301" s="852" t="str">
        <f ca="1">_xlfn.CONCAT(IFERROR(SUBSTITUTE(ADDRESS(1,MATCH(A2301,INDIRECT("'"&amp;E2301&amp;"'"&amp;"!A" &amp; $O$2294+2 &amp; ":Z"&amp;$O$2294+2 ),0),4),1,""),""),$O$2294+2)</f>
        <v>R631</v>
      </c>
      <c r="C2301" s="852" t="str">
        <f ca="1">_xlfn.CONCAT(IFERROR(SUBSTITUTE(ADDRESS(1,MATCH(A2301,INDIRECT("'"&amp;E2301&amp;"'"&amp;"!A" &amp; $O$2294+2 &amp; ":Z"&amp;$O$2294+2 ),0),4),1,""),""),$O$2294+3)</f>
        <v>R632</v>
      </c>
      <c r="D2301" s="852" t="s">
        <v>1350</v>
      </c>
      <c r="E2301" s="852" t="s">
        <v>1517</v>
      </c>
      <c r="F2301" s="1633" t="s">
        <v>1996</v>
      </c>
      <c r="G2301" s="1633" t="str">
        <f>IF(T2301&lt;&gt;"","G","")</f>
        <v/>
      </c>
      <c r="H2301" s="1633" t="s">
        <v>1991</v>
      </c>
      <c r="I2301" s="1307" t="str">
        <f t="shared" si="428"/>
        <v/>
      </c>
      <c r="J2301" s="1633" t="str">
        <f t="shared" si="432"/>
        <v/>
      </c>
      <c r="K2301" s="1633" t="str">
        <f t="shared" si="429"/>
        <v/>
      </c>
      <c r="L2301" s="852" t="s">
        <v>1488</v>
      </c>
      <c r="M2301" s="1634">
        <v>1349</v>
      </c>
      <c r="N2301" s="1633"/>
      <c r="R2301" s="1633" t="s">
        <v>851</v>
      </c>
      <c r="T2301" s="1633" t="str">
        <f t="shared" si="431"/>
        <v/>
      </c>
    </row>
    <row r="2302" spans="1:20" s="1632" customFormat="1" x14ac:dyDescent="0.25">
      <c r="A2302" s="872" t="s">
        <v>1489</v>
      </c>
      <c r="B2302" s="852" t="str">
        <f ca="1">_xlfn.CONCAT(IFERROR(SUBSTITUTE(ADDRESS(1,MATCH(A2302,INDIRECT("'"&amp;E2302&amp;"'"&amp;"!A" &amp; $O$2294+2 &amp; ":Z"&amp;$O$2294+2 ),0),4),1,""),""),$O$2294+2)</f>
        <v>T631</v>
      </c>
      <c r="C2302" s="852" t="str">
        <f ca="1">_xlfn.CONCAT(IFERROR(SUBSTITUTE(ADDRESS(1,MATCH(A2302,INDIRECT("'"&amp;E2302&amp;"'"&amp;"!A" &amp; $O$2294+2 &amp; ":Z"&amp;$O$2294+2 ),0),4),1,""),""),$O$2294+3)</f>
        <v>T632</v>
      </c>
      <c r="D2302" s="852" t="s">
        <v>1350</v>
      </c>
      <c r="E2302" s="852" t="s">
        <v>1517</v>
      </c>
      <c r="F2302" s="867" t="s">
        <v>1489</v>
      </c>
      <c r="G2302" s="1633" t="str">
        <f>IF(T2302&lt;&gt;"","AW","")</f>
        <v/>
      </c>
      <c r="H2302" s="1633" t="s">
        <v>1991</v>
      </c>
      <c r="I2302" s="1307" t="str">
        <f t="shared" si="428"/>
        <v/>
      </c>
      <c r="J2302" s="1633" t="str">
        <f t="shared" si="432"/>
        <v/>
      </c>
      <c r="K2302" s="1633" t="str">
        <f t="shared" si="429"/>
        <v/>
      </c>
      <c r="L2302" s="852" t="s">
        <v>1489</v>
      </c>
      <c r="M2302" s="1634">
        <v>1350</v>
      </c>
      <c r="N2302" s="1633"/>
      <c r="R2302" s="1633" t="s">
        <v>851</v>
      </c>
      <c r="T2302" s="1633" t="str">
        <f t="shared" si="431"/>
        <v/>
      </c>
    </row>
    <row r="2303" spans="1:20" s="1632" customFormat="1" x14ac:dyDescent="0.25">
      <c r="A2303" s="872" t="s">
        <v>1385</v>
      </c>
      <c r="B2303" s="852" t="str">
        <f ca="1">IFERROR(_xlfn.CONCAT("C",MATCH(A2303,INDIRECT("'"&amp;E2303&amp;"'!C"&amp;$O$2294&amp;":C"&amp;$O$2296),0)+$O$2294-1),"")</f>
        <v>C635</v>
      </c>
      <c r="C2303" s="852" t="str">
        <f ca="1">IFERROR(_xlfn.CONCAT("D",MATCH(A2303,INDIRECT("'"&amp;E2303&amp;"'!C"&amp;$O$2294&amp;":C"&amp;$O$2296),0)+$O$2294-1),"")</f>
        <v>D635</v>
      </c>
      <c r="D2303" s="852" t="s">
        <v>1350</v>
      </c>
      <c r="E2303" s="852" t="s">
        <v>1517</v>
      </c>
      <c r="F2303" s="1633" t="s">
        <v>1385</v>
      </c>
      <c r="G2303" s="1633" t="str">
        <f>IF(T2303&lt;&gt;"","C","")</f>
        <v/>
      </c>
      <c r="H2303" s="1633" t="s">
        <v>1991</v>
      </c>
      <c r="I2303" s="1307" t="str">
        <f t="shared" si="428"/>
        <v/>
      </c>
      <c r="J2303" s="1633"/>
      <c r="K2303" s="1633" t="str">
        <f t="shared" si="429"/>
        <v/>
      </c>
      <c r="L2303" s="852" t="s">
        <v>1385</v>
      </c>
      <c r="M2303" s="1634">
        <v>1351</v>
      </c>
      <c r="N2303" s="1633"/>
      <c r="R2303" s="1633" t="s">
        <v>851</v>
      </c>
      <c r="T2303" s="1633" t="str">
        <f t="shared" si="431"/>
        <v/>
      </c>
    </row>
    <row r="2304" spans="1:20" s="1632" customFormat="1" x14ac:dyDescent="0.25">
      <c r="A2304" s="872" t="s">
        <v>1386</v>
      </c>
      <c r="B2304" s="852" t="str">
        <f ca="1">IFERROR(_xlfn.CONCAT("C",MATCH(A2304,INDIRECT("'"&amp;E2304&amp;"'!C"&amp;$O$2294&amp;":C"&amp;$O$2296),0)+$O$2294-1),"")</f>
        <v>C637</v>
      </c>
      <c r="C2304" s="852" t="str">
        <f ca="1">IFERROR(_xlfn.CONCAT("D",MATCH(A2304,INDIRECT("'"&amp;E2304&amp;"'!C"&amp;$O$2294&amp;":C"&amp;$O$2296),0)+$O$2294-1),"")</f>
        <v>D637</v>
      </c>
      <c r="D2304" s="852" t="s">
        <v>1350</v>
      </c>
      <c r="E2304" s="852" t="s">
        <v>1517</v>
      </c>
      <c r="F2304" s="1633" t="s">
        <v>1386</v>
      </c>
      <c r="G2304" s="1633" t="str">
        <f>IF(T2304&lt;&gt;"","D","")</f>
        <v/>
      </c>
      <c r="H2304" s="1633" t="s">
        <v>1991</v>
      </c>
      <c r="I2304" s="1307" t="str">
        <f t="shared" si="428"/>
        <v/>
      </c>
      <c r="J2304" s="1633"/>
      <c r="K2304" s="1633" t="str">
        <f t="shared" si="429"/>
        <v/>
      </c>
      <c r="L2304" s="852" t="s">
        <v>1386</v>
      </c>
      <c r="M2304" s="1634">
        <v>1352</v>
      </c>
      <c r="N2304" s="1633"/>
      <c r="R2304" s="1633" t="s">
        <v>851</v>
      </c>
      <c r="T2304" s="1633" t="str">
        <f t="shared" si="431"/>
        <v/>
      </c>
    </row>
    <row r="2305" spans="1:20" s="1632" customFormat="1" x14ac:dyDescent="0.25">
      <c r="A2305" s="872" t="s">
        <v>1496</v>
      </c>
      <c r="B2305" s="852" t="str">
        <f ca="1">IFERROR(_xlfn.CONCAT("C",MATCH(A2305,INDIRECT("'"&amp;E2305&amp;"'!C"&amp;$O$2294&amp;":C"&amp;$O$2296),0)+$O$2294-1),"")</f>
        <v>C639</v>
      </c>
      <c r="C2305" s="852" t="str">
        <f ca="1">IFERROR(_xlfn.CONCAT("D",MATCH(A2305,INDIRECT("'"&amp;E2305&amp;"'!C"&amp;$O$2294&amp;":C"&amp;$O$2296),0)+$O$2294-1),"")</f>
        <v>D639</v>
      </c>
      <c r="D2305" s="852" t="s">
        <v>1350</v>
      </c>
      <c r="E2305" s="852" t="s">
        <v>1517</v>
      </c>
      <c r="F2305" s="1633" t="s">
        <v>1496</v>
      </c>
      <c r="G2305" s="1633" t="str">
        <f>IF(T2305&lt;&gt;"","AN","")</f>
        <v/>
      </c>
      <c r="H2305" s="1633" t="s">
        <v>1991</v>
      </c>
      <c r="I2305" s="1307" t="str">
        <f t="shared" si="428"/>
        <v/>
      </c>
      <c r="J2305" s="1633" t="str">
        <f t="shared" ref="J2305" si="433">IF(M2305&lt;&gt;"",IF($Q$540="Yes",Q$1&amp;M2305,""))</f>
        <v/>
      </c>
      <c r="K2305" s="1633" t="str">
        <f t="shared" si="429"/>
        <v/>
      </c>
      <c r="L2305" s="852" t="s">
        <v>1496</v>
      </c>
      <c r="M2305" s="1634">
        <v>1353</v>
      </c>
      <c r="N2305" s="1633"/>
      <c r="P2305" s="1633" t="str" cm="1">
        <f t="array" aca="1" ref="P2305" ca="1">_xlfn.CONCAT("F",RIGHT(B2305, LEN(B2305) - MAX(IF(ISNUMBER(MID(B2305, ROW(INDIRECT("1:"&amp;LEN(B2305))), 1) *1)=FALSE, ROW(INDIRECT("1:"&amp;LEN(B2305))), 0))))</f>
        <v>F639</v>
      </c>
      <c r="Q2305" s="1633" t="str" cm="1">
        <f t="array" aca="1" ref="Q2305" ca="1">_xlfn.CONCAT("E",RIGHT(C2305, LEN(C2305) - MAX(IF(ISNUMBER(MID(C2305, ROW(INDIRECT("1:"&amp;LEN(C2305))), 1) *1)=FALSE, ROW(INDIRECT("1:"&amp;LEN(C2305))), 0))))</f>
        <v>E639</v>
      </c>
      <c r="R2305" s="1633" t="s">
        <v>851</v>
      </c>
      <c r="T2305" s="1633" t="str">
        <f t="shared" si="431"/>
        <v/>
      </c>
    </row>
    <row r="2306" spans="1:20" s="1632" customFormat="1" x14ac:dyDescent="0.25">
      <c r="A2306" s="872" t="s">
        <v>1389</v>
      </c>
      <c r="B2306" s="852" t="str">
        <f ca="1">_xlfn.CONCAT(IFERROR(SUBSTITUTE(ADDRESS(1,MATCH(A2306,INDIRECT("'"&amp;E2306&amp;"'"&amp;"!A" &amp; $O$2294+5 &amp; ":Z"&amp;$O$2294+5),0),4),1,""),""),$O$2294+5)</f>
        <v>H634</v>
      </c>
      <c r="C2306" s="852" t="str">
        <f ca="1">_xlfn.CONCAT(IFERROR(SUBSTITUTE(ADDRESS(1,MATCH(A2306,INDIRECT("'"&amp;E2306&amp;"'"&amp;"!A" &amp; $O$2294+5 &amp; ":Z"&amp;$O$2294+5),0),4),1,""),""),$O$2294+6)</f>
        <v>H635</v>
      </c>
      <c r="D2306" s="852" t="s">
        <v>1350</v>
      </c>
      <c r="E2306" s="852" t="s">
        <v>1517</v>
      </c>
      <c r="F2306" s="1633" t="s">
        <v>1913</v>
      </c>
      <c r="G2306" s="1633" t="str">
        <f>IF(T2306&lt;&gt;"","O","")</f>
        <v/>
      </c>
      <c r="H2306" s="1633" t="s">
        <v>1991</v>
      </c>
      <c r="I2306" s="1307" t="str">
        <f t="shared" si="428"/>
        <v/>
      </c>
      <c r="J2306" s="1633"/>
      <c r="K2306" s="1633" t="str">
        <f t="shared" si="429"/>
        <v/>
      </c>
      <c r="L2306" s="852" t="s">
        <v>1389</v>
      </c>
      <c r="M2306" s="1634">
        <v>1354</v>
      </c>
      <c r="N2306" s="1633"/>
      <c r="R2306" s="1633" t="s">
        <v>851</v>
      </c>
      <c r="T2306" s="1633" t="str">
        <f t="shared" si="431"/>
        <v/>
      </c>
    </row>
  </sheetData>
  <autoFilter ref="A2:Z2306"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7"/>
  <sheetViews>
    <sheetView workbookViewId="0">
      <selection sqref="A1:E1"/>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26" customWidth="1"/>
    <col min="6" max="6" width="42.28515625" style="720" customWidth="1"/>
    <col min="7" max="7" width="27.28515625" style="720" customWidth="1"/>
    <col min="8" max="8" width="19.28515625" style="720" customWidth="1"/>
    <col min="9" max="9" width="9.140625" style="720" customWidth="1"/>
    <col min="10" max="10" width="20.5703125" style="1626" customWidth="1"/>
    <col min="11" max="11" width="18.28515625" style="1624" customWidth="1"/>
    <col min="12" max="12" width="19.140625" style="720" customWidth="1"/>
    <col min="13" max="13" width="23" style="720" customWidth="1"/>
    <col min="14" max="14" width="23" style="1627" customWidth="1"/>
    <col min="15" max="15" width="21.42578125" style="720" customWidth="1"/>
    <col min="16" max="16384" width="9.140625" style="1064"/>
  </cols>
  <sheetData>
    <row r="1" spans="1:15" ht="15.75" thickBot="1" x14ac:dyDescent="0.3">
      <c r="A1" s="2104" t="s">
        <v>1729</v>
      </c>
      <c r="B1" s="2105"/>
      <c r="C1" s="2105"/>
      <c r="D1" s="2105"/>
      <c r="E1" s="2106"/>
      <c r="F1" s="2107" t="s">
        <v>1730</v>
      </c>
      <c r="G1" s="2108"/>
      <c r="H1" s="2108"/>
      <c r="I1" s="2108"/>
      <c r="J1" s="2108"/>
      <c r="K1" s="2108"/>
      <c r="L1" s="2108"/>
      <c r="M1" s="2109"/>
      <c r="N1" s="1618"/>
      <c r="O1" s="1619" t="s">
        <v>2106</v>
      </c>
    </row>
    <row r="2" spans="1:15" ht="15.75" thickBot="1" x14ac:dyDescent="0.3">
      <c r="A2" s="1685" t="s">
        <v>1729</v>
      </c>
      <c r="B2" s="1686" t="s">
        <v>1734</v>
      </c>
      <c r="C2" s="1686" t="s">
        <v>1731</v>
      </c>
      <c r="D2" s="1687" t="s">
        <v>1732</v>
      </c>
      <c r="E2" s="1688" t="s">
        <v>1600</v>
      </c>
      <c r="F2" s="1689" t="s">
        <v>1383</v>
      </c>
      <c r="G2" s="1690" t="s">
        <v>1733</v>
      </c>
      <c r="H2" s="1691" t="s">
        <v>1731</v>
      </c>
      <c r="I2" s="1692" t="s">
        <v>1732</v>
      </c>
      <c r="J2" s="1693" t="s">
        <v>1600</v>
      </c>
      <c r="K2" s="1620" t="s">
        <v>2139</v>
      </c>
      <c r="L2" s="1631" t="s">
        <v>2139</v>
      </c>
      <c r="M2" s="1693" t="s">
        <v>2140</v>
      </c>
      <c r="N2" s="1621" t="s">
        <v>2141</v>
      </c>
      <c r="O2" s="1622" t="s">
        <v>2142</v>
      </c>
    </row>
    <row r="3" spans="1:15" ht="35.25" customHeight="1" x14ac:dyDescent="0.25">
      <c r="A3" s="1679" t="s">
        <v>851</v>
      </c>
      <c r="B3" s="1679">
        <v>1</v>
      </c>
      <c r="C3" s="1679">
        <v>12</v>
      </c>
      <c r="D3" s="1679">
        <v>24</v>
      </c>
      <c r="E3" s="1680" t="str">
        <f>J3</f>
        <v>Yes</v>
      </c>
      <c r="F3" s="1679" t="s">
        <v>1486</v>
      </c>
      <c r="G3" s="1679">
        <v>1201</v>
      </c>
      <c r="H3" s="1679">
        <v>3</v>
      </c>
      <c r="I3" s="1679">
        <v>16</v>
      </c>
      <c r="J3" s="1681" t="str">
        <f>'Incentives Worksheet'!T12</f>
        <v>Yes</v>
      </c>
      <c r="K3" s="1682" t="str">
        <f t="shared" ref="K3:K47" si="0">_xlfn.CONCAT(_xlfn.CONCAT("D",H3+10), _xlfn.CONCAT(":E",H3+10))</f>
        <v>D13:E13</v>
      </c>
      <c r="L3" s="1679" t="str">
        <f>_xlfn.CONCAT("F",I3-1)</f>
        <v>F15</v>
      </c>
      <c r="M3" s="1683" t="str">
        <f>'Incentives Worksheet'!T15</f>
        <v>No</v>
      </c>
      <c r="N3" s="1684">
        <f>'Incentives Worksheet'!F15</f>
        <v>0</v>
      </c>
    </row>
    <row r="4" spans="1:15" x14ac:dyDescent="0.25">
      <c r="A4" s="1623" t="s">
        <v>851</v>
      </c>
      <c r="B4" s="1623">
        <v>2</v>
      </c>
      <c r="C4" s="1623">
        <v>26</v>
      </c>
      <c r="D4" s="1623">
        <v>38</v>
      </c>
      <c r="E4" s="1674" t="str">
        <f>J3</f>
        <v>Yes</v>
      </c>
      <c r="F4" s="1623" t="s">
        <v>1486</v>
      </c>
      <c r="G4" s="1623">
        <v>1202</v>
      </c>
      <c r="H4" s="1623">
        <v>17</v>
      </c>
      <c r="I4" s="1623">
        <v>30</v>
      </c>
      <c r="J4" s="1673" t="str">
        <f>'Incentives Worksheet'!T26</f>
        <v>Yes</v>
      </c>
      <c r="K4" s="1676" t="str">
        <f t="shared" si="0"/>
        <v>D27:E27</v>
      </c>
      <c r="L4" s="1623" t="str">
        <f t="shared" ref="L4:L47" si="1">_xlfn.CONCAT("F",I4-1)</f>
        <v>F29</v>
      </c>
      <c r="M4" s="1677" t="str">
        <f>'Incentives Worksheet'!T29</f>
        <v>No</v>
      </c>
      <c r="N4" s="1678">
        <f>'Incentives Worksheet'!F29</f>
        <v>0</v>
      </c>
    </row>
    <row r="5" spans="1:15" x14ac:dyDescent="0.25">
      <c r="A5" s="1625" t="s">
        <v>851</v>
      </c>
      <c r="B5" s="1625">
        <v>3</v>
      </c>
      <c r="C5" s="1625">
        <v>40</v>
      </c>
      <c r="D5" s="1623">
        <v>52</v>
      </c>
      <c r="E5" s="1674" t="str">
        <f>J3</f>
        <v>Yes</v>
      </c>
      <c r="F5" s="1623" t="s">
        <v>1501</v>
      </c>
      <c r="G5" s="1623">
        <v>1401</v>
      </c>
      <c r="H5" s="1623">
        <v>31</v>
      </c>
      <c r="I5" s="1623">
        <v>44</v>
      </c>
      <c r="J5" s="1673" t="str">
        <f>'Incentives Worksheet'!T40</f>
        <v>Yes</v>
      </c>
      <c r="K5" s="1676" t="str">
        <f t="shared" si="0"/>
        <v>D41:E41</v>
      </c>
      <c r="L5" s="1623" t="str">
        <f t="shared" si="1"/>
        <v>F43</v>
      </c>
      <c r="M5" s="1677" t="str">
        <f>'Incentives Worksheet'!T43</f>
        <v>No</v>
      </c>
      <c r="N5" s="1678">
        <f>'Incentives Worksheet'!F43</f>
        <v>0</v>
      </c>
    </row>
    <row r="6" spans="1:15" x14ac:dyDescent="0.25">
      <c r="A6" s="1625" t="s">
        <v>217</v>
      </c>
      <c r="B6" s="1625">
        <v>1</v>
      </c>
      <c r="C6" s="1625">
        <v>54</v>
      </c>
      <c r="D6" s="1623">
        <v>66</v>
      </c>
      <c r="E6" s="1674" t="str">
        <f>J9</f>
        <v>Yes</v>
      </c>
      <c r="F6" s="1623" t="s">
        <v>1501</v>
      </c>
      <c r="G6" s="1623">
        <v>1402</v>
      </c>
      <c r="H6" s="1623">
        <v>45</v>
      </c>
      <c r="I6" s="1623">
        <v>58</v>
      </c>
      <c r="J6" s="1673" t="str">
        <f>'Incentives Worksheet'!T54</f>
        <v>Yes</v>
      </c>
      <c r="K6" s="1676" t="str">
        <f t="shared" si="0"/>
        <v>D55:E55</v>
      </c>
      <c r="L6" s="1623" t="str">
        <f t="shared" si="1"/>
        <v>F57</v>
      </c>
      <c r="M6" s="1677" t="str">
        <f>'Incentives Worksheet'!T57</f>
        <v>No</v>
      </c>
      <c r="N6" s="1678">
        <f>'Incentives Worksheet'!F57</f>
        <v>0</v>
      </c>
    </row>
    <row r="7" spans="1:15" x14ac:dyDescent="0.25">
      <c r="A7" s="1625" t="s">
        <v>217</v>
      </c>
      <c r="B7" s="1625">
        <v>2</v>
      </c>
      <c r="C7" s="1625">
        <v>68</v>
      </c>
      <c r="D7" s="1623">
        <v>80</v>
      </c>
      <c r="E7" s="1674" t="str">
        <f>J9</f>
        <v>Yes</v>
      </c>
      <c r="F7" s="1623" t="s">
        <v>1514</v>
      </c>
      <c r="G7" s="1623">
        <v>1501</v>
      </c>
      <c r="H7" s="1623">
        <v>59</v>
      </c>
      <c r="I7" s="1623">
        <v>74</v>
      </c>
      <c r="J7" s="1673" t="str">
        <f>'Incentives Worksheet'!T68</f>
        <v>Yes</v>
      </c>
      <c r="K7" s="1676" t="str">
        <f>_xlfn.CONCAT(_xlfn.CONCAT("D",H7+12), _xlfn.CONCAT(":E",H7+12))</f>
        <v>D71:E71</v>
      </c>
      <c r="L7" s="1623" t="str">
        <f>_xlfn.CONCAT("F",I7-2)</f>
        <v>F72</v>
      </c>
      <c r="M7" s="1677" t="str">
        <f>'Incentives Worksheet'!T72</f>
        <v>No</v>
      </c>
      <c r="N7" s="1678">
        <f>'Incentives Worksheet'!F72</f>
        <v>0</v>
      </c>
    </row>
    <row r="8" spans="1:15" x14ac:dyDescent="0.25">
      <c r="A8" s="1625" t="s">
        <v>525</v>
      </c>
      <c r="B8" s="1625">
        <v>1</v>
      </c>
      <c r="C8" s="1625">
        <v>82</v>
      </c>
      <c r="D8" s="1623">
        <v>94</v>
      </c>
      <c r="E8" s="1674" t="str">
        <f>J13</f>
        <v>Yes</v>
      </c>
      <c r="F8" s="1623" t="s">
        <v>1514</v>
      </c>
      <c r="G8" s="1623">
        <v>1502</v>
      </c>
      <c r="H8" s="1623">
        <v>75</v>
      </c>
      <c r="I8" s="1623">
        <v>90</v>
      </c>
      <c r="J8" s="1673" t="str">
        <f>'Incentives Worksheet'!T84</f>
        <v>Yes</v>
      </c>
      <c r="K8" s="1676" t="str">
        <f>_xlfn.CONCAT(_xlfn.CONCAT("D",H8+12), _xlfn.CONCAT(":E",H8+12))</f>
        <v>D87:E87</v>
      </c>
      <c r="L8" s="1623" t="str">
        <f>_xlfn.CONCAT("F",I8-2)</f>
        <v>F88</v>
      </c>
      <c r="M8" s="1677" t="str">
        <f>'Incentives Worksheet'!T88</f>
        <v>No</v>
      </c>
      <c r="N8" s="1678">
        <f>'Incentives Worksheet'!F88</f>
        <v>0</v>
      </c>
    </row>
    <row r="9" spans="1:15" x14ac:dyDescent="0.25">
      <c r="A9" s="1625" t="s">
        <v>525</v>
      </c>
      <c r="B9" s="1625">
        <v>2</v>
      </c>
      <c r="C9" s="1625">
        <v>96</v>
      </c>
      <c r="D9" s="1623">
        <v>108</v>
      </c>
      <c r="E9" s="1674" t="str">
        <f>J13</f>
        <v>Yes</v>
      </c>
      <c r="F9" s="1623" t="s">
        <v>1523</v>
      </c>
      <c r="G9" s="1623">
        <v>5501</v>
      </c>
      <c r="H9" s="1623">
        <v>91</v>
      </c>
      <c r="I9" s="1623">
        <v>104</v>
      </c>
      <c r="J9" s="1673" t="str">
        <f>'Incentives Worksheet'!T100</f>
        <v>Yes</v>
      </c>
      <c r="K9" s="1676" t="str">
        <f t="shared" si="0"/>
        <v>D101:E101</v>
      </c>
      <c r="L9" s="1623" t="str">
        <f t="shared" si="1"/>
        <v>F103</v>
      </c>
      <c r="M9" s="1677" t="str">
        <f>'Incentives Worksheet'!T103</f>
        <v>No</v>
      </c>
      <c r="N9" s="1678">
        <f>'Incentives Worksheet'!F103</f>
        <v>0</v>
      </c>
    </row>
    <row r="10" spans="1:15" x14ac:dyDescent="0.25">
      <c r="A10" s="1625" t="s">
        <v>1105</v>
      </c>
      <c r="B10" s="1625">
        <v>1</v>
      </c>
      <c r="C10" s="1625">
        <v>110</v>
      </c>
      <c r="D10" s="1623">
        <v>116</v>
      </c>
      <c r="E10" s="1674"/>
      <c r="F10" s="1623" t="s">
        <v>1523</v>
      </c>
      <c r="G10" s="1623">
        <v>5502</v>
      </c>
      <c r="H10" s="1623">
        <v>105</v>
      </c>
      <c r="I10" s="1623">
        <v>118</v>
      </c>
      <c r="J10" s="1673" t="str">
        <f>'Incentives Worksheet'!T114</f>
        <v>Yes</v>
      </c>
      <c r="K10" s="1676" t="str">
        <f t="shared" si="0"/>
        <v>D115:E115</v>
      </c>
      <c r="L10" s="1623" t="str">
        <f t="shared" si="1"/>
        <v>F117</v>
      </c>
      <c r="M10" s="1677" t="str">
        <f>'Incentives Worksheet'!T117</f>
        <v>No</v>
      </c>
      <c r="N10" s="1678">
        <f>'Incentives Worksheet'!F117</f>
        <v>0</v>
      </c>
    </row>
    <row r="11" spans="1:15" x14ac:dyDescent="0.25">
      <c r="A11" s="1625" t="s">
        <v>1105</v>
      </c>
      <c r="B11" s="1625">
        <v>2</v>
      </c>
      <c r="C11" s="1625">
        <v>118</v>
      </c>
      <c r="D11" s="1623">
        <v>124</v>
      </c>
      <c r="E11" s="1674"/>
      <c r="F11" s="1623" t="s">
        <v>1524</v>
      </c>
      <c r="G11" s="1623">
        <v>2801</v>
      </c>
      <c r="H11" s="1623">
        <v>119</v>
      </c>
      <c r="I11" s="1623">
        <v>134</v>
      </c>
      <c r="J11" s="1673" t="str">
        <f>'Incentives Worksheet'!T128</f>
        <v>Yes</v>
      </c>
      <c r="K11" s="1676" t="str">
        <f>_xlfn.CONCAT(_xlfn.CONCAT("D",H11+12), _xlfn.CONCAT(":E",H11+12))</f>
        <v>D131:E131</v>
      </c>
      <c r="L11" s="1623" t="str">
        <f>_xlfn.CONCAT("F",I11-2)</f>
        <v>F132</v>
      </c>
      <c r="M11" s="1677" t="str">
        <f>'Incentives Worksheet'!T132</f>
        <v>No</v>
      </c>
      <c r="N11" s="1678">
        <f>'Incentives Worksheet'!F132</f>
        <v>0</v>
      </c>
    </row>
    <row r="12" spans="1:15" x14ac:dyDescent="0.25">
      <c r="A12" s="1625" t="s">
        <v>1105</v>
      </c>
      <c r="B12" s="1625">
        <v>3</v>
      </c>
      <c r="C12" s="1625">
        <v>126</v>
      </c>
      <c r="D12" s="1623">
        <v>132</v>
      </c>
      <c r="E12" s="1674"/>
      <c r="F12" s="1623" t="s">
        <v>1524</v>
      </c>
      <c r="G12" s="1623">
        <v>2802</v>
      </c>
      <c r="H12" s="1623">
        <v>135</v>
      </c>
      <c r="I12" s="1623">
        <v>150</v>
      </c>
      <c r="J12" s="1673" t="str">
        <f>'Incentives Worksheet'!T144</f>
        <v>Yes</v>
      </c>
      <c r="K12" s="1676" t="str">
        <f>_xlfn.CONCAT(_xlfn.CONCAT("D",H12+12), _xlfn.CONCAT(":E",H12+12))</f>
        <v>D147:E147</v>
      </c>
      <c r="L12" s="1623" t="str">
        <f>_xlfn.CONCAT("F",I12-2)</f>
        <v>F148</v>
      </c>
      <c r="M12" s="1677" t="str">
        <f>'Incentives Worksheet'!T148</f>
        <v>No</v>
      </c>
      <c r="N12" s="1678">
        <f>'Incentives Worksheet'!F148</f>
        <v>0</v>
      </c>
    </row>
    <row r="13" spans="1:15" x14ac:dyDescent="0.25">
      <c r="A13" s="1625" t="s">
        <v>1105</v>
      </c>
      <c r="B13" s="1625">
        <v>4</v>
      </c>
      <c r="C13" s="1625">
        <v>134</v>
      </c>
      <c r="D13" s="1623">
        <v>140</v>
      </c>
      <c r="E13" s="1674"/>
      <c r="F13" s="1623" t="s">
        <v>1531</v>
      </c>
      <c r="G13" s="1623">
        <v>3401</v>
      </c>
      <c r="H13" s="1623">
        <v>151</v>
      </c>
      <c r="I13" s="1623">
        <v>164</v>
      </c>
      <c r="J13" s="1673" t="str">
        <f>'Incentives Worksheet'!T160</f>
        <v>Yes</v>
      </c>
      <c r="K13" s="1676" t="str">
        <f t="shared" si="0"/>
        <v>D161:E161</v>
      </c>
      <c r="L13" s="1623" t="str">
        <f t="shared" si="1"/>
        <v>F163</v>
      </c>
      <c r="M13" s="1677" t="str">
        <f>'Incentives Worksheet'!T163</f>
        <v>No</v>
      </c>
      <c r="N13" s="1678">
        <f>'Incentives Worksheet'!F163</f>
        <v>0</v>
      </c>
    </row>
    <row r="14" spans="1:15" x14ac:dyDescent="0.25">
      <c r="A14" s="1625" t="s">
        <v>1105</v>
      </c>
      <c r="B14" s="1625">
        <v>5</v>
      </c>
      <c r="C14" s="1625">
        <v>142</v>
      </c>
      <c r="D14" s="1623">
        <v>148</v>
      </c>
      <c r="E14" s="1674"/>
      <c r="F14" s="1623" t="s">
        <v>1531</v>
      </c>
      <c r="G14" s="1623">
        <v>3402</v>
      </c>
      <c r="H14" s="1623">
        <v>165</v>
      </c>
      <c r="I14" s="1623">
        <v>178</v>
      </c>
      <c r="J14" s="1673" t="str">
        <f>'Incentives Worksheet'!T174</f>
        <v>Yes</v>
      </c>
      <c r="K14" s="1676" t="str">
        <f t="shared" si="0"/>
        <v>D175:E175</v>
      </c>
      <c r="L14" s="1623" t="str">
        <f t="shared" si="1"/>
        <v>F177</v>
      </c>
      <c r="M14" s="1677" t="str">
        <f>'Incentives Worksheet'!T177</f>
        <v>No</v>
      </c>
      <c r="N14" s="1678">
        <f>'Incentives Worksheet'!F177</f>
        <v>0</v>
      </c>
    </row>
    <row r="15" spans="1:15" x14ac:dyDescent="0.25">
      <c r="A15" s="1625" t="s">
        <v>717</v>
      </c>
      <c r="B15" s="1625">
        <v>1</v>
      </c>
      <c r="C15" s="1625">
        <v>150</v>
      </c>
      <c r="D15" s="1623">
        <v>156</v>
      </c>
      <c r="E15" s="1674" t="str">
        <f t="shared" ref="E15:E16" si="2">J24</f>
        <v>Yes</v>
      </c>
      <c r="F15" s="1623" t="s">
        <v>1535</v>
      </c>
      <c r="G15" s="1623">
        <v>3501</v>
      </c>
      <c r="H15" s="1623">
        <v>179</v>
      </c>
      <c r="I15" s="1623">
        <v>192</v>
      </c>
      <c r="J15" s="1673" t="str">
        <f>'Incentives Worksheet'!T188</f>
        <v>Yes</v>
      </c>
      <c r="K15" s="1676" t="str">
        <f t="shared" si="0"/>
        <v>D189:E189</v>
      </c>
      <c r="L15" s="1623" t="str">
        <f t="shared" si="1"/>
        <v>F191</v>
      </c>
      <c r="M15" s="1677" t="str">
        <f>'Incentives Worksheet'!T191</f>
        <v>No</v>
      </c>
      <c r="N15" s="1678">
        <f>'Incentives Worksheet'!F191</f>
        <v>0</v>
      </c>
    </row>
    <row r="16" spans="1:15" x14ac:dyDescent="0.25">
      <c r="A16" s="1625" t="s">
        <v>1095</v>
      </c>
      <c r="B16" s="1625">
        <v>1</v>
      </c>
      <c r="C16" s="1625">
        <v>158</v>
      </c>
      <c r="D16" s="1623">
        <v>164</v>
      </c>
      <c r="E16" s="1674" t="str">
        <f t="shared" si="2"/>
        <v>No</v>
      </c>
      <c r="F16" s="1623" t="s">
        <v>1535</v>
      </c>
      <c r="G16" s="1623">
        <v>3502</v>
      </c>
      <c r="H16" s="1623">
        <v>193</v>
      </c>
      <c r="I16" s="1623">
        <v>206</v>
      </c>
      <c r="J16" s="1673" t="str">
        <f>'Incentives Worksheet'!T202</f>
        <v>Yes</v>
      </c>
      <c r="K16" s="1676" t="str">
        <f t="shared" si="0"/>
        <v>D203:E203</v>
      </c>
      <c r="L16" s="1623" t="str">
        <f t="shared" si="1"/>
        <v>F205</v>
      </c>
      <c r="M16" s="1677" t="str">
        <f>'Incentives Worksheet'!T205</f>
        <v>No</v>
      </c>
      <c r="N16" s="1678">
        <f>'Incentives Worksheet'!F205</f>
        <v>0</v>
      </c>
    </row>
    <row r="17" spans="1:14" x14ac:dyDescent="0.25">
      <c r="A17" s="1625" t="s">
        <v>1095</v>
      </c>
      <c r="B17" s="1625">
        <v>2</v>
      </c>
      <c r="C17" s="1625">
        <v>166</v>
      </c>
      <c r="D17" s="1623">
        <v>172</v>
      </c>
      <c r="E17" s="1675" t="str">
        <f>J25</f>
        <v>No</v>
      </c>
      <c r="F17" s="1623" t="s">
        <v>1538</v>
      </c>
      <c r="G17" s="1623">
        <v>3601</v>
      </c>
      <c r="H17" s="1623">
        <v>207</v>
      </c>
      <c r="I17" s="1623">
        <v>222</v>
      </c>
      <c r="J17" s="1673" t="str">
        <f>'Incentives Worksheet'!T216</f>
        <v>Yes</v>
      </c>
      <c r="K17" s="1676" t="str">
        <f>_xlfn.CONCAT(_xlfn.CONCAT("D",H17+12), _xlfn.CONCAT(":E",H17+12))</f>
        <v>D219:E219</v>
      </c>
      <c r="L17" s="1623" t="str">
        <f>_xlfn.CONCAT("F",I17-2)</f>
        <v>F220</v>
      </c>
      <c r="M17" s="1677" t="str">
        <f>'Incentives Worksheet'!T220</f>
        <v>No</v>
      </c>
      <c r="N17" s="1678">
        <f>'Incentives Worksheet'!F220</f>
        <v>0</v>
      </c>
    </row>
    <row r="18" spans="1:14" x14ac:dyDescent="0.25">
      <c r="A18" s="1625" t="s">
        <v>999</v>
      </c>
      <c r="B18" s="1625">
        <v>1</v>
      </c>
      <c r="C18" s="1625">
        <v>174</v>
      </c>
      <c r="D18" s="1623">
        <v>180</v>
      </c>
      <c r="E18" s="1675" t="str">
        <f>J28</f>
        <v>No</v>
      </c>
      <c r="F18" s="1623" t="s">
        <v>1538</v>
      </c>
      <c r="G18" s="1623">
        <v>3602</v>
      </c>
      <c r="H18" s="1623">
        <v>223</v>
      </c>
      <c r="I18" s="1623">
        <v>238</v>
      </c>
      <c r="J18" s="1673" t="str">
        <f>'Incentives Worksheet'!T232</f>
        <v>Yes</v>
      </c>
      <c r="K18" s="1676" t="str">
        <f>_xlfn.CONCAT(_xlfn.CONCAT("D",H18+12), _xlfn.CONCAT(":E",H18+12))</f>
        <v>D235:E235</v>
      </c>
      <c r="L18" s="1623" t="str">
        <f>_xlfn.CONCAT("F",I18-2)</f>
        <v>F236</v>
      </c>
      <c r="M18" s="1677" t="str">
        <f>'Incentives Worksheet'!T236</f>
        <v>No</v>
      </c>
      <c r="N18" s="1678">
        <f>'Incentives Worksheet'!F236</f>
        <v>0</v>
      </c>
    </row>
    <row r="19" spans="1:14" x14ac:dyDescent="0.25">
      <c r="A19" s="1625" t="s">
        <v>1474</v>
      </c>
      <c r="B19" s="1625">
        <v>1</v>
      </c>
      <c r="C19" s="1625">
        <v>182</v>
      </c>
      <c r="D19" s="1623">
        <v>191</v>
      </c>
      <c r="E19" s="1675" t="str">
        <f>J29</f>
        <v>No</v>
      </c>
      <c r="F19" s="1623" t="s">
        <v>1540</v>
      </c>
      <c r="G19" s="1623">
        <v>1301</v>
      </c>
      <c r="H19" s="1623">
        <v>239</v>
      </c>
      <c r="I19" s="1623">
        <v>252</v>
      </c>
      <c r="J19" s="1673"/>
      <c r="K19" s="1676" t="str">
        <f t="shared" si="0"/>
        <v>D249:E249</v>
      </c>
      <c r="L19" s="1623" t="str">
        <f t="shared" si="1"/>
        <v>F251</v>
      </c>
      <c r="M19" s="1677" t="str">
        <f>'Incentives Worksheet'!T251</f>
        <v>No</v>
      </c>
      <c r="N19" s="1678">
        <f>'Incentives Worksheet'!F251</f>
        <v>0</v>
      </c>
    </row>
    <row r="20" spans="1:14" x14ac:dyDescent="0.25">
      <c r="A20" s="1625" t="s">
        <v>1099</v>
      </c>
      <c r="B20" s="1625">
        <v>1</v>
      </c>
      <c r="C20" s="1625">
        <v>193</v>
      </c>
      <c r="D20" s="1623">
        <v>203</v>
      </c>
      <c r="E20" s="1675" t="str">
        <f>J31</f>
        <v>No</v>
      </c>
      <c r="F20" s="1623" t="s">
        <v>1540</v>
      </c>
      <c r="G20" s="1623">
        <v>1302</v>
      </c>
      <c r="H20" s="1623">
        <v>253</v>
      </c>
      <c r="I20" s="1623">
        <v>266</v>
      </c>
      <c r="J20" s="1673"/>
      <c r="K20" s="1676" t="str">
        <f t="shared" si="0"/>
        <v>D263:E263</v>
      </c>
      <c r="L20" s="1623" t="str">
        <f t="shared" si="1"/>
        <v>F265</v>
      </c>
      <c r="M20" s="1677" t="str">
        <f>'Incentives Worksheet'!T265</f>
        <v>No</v>
      </c>
      <c r="N20" s="1678">
        <f>'Incentives Worksheet'!F265</f>
        <v>0</v>
      </c>
    </row>
    <row r="21" spans="1:14" x14ac:dyDescent="0.25">
      <c r="A21" s="1625" t="s">
        <v>1099</v>
      </c>
      <c r="B21" s="1625">
        <v>2</v>
      </c>
      <c r="C21" s="1625">
        <v>205</v>
      </c>
      <c r="D21" s="1623">
        <v>215</v>
      </c>
      <c r="E21" s="1675" t="str">
        <f>J31</f>
        <v>No</v>
      </c>
      <c r="F21" s="1623" t="s">
        <v>1540</v>
      </c>
      <c r="G21" s="1623">
        <v>1303</v>
      </c>
      <c r="H21" s="1623">
        <v>267</v>
      </c>
      <c r="I21" s="1623">
        <v>280</v>
      </c>
      <c r="J21" s="1673"/>
      <c r="K21" s="1676" t="str">
        <f t="shared" si="0"/>
        <v>D277:E277</v>
      </c>
      <c r="L21" s="1623" t="str">
        <f t="shared" si="1"/>
        <v>F279</v>
      </c>
      <c r="M21" s="1677" t="str">
        <f>'Incentives Worksheet'!T279</f>
        <v>No</v>
      </c>
      <c r="N21" s="1678">
        <f>'Incentives Worksheet'!F279</f>
        <v>0</v>
      </c>
    </row>
    <row r="22" spans="1:14" x14ac:dyDescent="0.25">
      <c r="A22" s="1625" t="s">
        <v>1484</v>
      </c>
      <c r="B22" s="1625">
        <v>1</v>
      </c>
      <c r="C22" s="1625">
        <v>217</v>
      </c>
      <c r="D22" s="1623">
        <v>223</v>
      </c>
      <c r="E22" s="1675" t="str">
        <f>J37</f>
        <v>No</v>
      </c>
      <c r="F22" s="1623" t="s">
        <v>1540</v>
      </c>
      <c r="G22" s="1623">
        <v>1304</v>
      </c>
      <c r="H22" s="1623">
        <v>281</v>
      </c>
      <c r="I22" s="1623">
        <v>294</v>
      </c>
      <c r="J22" s="1673"/>
      <c r="K22" s="1676" t="str">
        <f t="shared" si="0"/>
        <v>D291:E291</v>
      </c>
      <c r="L22" s="1623" t="str">
        <f t="shared" si="1"/>
        <v>F293</v>
      </c>
      <c r="M22" s="1677" t="str">
        <f>'Incentives Worksheet'!T293</f>
        <v>No</v>
      </c>
      <c r="N22" s="1678">
        <f>'Incentives Worksheet'!F293</f>
        <v>0</v>
      </c>
    </row>
    <row r="23" spans="1:14" x14ac:dyDescent="0.25">
      <c r="A23" s="1625" t="s">
        <v>1776</v>
      </c>
      <c r="B23" s="1625">
        <v>1</v>
      </c>
      <c r="C23" s="1625">
        <v>225</v>
      </c>
      <c r="D23" s="1625">
        <v>234</v>
      </c>
      <c r="E23" s="1675" t="str">
        <f>J38</f>
        <v>No</v>
      </c>
      <c r="F23" s="1623" t="s">
        <v>1540</v>
      </c>
      <c r="G23" s="1623">
        <v>1305</v>
      </c>
      <c r="H23" s="1623">
        <v>295</v>
      </c>
      <c r="I23" s="1623">
        <v>308</v>
      </c>
      <c r="J23" s="1673"/>
      <c r="K23" s="1676" t="str">
        <f t="shared" si="0"/>
        <v>D305:E305</v>
      </c>
      <c r="L23" s="1623" t="str">
        <f t="shared" si="1"/>
        <v>F307</v>
      </c>
      <c r="M23" s="1677" t="str">
        <f>'Incentives Worksheet'!T307</f>
        <v>No</v>
      </c>
      <c r="N23" s="1678">
        <f>'Incentives Worksheet'!F307</f>
        <v>0</v>
      </c>
    </row>
    <row r="24" spans="1:14" x14ac:dyDescent="0.25">
      <c r="A24" s="1625" t="s">
        <v>1776</v>
      </c>
      <c r="B24" s="1625">
        <v>2</v>
      </c>
      <c r="C24" s="1625">
        <v>236</v>
      </c>
      <c r="D24" s="1625">
        <v>245</v>
      </c>
      <c r="E24" s="1675" t="str">
        <f t="shared" ref="E24:E32" si="3">J39</f>
        <v>No</v>
      </c>
      <c r="F24" s="1623" t="s">
        <v>1541</v>
      </c>
      <c r="G24" s="1623">
        <v>4001</v>
      </c>
      <c r="H24" s="1623">
        <v>309</v>
      </c>
      <c r="I24" s="1623">
        <v>322</v>
      </c>
      <c r="J24" s="1672" t="str">
        <f>'Incentives Worksheet'!T318</f>
        <v>Yes</v>
      </c>
      <c r="K24" s="1676" t="str">
        <f t="shared" si="0"/>
        <v>D319:E319</v>
      </c>
      <c r="L24" s="1623" t="str">
        <f t="shared" si="1"/>
        <v>F321</v>
      </c>
      <c r="M24" s="1677" t="str">
        <f>'Incentives Worksheet'!T321</f>
        <v>No</v>
      </c>
      <c r="N24" s="1678">
        <f>'Incentives Worksheet'!F321</f>
        <v>0</v>
      </c>
    </row>
    <row r="25" spans="1:14" x14ac:dyDescent="0.25">
      <c r="A25" s="1625" t="s">
        <v>1776</v>
      </c>
      <c r="B25" s="1625">
        <v>3</v>
      </c>
      <c r="C25" s="1625">
        <v>247</v>
      </c>
      <c r="D25" s="1625">
        <v>256</v>
      </c>
      <c r="E25" s="1675" t="str">
        <f t="shared" si="3"/>
        <v>No</v>
      </c>
      <c r="F25" s="1623" t="s">
        <v>1601</v>
      </c>
      <c r="G25" s="1623">
        <v>4601</v>
      </c>
      <c r="H25" s="1623">
        <v>323</v>
      </c>
      <c r="I25" s="1623">
        <v>336</v>
      </c>
      <c r="J25" s="1672" t="str">
        <f>'Incentives Worksheet'!T332</f>
        <v>No</v>
      </c>
      <c r="K25" s="1676" t="str">
        <f t="shared" si="0"/>
        <v>D333:E333</v>
      </c>
      <c r="L25" s="1623" t="str">
        <f t="shared" si="1"/>
        <v>F335</v>
      </c>
      <c r="M25" s="1677" t="str">
        <f>'Incentives Worksheet'!T335</f>
        <v>No</v>
      </c>
      <c r="N25" s="1678">
        <f>'Incentives Worksheet'!F335</f>
        <v>0</v>
      </c>
    </row>
    <row r="26" spans="1:14" x14ac:dyDescent="0.25">
      <c r="A26" s="1625" t="s">
        <v>1776</v>
      </c>
      <c r="B26" s="1625">
        <v>4</v>
      </c>
      <c r="C26" s="1625">
        <v>258</v>
      </c>
      <c r="D26" s="1625">
        <v>267</v>
      </c>
      <c r="E26" s="1675" t="str">
        <f t="shared" si="3"/>
        <v>No</v>
      </c>
      <c r="F26" s="1623" t="s">
        <v>1601</v>
      </c>
      <c r="G26" s="1623">
        <v>4602</v>
      </c>
      <c r="H26" s="1623">
        <v>337</v>
      </c>
      <c r="I26" s="1623">
        <v>350</v>
      </c>
      <c r="J26" s="1672" t="str">
        <f>'Incentives Worksheet'!T346</f>
        <v>No</v>
      </c>
      <c r="K26" s="1676" t="str">
        <f t="shared" si="0"/>
        <v>D347:E347</v>
      </c>
      <c r="L26" s="1623" t="str">
        <f t="shared" si="1"/>
        <v>F349</v>
      </c>
      <c r="M26" s="1677" t="str">
        <f>'Incentives Worksheet'!T349</f>
        <v>No</v>
      </c>
      <c r="N26" s="1678">
        <f>'Incentives Worksheet'!F349</f>
        <v>0</v>
      </c>
    </row>
    <row r="27" spans="1:14" x14ac:dyDescent="0.25">
      <c r="A27" s="1625" t="s">
        <v>1776</v>
      </c>
      <c r="B27" s="1625">
        <v>5</v>
      </c>
      <c r="C27" s="1625">
        <v>269</v>
      </c>
      <c r="D27" s="1625">
        <v>278</v>
      </c>
      <c r="E27" s="1675" t="str">
        <f t="shared" si="3"/>
        <v>No</v>
      </c>
      <c r="F27" s="1623" t="s">
        <v>1762</v>
      </c>
      <c r="G27" s="1623">
        <v>4901</v>
      </c>
      <c r="H27" s="1623">
        <v>351</v>
      </c>
      <c r="I27" s="1623">
        <v>364</v>
      </c>
      <c r="J27" s="1672" t="str">
        <f>'Incentives Worksheet'!T360</f>
        <v>No</v>
      </c>
      <c r="K27" s="1676" t="str">
        <f t="shared" si="0"/>
        <v>D361:E361</v>
      </c>
      <c r="L27" s="1623" t="str">
        <f t="shared" si="1"/>
        <v>F363</v>
      </c>
      <c r="M27" s="1677" t="str">
        <f>'Incentives Worksheet'!T363</f>
        <v>No</v>
      </c>
      <c r="N27" s="1678">
        <f>'Incentives Worksheet'!F363</f>
        <v>0</v>
      </c>
    </row>
    <row r="28" spans="1:14" x14ac:dyDescent="0.25">
      <c r="A28" s="1625" t="s">
        <v>1776</v>
      </c>
      <c r="B28" s="1625">
        <v>6</v>
      </c>
      <c r="C28" s="1625">
        <v>280</v>
      </c>
      <c r="D28" s="1625">
        <v>289</v>
      </c>
      <c r="E28" s="1675" t="str">
        <f t="shared" si="3"/>
        <v>No</v>
      </c>
      <c r="F28" s="1623" t="s">
        <v>1609</v>
      </c>
      <c r="G28" s="1623">
        <v>5001</v>
      </c>
      <c r="H28" s="1623">
        <v>365</v>
      </c>
      <c r="I28" s="1623">
        <v>378</v>
      </c>
      <c r="J28" s="1672" t="str">
        <f>'Incentives Worksheet'!T374</f>
        <v>No</v>
      </c>
      <c r="K28" s="1676" t="str">
        <f t="shared" si="0"/>
        <v>D375:E375</v>
      </c>
      <c r="L28" s="1623" t="str">
        <f t="shared" si="1"/>
        <v>F377</v>
      </c>
      <c r="M28" s="1677" t="str">
        <f>'Incentives Worksheet'!T377</f>
        <v>No</v>
      </c>
      <c r="N28" s="1678">
        <f>'Incentives Worksheet'!F377</f>
        <v>0</v>
      </c>
    </row>
    <row r="29" spans="1:14" x14ac:dyDescent="0.25">
      <c r="A29" s="1625" t="s">
        <v>1776</v>
      </c>
      <c r="B29" s="1625">
        <v>7</v>
      </c>
      <c r="C29" s="1625">
        <v>291</v>
      </c>
      <c r="D29" s="1625">
        <v>300</v>
      </c>
      <c r="E29" s="1675" t="str">
        <f t="shared" si="3"/>
        <v>No</v>
      </c>
      <c r="F29" s="1623" t="s">
        <v>1133</v>
      </c>
      <c r="G29" s="1623">
        <v>801</v>
      </c>
      <c r="H29" s="1623">
        <v>379</v>
      </c>
      <c r="I29" s="1623">
        <v>392</v>
      </c>
      <c r="J29" s="1672" t="str">
        <f>'Incentives Worksheet'!T388</f>
        <v>No</v>
      </c>
      <c r="K29" s="1676" t="str">
        <f t="shared" si="0"/>
        <v>D389:E389</v>
      </c>
      <c r="L29" s="1623" t="str">
        <f t="shared" si="1"/>
        <v>F391</v>
      </c>
      <c r="M29" s="1677" t="str">
        <f>'Incentives Worksheet'!T391</f>
        <v>No</v>
      </c>
      <c r="N29" s="1678">
        <f>'Incentives Worksheet'!F391</f>
        <v>0</v>
      </c>
    </row>
    <row r="30" spans="1:14" x14ac:dyDescent="0.25">
      <c r="A30" s="1625" t="s">
        <v>1776</v>
      </c>
      <c r="B30" s="1625">
        <v>8</v>
      </c>
      <c r="C30" s="1625">
        <v>302</v>
      </c>
      <c r="D30" s="1625">
        <v>311</v>
      </c>
      <c r="E30" s="1675" t="str">
        <f t="shared" si="3"/>
        <v>No</v>
      </c>
      <c r="F30" s="1623" t="s">
        <v>1613</v>
      </c>
      <c r="G30" s="1623">
        <v>901</v>
      </c>
      <c r="H30" s="1623">
        <v>393</v>
      </c>
      <c r="I30" s="1623">
        <v>406</v>
      </c>
      <c r="J30" s="1672" t="str">
        <f>'Incentives Worksheet'!T402</f>
        <v>No</v>
      </c>
      <c r="K30" s="1676" t="str">
        <f t="shared" si="0"/>
        <v>D403:E403</v>
      </c>
      <c r="L30" s="1623" t="str">
        <f t="shared" si="1"/>
        <v>F405</v>
      </c>
      <c r="M30" s="1677" t="str">
        <f>'Incentives Worksheet'!T405</f>
        <v>No</v>
      </c>
      <c r="N30" s="1678">
        <f>'Incentives Worksheet'!F405</f>
        <v>0</v>
      </c>
    </row>
    <row r="31" spans="1:14" x14ac:dyDescent="0.25">
      <c r="A31" s="1625" t="s">
        <v>1776</v>
      </c>
      <c r="B31" s="1625">
        <v>9</v>
      </c>
      <c r="C31" s="1625">
        <v>313</v>
      </c>
      <c r="D31" s="1625">
        <v>322</v>
      </c>
      <c r="E31" s="1675" t="str">
        <f t="shared" si="3"/>
        <v>No</v>
      </c>
      <c r="F31" s="1623" t="s">
        <v>1615</v>
      </c>
      <c r="G31" s="1623">
        <v>501</v>
      </c>
      <c r="H31" s="1623">
        <v>407</v>
      </c>
      <c r="I31" s="1623">
        <v>420</v>
      </c>
      <c r="J31" s="1672" t="str">
        <f>'Incentives Worksheet'!T416</f>
        <v>No</v>
      </c>
      <c r="K31" s="1676" t="str">
        <f t="shared" si="0"/>
        <v>D417:E417</v>
      </c>
      <c r="L31" s="1623" t="str">
        <f t="shared" si="1"/>
        <v>F419</v>
      </c>
      <c r="M31" s="1677" t="str">
        <f>'Incentives Worksheet'!T419</f>
        <v>No</v>
      </c>
      <c r="N31" s="1678">
        <f>'Incentives Worksheet'!F419</f>
        <v>0</v>
      </c>
    </row>
    <row r="32" spans="1:14" x14ac:dyDescent="0.25">
      <c r="A32" s="1625" t="s">
        <v>2143</v>
      </c>
      <c r="B32" s="1625">
        <v>1</v>
      </c>
      <c r="C32" s="1625">
        <v>324</v>
      </c>
      <c r="D32" s="1625">
        <v>330</v>
      </c>
      <c r="E32" s="1675" t="str">
        <f t="shared" si="3"/>
        <v>No</v>
      </c>
      <c r="F32" s="1623" t="s">
        <v>1615</v>
      </c>
      <c r="G32" s="1623">
        <v>502</v>
      </c>
      <c r="H32" s="1623">
        <v>421</v>
      </c>
      <c r="I32" s="1623">
        <v>434</v>
      </c>
      <c r="J32" s="1672" t="str">
        <f>'Incentives Worksheet'!T430</f>
        <v>No</v>
      </c>
      <c r="K32" s="1676" t="str">
        <f t="shared" si="0"/>
        <v>D431:E431</v>
      </c>
      <c r="L32" s="1623" t="str">
        <f t="shared" si="1"/>
        <v>F433</v>
      </c>
      <c r="M32" s="1677" t="str">
        <f>'Incentives Worksheet'!T433</f>
        <v>No</v>
      </c>
      <c r="N32" s="1678">
        <f>'Incentives Worksheet'!F433</f>
        <v>0</v>
      </c>
    </row>
    <row r="33" spans="6:14" x14ac:dyDescent="0.25">
      <c r="F33" s="1623" t="s">
        <v>1618</v>
      </c>
      <c r="G33" s="1623">
        <v>5601</v>
      </c>
      <c r="H33" s="1623">
        <v>435</v>
      </c>
      <c r="I33" s="1623">
        <v>448</v>
      </c>
      <c r="J33" s="1672" t="str">
        <f>'Incentives Worksheet'!T444</f>
        <v>No</v>
      </c>
      <c r="K33" s="1676" t="str">
        <f t="shared" si="0"/>
        <v>D445:E445</v>
      </c>
      <c r="L33" s="1623" t="str">
        <f t="shared" si="1"/>
        <v>F447</v>
      </c>
      <c r="M33" s="1677" t="str">
        <f>'Incentives Worksheet'!T447</f>
        <v>No</v>
      </c>
      <c r="N33" s="1678">
        <f>'Incentives Worksheet'!F447</f>
        <v>0</v>
      </c>
    </row>
    <row r="34" spans="6:14" x14ac:dyDescent="0.25">
      <c r="F34" s="1623" t="s">
        <v>1618</v>
      </c>
      <c r="G34" s="1623">
        <v>5602</v>
      </c>
      <c r="H34" s="1623">
        <v>449</v>
      </c>
      <c r="I34" s="1623">
        <v>462</v>
      </c>
      <c r="J34" s="1672" t="str">
        <f>'Incentives Worksheet'!T458</f>
        <v>No</v>
      </c>
      <c r="K34" s="1676" t="str">
        <f t="shared" si="0"/>
        <v>D459:E459</v>
      </c>
      <c r="L34" s="1623" t="str">
        <f t="shared" si="1"/>
        <v>F461</v>
      </c>
      <c r="M34" s="1677" t="str">
        <f>'Incentives Worksheet'!T461</f>
        <v>No</v>
      </c>
      <c r="N34" s="1678">
        <f>'Incentives Worksheet'!F461</f>
        <v>0</v>
      </c>
    </row>
    <row r="35" spans="6:14" x14ac:dyDescent="0.25">
      <c r="F35" s="1623" t="s">
        <v>1621</v>
      </c>
      <c r="G35" s="1623">
        <v>601</v>
      </c>
      <c r="H35" s="1623">
        <v>463</v>
      </c>
      <c r="I35" s="1623">
        <v>476</v>
      </c>
      <c r="J35" s="1672" t="str">
        <f>'Incentives Worksheet'!T472</f>
        <v>No</v>
      </c>
      <c r="K35" s="1676" t="str">
        <f t="shared" si="0"/>
        <v>D473:E473</v>
      </c>
      <c r="L35" s="1623" t="str">
        <f t="shared" si="1"/>
        <v>F475</v>
      </c>
      <c r="M35" s="1677" t="str">
        <f>'Incentives Worksheet'!T475</f>
        <v>No</v>
      </c>
      <c r="N35" s="1678">
        <f>'Incentives Worksheet'!F475</f>
        <v>0</v>
      </c>
    </row>
    <row r="36" spans="6:14" x14ac:dyDescent="0.25">
      <c r="F36" s="1623" t="s">
        <v>1621</v>
      </c>
      <c r="G36" s="1623">
        <v>602</v>
      </c>
      <c r="H36" s="1623">
        <v>477</v>
      </c>
      <c r="I36" s="1623">
        <v>490</v>
      </c>
      <c r="J36" s="1672" t="str">
        <f>'Incentives Worksheet'!T486</f>
        <v>No</v>
      </c>
      <c r="K36" s="1676" t="str">
        <f t="shared" si="0"/>
        <v>D487:E487</v>
      </c>
      <c r="L36" s="1623" t="str">
        <f t="shared" si="1"/>
        <v>F489</v>
      </c>
      <c r="M36" s="1677" t="str">
        <f>'Incentives Worksheet'!T489</f>
        <v>No</v>
      </c>
      <c r="N36" s="1678">
        <f>'Incentives Worksheet'!F489</f>
        <v>0</v>
      </c>
    </row>
    <row r="37" spans="6:14" x14ac:dyDescent="0.25">
      <c r="F37" s="1623" t="s">
        <v>1630</v>
      </c>
      <c r="G37" s="1623">
        <v>1001</v>
      </c>
      <c r="H37" s="1623">
        <v>491</v>
      </c>
      <c r="I37" s="1623">
        <v>502</v>
      </c>
      <c r="J37" s="1672" t="str">
        <f>'Incentives Worksheet'!T497</f>
        <v>No</v>
      </c>
      <c r="K37" s="1676" t="str">
        <f t="shared" si="0"/>
        <v>D501:E501</v>
      </c>
      <c r="L37" s="1623" t="str">
        <f t="shared" si="1"/>
        <v>F501</v>
      </c>
      <c r="M37" s="1677" t="str">
        <f>'Incentives Worksheet'!T501</f>
        <v>No</v>
      </c>
      <c r="N37" s="1678">
        <f>'Incentives Worksheet'!F501</f>
        <v>0</v>
      </c>
    </row>
    <row r="38" spans="6:14" x14ac:dyDescent="0.25">
      <c r="F38" s="1623" t="s">
        <v>1776</v>
      </c>
      <c r="G38" s="1623">
        <v>5301</v>
      </c>
      <c r="H38" s="1623">
        <v>503</v>
      </c>
      <c r="I38" s="1623">
        <v>516</v>
      </c>
      <c r="J38" s="1672" t="str">
        <f>'Incentives Worksheet'!T512</f>
        <v>No</v>
      </c>
      <c r="K38" s="1676" t="str">
        <f t="shared" si="0"/>
        <v>D513:E513</v>
      </c>
      <c r="L38" s="1623" t="str">
        <f t="shared" si="1"/>
        <v>F515</v>
      </c>
      <c r="M38" s="1677" t="str">
        <f>'Incentives Worksheet'!T515</f>
        <v>No</v>
      </c>
      <c r="N38" s="1678">
        <f>'Incentives Worksheet'!F515</f>
        <v>0</v>
      </c>
    </row>
    <row r="39" spans="6:14" x14ac:dyDescent="0.25">
      <c r="F39" s="1623" t="s">
        <v>1776</v>
      </c>
      <c r="G39" s="1623">
        <v>5302</v>
      </c>
      <c r="H39" s="1623">
        <v>517</v>
      </c>
      <c r="I39" s="1623">
        <v>530</v>
      </c>
      <c r="J39" s="1672" t="str">
        <f>'Incentives Worksheet'!T526</f>
        <v>No</v>
      </c>
      <c r="K39" s="1676" t="str">
        <f t="shared" si="0"/>
        <v>D527:E527</v>
      </c>
      <c r="L39" s="1623" t="str">
        <f t="shared" si="1"/>
        <v>F529</v>
      </c>
      <c r="M39" s="1677" t="str">
        <f>'Incentives Worksheet'!T529</f>
        <v>No</v>
      </c>
      <c r="N39" s="1678">
        <f>'Incentives Worksheet'!F529</f>
        <v>0</v>
      </c>
    </row>
    <row r="40" spans="6:14" x14ac:dyDescent="0.25">
      <c r="F40" s="1623" t="s">
        <v>1776</v>
      </c>
      <c r="G40" s="1623">
        <v>5303</v>
      </c>
      <c r="H40" s="1623">
        <v>531</v>
      </c>
      <c r="I40" s="1623">
        <v>544</v>
      </c>
      <c r="J40" s="1672" t="str">
        <f>'Incentives Worksheet'!T540</f>
        <v>No</v>
      </c>
      <c r="K40" s="1676" t="str">
        <f t="shared" si="0"/>
        <v>D541:E541</v>
      </c>
      <c r="L40" s="1623" t="str">
        <f t="shared" si="1"/>
        <v>F543</v>
      </c>
      <c r="M40" s="1677" t="str">
        <f>'Incentives Worksheet'!T543</f>
        <v>No</v>
      </c>
      <c r="N40" s="1678">
        <f>'Incentives Worksheet'!F543</f>
        <v>0</v>
      </c>
    </row>
    <row r="41" spans="6:14" x14ac:dyDescent="0.25">
      <c r="F41" s="1623" t="s">
        <v>1776</v>
      </c>
      <c r="G41" s="1623">
        <v>5304</v>
      </c>
      <c r="H41" s="1623">
        <v>545</v>
      </c>
      <c r="I41" s="1623">
        <v>558</v>
      </c>
      <c r="J41" s="1672" t="str">
        <f>'Incentives Worksheet'!T554</f>
        <v>No</v>
      </c>
      <c r="K41" s="1676" t="str">
        <f t="shared" si="0"/>
        <v>D555:E555</v>
      </c>
      <c r="L41" s="1623" t="str">
        <f t="shared" si="1"/>
        <v>F557</v>
      </c>
      <c r="M41" s="1677" t="str">
        <f>'Incentives Worksheet'!T557</f>
        <v>No</v>
      </c>
      <c r="N41" s="1678">
        <f>'Incentives Worksheet'!F557</f>
        <v>0</v>
      </c>
    </row>
    <row r="42" spans="6:14" x14ac:dyDescent="0.25">
      <c r="F42" s="1623" t="s">
        <v>1776</v>
      </c>
      <c r="G42" s="1623">
        <v>5305</v>
      </c>
      <c r="H42" s="1623">
        <v>559</v>
      </c>
      <c r="I42" s="1623">
        <v>572</v>
      </c>
      <c r="J42" s="1672" t="str">
        <f>'Incentives Worksheet'!T568</f>
        <v>No</v>
      </c>
      <c r="K42" s="1676" t="str">
        <f t="shared" si="0"/>
        <v>D569:E569</v>
      </c>
      <c r="L42" s="1623" t="str">
        <f t="shared" si="1"/>
        <v>F571</v>
      </c>
      <c r="M42" s="1677" t="str">
        <f>'Incentives Worksheet'!T571</f>
        <v>No</v>
      </c>
      <c r="N42" s="1678">
        <f>'Incentives Worksheet'!F571</f>
        <v>0</v>
      </c>
    </row>
    <row r="43" spans="6:14" x14ac:dyDescent="0.25">
      <c r="F43" s="1623" t="s">
        <v>1776</v>
      </c>
      <c r="G43" s="1623">
        <v>5306</v>
      </c>
      <c r="H43" s="1623">
        <v>573</v>
      </c>
      <c r="I43" s="1623">
        <v>586</v>
      </c>
      <c r="J43" s="1672" t="str">
        <f>'Incentives Worksheet'!T582</f>
        <v>No</v>
      </c>
      <c r="K43" s="1676" t="str">
        <f t="shared" si="0"/>
        <v>D583:E583</v>
      </c>
      <c r="L43" s="1623" t="str">
        <f t="shared" si="1"/>
        <v>F585</v>
      </c>
      <c r="M43" s="1677" t="str">
        <f>'Incentives Worksheet'!T585</f>
        <v>No</v>
      </c>
      <c r="N43" s="1678">
        <f>'Incentives Worksheet'!F585</f>
        <v>0</v>
      </c>
    </row>
    <row r="44" spans="6:14" x14ac:dyDescent="0.25">
      <c r="F44" s="1623" t="s">
        <v>1776</v>
      </c>
      <c r="G44" s="1623">
        <v>5307</v>
      </c>
      <c r="H44" s="1623">
        <v>587</v>
      </c>
      <c r="I44" s="1623">
        <v>600</v>
      </c>
      <c r="J44" s="1672" t="str">
        <f>'Incentives Worksheet'!T596</f>
        <v>No</v>
      </c>
      <c r="K44" s="1676" t="str">
        <f t="shared" si="0"/>
        <v>D597:E597</v>
      </c>
      <c r="L44" s="1623" t="str">
        <f t="shared" si="1"/>
        <v>F599</v>
      </c>
      <c r="M44" s="1677" t="str">
        <f>'Incentives Worksheet'!T599</f>
        <v>No</v>
      </c>
      <c r="N44" s="1678">
        <f>'Incentives Worksheet'!F599</f>
        <v>0</v>
      </c>
    </row>
    <row r="45" spans="6:14" x14ac:dyDescent="0.25">
      <c r="F45" s="1623" t="s">
        <v>1776</v>
      </c>
      <c r="G45" s="1623">
        <v>5308</v>
      </c>
      <c r="H45" s="1623">
        <v>601</v>
      </c>
      <c r="I45" s="1623">
        <v>614</v>
      </c>
      <c r="J45" s="1672" t="str">
        <f>'Incentives Worksheet'!T610</f>
        <v>No</v>
      </c>
      <c r="K45" s="1676" t="str">
        <f t="shared" si="0"/>
        <v>D611:E611</v>
      </c>
      <c r="L45" s="1623" t="str">
        <f t="shared" si="1"/>
        <v>F613</v>
      </c>
      <c r="M45" s="1677" t="str">
        <f>'Incentives Worksheet'!T613</f>
        <v>No</v>
      </c>
      <c r="N45" s="1678">
        <f>'Incentives Worksheet'!F613</f>
        <v>0</v>
      </c>
    </row>
    <row r="46" spans="6:14" x14ac:dyDescent="0.25">
      <c r="F46" s="1623" t="s">
        <v>1776</v>
      </c>
      <c r="G46" s="1623">
        <v>5309</v>
      </c>
      <c r="H46" s="1623">
        <v>615</v>
      </c>
      <c r="I46" s="1623">
        <v>628</v>
      </c>
      <c r="J46" s="1672" t="str">
        <f>'Incentives Worksheet'!T624</f>
        <v>No</v>
      </c>
      <c r="K46" s="1676" t="str">
        <f t="shared" si="0"/>
        <v>D625:E625</v>
      </c>
      <c r="L46" s="1623" t="str">
        <f t="shared" si="1"/>
        <v>F627</v>
      </c>
      <c r="M46" s="1677" t="str">
        <f>'Incentives Worksheet'!T627</f>
        <v>No</v>
      </c>
      <c r="N46" s="1678">
        <f>'Incentives Worksheet'!F627</f>
        <v>0</v>
      </c>
    </row>
    <row r="47" spans="6:14" x14ac:dyDescent="0.25">
      <c r="F47" s="1671" t="s">
        <v>2143</v>
      </c>
      <c r="G47" s="1671">
        <v>5201</v>
      </c>
      <c r="H47" s="1671">
        <v>629</v>
      </c>
      <c r="I47" s="1671">
        <v>642</v>
      </c>
      <c r="J47" s="1672" t="str">
        <f>'Incentives Worksheet'!T638</f>
        <v>No</v>
      </c>
      <c r="K47" s="1676" t="str">
        <f t="shared" si="0"/>
        <v>D639:E639</v>
      </c>
      <c r="L47" s="1623" t="str">
        <f t="shared" si="1"/>
        <v>F641</v>
      </c>
      <c r="M47" s="1677" t="str">
        <f>'Incentives Worksheet'!T641</f>
        <v>No</v>
      </c>
      <c r="N47" s="1678">
        <f>'Incentives Worksheet'!F641</f>
        <v>0</v>
      </c>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2080</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2087</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1735</v>
      </c>
      <c r="C24" s="1069" t="s">
        <v>1124</v>
      </c>
      <c r="D24" s="1069" t="s">
        <v>1125</v>
      </c>
      <c r="E24" s="1068">
        <v>4175</v>
      </c>
      <c r="F24" s="1068" t="s">
        <v>1123</v>
      </c>
      <c r="G24" s="1071" t="s">
        <v>1735</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1736</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1735</v>
      </c>
      <c r="C50" s="1069" t="s">
        <v>1124</v>
      </c>
      <c r="D50" s="1069" t="s">
        <v>1127</v>
      </c>
      <c r="E50" s="1068">
        <v>4135</v>
      </c>
      <c r="F50" s="1068" t="s">
        <v>1126</v>
      </c>
      <c r="G50" s="1071" t="s">
        <v>1735</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1735</v>
      </c>
      <c r="C67" s="1069" t="s">
        <v>1124</v>
      </c>
      <c r="D67" s="1069" t="s">
        <v>1129</v>
      </c>
      <c r="E67" s="1068">
        <v>4125</v>
      </c>
      <c r="F67" s="1068" t="s">
        <v>1128</v>
      </c>
      <c r="G67" s="1071" t="s">
        <v>1735</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1737</v>
      </c>
      <c r="E71" s="1072">
        <v>2010</v>
      </c>
      <c r="F71" s="1072" t="s">
        <v>1021</v>
      </c>
      <c r="G71" s="1075" t="s">
        <v>13</v>
      </c>
    </row>
    <row r="72" spans="1:7" x14ac:dyDescent="0.25">
      <c r="A72" s="1068" t="s">
        <v>378</v>
      </c>
      <c r="B72" s="1071" t="s">
        <v>13</v>
      </c>
      <c r="C72" s="1069" t="s">
        <v>61</v>
      </c>
      <c r="D72" s="1069" t="s">
        <v>1738</v>
      </c>
      <c r="E72" s="1068">
        <v>2030</v>
      </c>
      <c r="F72" s="1068" t="s">
        <v>378</v>
      </c>
      <c r="G72" s="1071" t="s">
        <v>13</v>
      </c>
    </row>
    <row r="73" spans="1:7" x14ac:dyDescent="0.25">
      <c r="A73" s="1068" t="s">
        <v>1013</v>
      </c>
      <c r="B73" s="1071" t="s">
        <v>1328</v>
      </c>
      <c r="C73" s="1069" t="s">
        <v>1012</v>
      </c>
      <c r="D73" s="1069" t="s">
        <v>1739</v>
      </c>
      <c r="E73" s="1068">
        <v>2375</v>
      </c>
      <c r="F73" s="1068" t="s">
        <v>1013</v>
      </c>
      <c r="G73" s="1071" t="s">
        <v>1328</v>
      </c>
    </row>
    <row r="74" spans="1:7" x14ac:dyDescent="0.25">
      <c r="A74" s="1068" t="s">
        <v>1014</v>
      </c>
      <c r="B74" s="1071" t="s">
        <v>1328</v>
      </c>
      <c r="C74" s="1069" t="s">
        <v>1012</v>
      </c>
      <c r="D74" s="1069" t="s">
        <v>1740</v>
      </c>
      <c r="E74" s="1068">
        <v>2355</v>
      </c>
      <c r="F74" s="1068" t="s">
        <v>1014</v>
      </c>
      <c r="G74" s="1071" t="s">
        <v>1328</v>
      </c>
    </row>
    <row r="75" spans="1:7" x14ac:dyDescent="0.25">
      <c r="A75" s="1068" t="s">
        <v>182</v>
      </c>
      <c r="B75" s="1071" t="s">
        <v>23</v>
      </c>
      <c r="C75" s="1069" t="s">
        <v>194</v>
      </c>
      <c r="D75" s="1069" t="s">
        <v>1741</v>
      </c>
      <c r="E75" s="1068">
        <v>2310</v>
      </c>
      <c r="F75" s="1068" t="s">
        <v>182</v>
      </c>
      <c r="G75" s="1071" t="s">
        <v>23</v>
      </c>
    </row>
    <row r="76" spans="1:7" x14ac:dyDescent="0.25">
      <c r="A76" s="1068" t="s">
        <v>191</v>
      </c>
      <c r="B76" s="1071" t="s">
        <v>13</v>
      </c>
      <c r="C76" s="1069" t="s">
        <v>1018</v>
      </c>
      <c r="D76" s="1069" t="s">
        <v>1742</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2022-09-29T06:26:27Z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4c685423-c378-468d-8221-792add64d5dd</vt:lpwstr>
  </property>
  <property fmtid="{D5CDD505-2E9C-101B-9397-08002B2CF9AE}" pid="4" name="Classification">
    <vt:lpwstr>LV_R3STR1CT3D</vt:lpwstr>
  </property>
  <property fmtid="{D5CDD505-2E9C-101B-9397-08002B2CF9AE}" pid="5" name="ContainsPII">
    <vt:lpwstr>No</vt:lpwstr>
  </property>
</Properties>
</file>