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Проекты\ЭПВ-2018-02 Бахрушев-внутрянка\"/>
    </mc:Choice>
  </mc:AlternateContent>
  <xr:revisionPtr revIDLastSave="0" documentId="13_ncr:1_{AF158D34-C823-4671-8AF6-0D83E47CC82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Таблица оборудования" sheetId="3" r:id="rId1"/>
    <sheet name="Лист1" sheetId="4" r:id="rId2"/>
  </sheets>
  <definedNames>
    <definedName name="_xlnm._FilterDatabase" localSheetId="1" hidden="1">Лист1!$A$1:$F$349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48" i="4" l="1"/>
  <c r="E316" i="4"/>
  <c r="F295" i="4"/>
  <c r="E295" i="4"/>
  <c r="E288" i="4"/>
  <c r="E252" i="4"/>
  <c r="E232" i="4"/>
  <c r="E227" i="4"/>
  <c r="E200" i="4"/>
  <c r="E196" i="4"/>
  <c r="F193" i="4"/>
  <c r="E184" i="4"/>
  <c r="F178" i="4"/>
  <c r="F170" i="4"/>
  <c r="E150" i="4"/>
  <c r="F149" i="4"/>
  <c r="E144" i="4"/>
  <c r="E131" i="4"/>
  <c r="F127" i="4"/>
  <c r="E110" i="4"/>
  <c r="F107" i="4"/>
  <c r="F106" i="4"/>
  <c r="E106" i="4"/>
  <c r="E87" i="4"/>
  <c r="F85" i="4"/>
  <c r="E60" i="4"/>
  <c r="E58" i="4"/>
  <c r="E54" i="4"/>
  <c r="F53" i="4"/>
  <c r="E38" i="4"/>
  <c r="F31" i="4"/>
  <c r="E30" i="4"/>
  <c r="E18" i="4"/>
  <c r="F16" i="4"/>
  <c r="E16" i="4"/>
  <c r="E6" i="4"/>
  <c r="F2" i="4"/>
  <c r="E2" i="4"/>
  <c r="D349" i="3"/>
  <c r="D348" i="3"/>
  <c r="N349" i="3"/>
  <c r="O349" i="3"/>
  <c r="V349" i="3" s="1"/>
  <c r="P349" i="3"/>
  <c r="E349" i="4" s="1"/>
  <c r="T349" i="3"/>
  <c r="W349" i="3"/>
  <c r="Z349" i="3"/>
  <c r="N348" i="3"/>
  <c r="O348" i="3"/>
  <c r="V348" i="3" s="1"/>
  <c r="P348" i="3"/>
  <c r="T348" i="3"/>
  <c r="Z348" i="3" s="1"/>
  <c r="W348" i="3"/>
  <c r="D347" i="3"/>
  <c r="D2" i="3"/>
  <c r="N2" i="3"/>
  <c r="O2" i="3"/>
  <c r="P2" i="3"/>
  <c r="T2" i="3"/>
  <c r="V2" i="3"/>
  <c r="Z2" i="3"/>
  <c r="D3" i="3"/>
  <c r="N3" i="3"/>
  <c r="O3" i="3"/>
  <c r="V3" i="3" s="1"/>
  <c r="F3" i="4" s="1"/>
  <c r="P3" i="3"/>
  <c r="T3" i="3"/>
  <c r="Z3" i="3"/>
  <c r="D4" i="3"/>
  <c r="N4" i="3"/>
  <c r="O4" i="3"/>
  <c r="V4" i="3" s="1"/>
  <c r="F4" i="4" s="1"/>
  <c r="P4" i="3"/>
  <c r="W4" i="3" s="1"/>
  <c r="T4" i="3"/>
  <c r="Z4" i="3"/>
  <c r="D5" i="3"/>
  <c r="N5" i="3"/>
  <c r="O5" i="3"/>
  <c r="V5" i="3" s="1"/>
  <c r="P5" i="3"/>
  <c r="T5" i="3"/>
  <c r="Z5" i="3"/>
  <c r="D6" i="3"/>
  <c r="N6" i="3"/>
  <c r="O6" i="3"/>
  <c r="V6" i="3" s="1"/>
  <c r="P6" i="3"/>
  <c r="T6" i="3"/>
  <c r="Z6" i="3"/>
  <c r="D7" i="3"/>
  <c r="N7" i="3"/>
  <c r="O7" i="3"/>
  <c r="P7" i="3"/>
  <c r="T7" i="3"/>
  <c r="Z7" i="3"/>
  <c r="D8" i="3"/>
  <c r="N8" i="3"/>
  <c r="O8" i="3"/>
  <c r="V8" i="3" s="1"/>
  <c r="F8" i="4" s="1"/>
  <c r="P8" i="3"/>
  <c r="T8" i="3"/>
  <c r="Z8" i="3"/>
  <c r="D9" i="3"/>
  <c r="N9" i="3"/>
  <c r="O9" i="3"/>
  <c r="V9" i="3" s="1"/>
  <c r="P9" i="3"/>
  <c r="T9" i="3"/>
  <c r="Z9" i="3"/>
  <c r="D10" i="3"/>
  <c r="N10" i="3"/>
  <c r="O10" i="3"/>
  <c r="P10" i="3"/>
  <c r="T10" i="3"/>
  <c r="V10" i="3"/>
  <c r="Z10" i="3"/>
  <c r="D11" i="3"/>
  <c r="N11" i="3"/>
  <c r="O11" i="3"/>
  <c r="P11" i="3"/>
  <c r="T11" i="3"/>
  <c r="V11" i="3"/>
  <c r="Z11" i="3"/>
  <c r="D12" i="3"/>
  <c r="N12" i="3"/>
  <c r="O12" i="3"/>
  <c r="V12" i="3" s="1"/>
  <c r="P12" i="3"/>
  <c r="E12" i="4" s="1"/>
  <c r="T12" i="3"/>
  <c r="Z12" i="3"/>
  <c r="D13" i="3"/>
  <c r="J13" i="3"/>
  <c r="N13" i="3"/>
  <c r="O13" i="3"/>
  <c r="V13" i="3" s="1"/>
  <c r="F13" i="4" s="1"/>
  <c r="P13" i="3"/>
  <c r="T13" i="3"/>
  <c r="Z13" i="3"/>
  <c r="D14" i="3"/>
  <c r="N14" i="3"/>
  <c r="O14" i="3"/>
  <c r="P14" i="3"/>
  <c r="E14" i="4" s="1"/>
  <c r="T14" i="3"/>
  <c r="Z14" i="3"/>
  <c r="D15" i="3"/>
  <c r="N15" i="3"/>
  <c r="O15" i="3"/>
  <c r="V15" i="3" s="1"/>
  <c r="P15" i="3"/>
  <c r="T15" i="3"/>
  <c r="Z15" i="3"/>
  <c r="X15" i="3" s="1"/>
  <c r="D16" i="3"/>
  <c r="N16" i="3"/>
  <c r="O16" i="3"/>
  <c r="V16" i="3" s="1"/>
  <c r="P16" i="3"/>
  <c r="T16" i="3"/>
  <c r="Z16" i="3"/>
  <c r="D17" i="3"/>
  <c r="N17" i="3"/>
  <c r="O17" i="3"/>
  <c r="V17" i="3" s="1"/>
  <c r="F17" i="4" s="1"/>
  <c r="P17" i="3"/>
  <c r="T17" i="3"/>
  <c r="Z17" i="3"/>
  <c r="D18" i="3"/>
  <c r="N18" i="3"/>
  <c r="O18" i="3"/>
  <c r="V18" i="3" s="1"/>
  <c r="F18" i="4" s="1"/>
  <c r="P18" i="3"/>
  <c r="W18" i="3" s="1"/>
  <c r="T18" i="3"/>
  <c r="Z18" i="3"/>
  <c r="D19" i="3"/>
  <c r="N19" i="3"/>
  <c r="O19" i="3"/>
  <c r="P19" i="3"/>
  <c r="T19" i="3"/>
  <c r="Z19" i="3"/>
  <c r="D20" i="3"/>
  <c r="N20" i="3"/>
  <c r="O20" i="3"/>
  <c r="V20" i="3" s="1"/>
  <c r="P20" i="3"/>
  <c r="E20" i="4" s="1"/>
  <c r="T20" i="3"/>
  <c r="Z20" i="3"/>
  <c r="F20" i="4" s="1"/>
  <c r="D21" i="3"/>
  <c r="N21" i="3"/>
  <c r="O21" i="3"/>
  <c r="V21" i="3" s="1"/>
  <c r="P21" i="3"/>
  <c r="T21" i="3"/>
  <c r="Z21" i="3"/>
  <c r="D22" i="3"/>
  <c r="N22" i="3"/>
  <c r="O22" i="3"/>
  <c r="P22" i="3"/>
  <c r="T22" i="3"/>
  <c r="Z22" i="3"/>
  <c r="D23" i="3"/>
  <c r="N23" i="3"/>
  <c r="O23" i="3"/>
  <c r="V23" i="3" s="1"/>
  <c r="F23" i="4" s="1"/>
  <c r="P23" i="3"/>
  <c r="T23" i="3"/>
  <c r="Z23" i="3"/>
  <c r="D24" i="3"/>
  <c r="N24" i="3"/>
  <c r="O24" i="3"/>
  <c r="V24" i="3" s="1"/>
  <c r="F24" i="4" s="1"/>
  <c r="P24" i="3"/>
  <c r="T24" i="3"/>
  <c r="Z24" i="3"/>
  <c r="D25" i="3"/>
  <c r="N25" i="3"/>
  <c r="O25" i="3"/>
  <c r="P25" i="3"/>
  <c r="T25" i="3"/>
  <c r="V25" i="3"/>
  <c r="Z25" i="3"/>
  <c r="D26" i="3"/>
  <c r="N26" i="3"/>
  <c r="O26" i="3"/>
  <c r="V26" i="3" s="1"/>
  <c r="P26" i="3"/>
  <c r="T26" i="3"/>
  <c r="Z26" i="3"/>
  <c r="F26" i="4" s="1"/>
  <c r="D27" i="3"/>
  <c r="J27" i="3"/>
  <c r="N27" i="3"/>
  <c r="O27" i="3"/>
  <c r="P27" i="3"/>
  <c r="T27" i="3"/>
  <c r="Z27" i="3"/>
  <c r="D28" i="3"/>
  <c r="N28" i="3"/>
  <c r="O28" i="3"/>
  <c r="V28" i="3" s="1"/>
  <c r="F28" i="4" s="1"/>
  <c r="P28" i="3"/>
  <c r="T28" i="3"/>
  <c r="Z28" i="3"/>
  <c r="D29" i="3"/>
  <c r="N29" i="3"/>
  <c r="O29" i="3"/>
  <c r="P29" i="3"/>
  <c r="Z29" i="3"/>
  <c r="D30" i="3"/>
  <c r="N30" i="3"/>
  <c r="O30" i="3"/>
  <c r="P30" i="3"/>
  <c r="T30" i="3"/>
  <c r="Z30" i="3"/>
  <c r="D31" i="3"/>
  <c r="N31" i="3"/>
  <c r="O31" i="3"/>
  <c r="V31" i="3" s="1"/>
  <c r="P31" i="3"/>
  <c r="T31" i="3"/>
  <c r="Z31" i="3"/>
  <c r="D32" i="3"/>
  <c r="N32" i="3"/>
  <c r="O32" i="3"/>
  <c r="V32" i="3" s="1"/>
  <c r="F32" i="4" s="1"/>
  <c r="P32" i="3"/>
  <c r="E32" i="4" s="1"/>
  <c r="Z32" i="3"/>
  <c r="D33" i="3"/>
  <c r="N33" i="3"/>
  <c r="O33" i="3"/>
  <c r="V33" i="3" s="1"/>
  <c r="P33" i="3"/>
  <c r="T33" i="3"/>
  <c r="Z33" i="3"/>
  <c r="D34" i="3"/>
  <c r="N34" i="3"/>
  <c r="O34" i="3"/>
  <c r="V34" i="3" s="1"/>
  <c r="P34" i="3"/>
  <c r="T34" i="3"/>
  <c r="Z34" i="3"/>
  <c r="D35" i="3"/>
  <c r="N35" i="3"/>
  <c r="O35" i="3"/>
  <c r="V35" i="3" s="1"/>
  <c r="F35" i="4" s="1"/>
  <c r="P35" i="3"/>
  <c r="T35" i="3"/>
  <c r="Z35" i="3"/>
  <c r="D36" i="3"/>
  <c r="N36" i="3"/>
  <c r="O36" i="3"/>
  <c r="V36" i="3" s="1"/>
  <c r="F36" i="4" s="1"/>
  <c r="P36" i="3"/>
  <c r="T36" i="3"/>
  <c r="Z36" i="3"/>
  <c r="D37" i="3"/>
  <c r="N37" i="3"/>
  <c r="O37" i="3"/>
  <c r="V37" i="3" s="1"/>
  <c r="P37" i="3"/>
  <c r="E37" i="4" s="1"/>
  <c r="T37" i="3"/>
  <c r="Z37" i="3"/>
  <c r="F37" i="4" s="1"/>
  <c r="D38" i="3"/>
  <c r="N38" i="3"/>
  <c r="O38" i="3"/>
  <c r="V38" i="3" s="1"/>
  <c r="P38" i="3"/>
  <c r="T38" i="3"/>
  <c r="Z38" i="3"/>
  <c r="D39" i="3"/>
  <c r="J39" i="3"/>
  <c r="P39" i="3"/>
  <c r="T39" i="3"/>
  <c r="Z39" i="3"/>
  <c r="D40" i="3"/>
  <c r="J40" i="3"/>
  <c r="N40" i="3"/>
  <c r="O40" i="3"/>
  <c r="V40" i="3" s="1"/>
  <c r="F40" i="4" s="1"/>
  <c r="P40" i="3"/>
  <c r="T40" i="3"/>
  <c r="Z40" i="3"/>
  <c r="D41" i="3"/>
  <c r="N41" i="3"/>
  <c r="O41" i="3"/>
  <c r="V41" i="3" s="1"/>
  <c r="P41" i="3"/>
  <c r="T41" i="3"/>
  <c r="Z41" i="3"/>
  <c r="D42" i="3"/>
  <c r="N42" i="3"/>
  <c r="O42" i="3"/>
  <c r="V42" i="3" s="1"/>
  <c r="P42" i="3"/>
  <c r="T42" i="3"/>
  <c r="Z42" i="3"/>
  <c r="D43" i="3"/>
  <c r="N43" i="3"/>
  <c r="O43" i="3"/>
  <c r="V43" i="3" s="1"/>
  <c r="F43" i="4" s="1"/>
  <c r="P43" i="3"/>
  <c r="T43" i="3"/>
  <c r="Z43" i="3"/>
  <c r="D44" i="3"/>
  <c r="N44" i="3"/>
  <c r="O44" i="3"/>
  <c r="V44" i="3" s="1"/>
  <c r="F44" i="4" s="1"/>
  <c r="P44" i="3"/>
  <c r="W44" i="3" s="1"/>
  <c r="T44" i="3"/>
  <c r="Z44" i="3"/>
  <c r="D45" i="3"/>
  <c r="N45" i="3"/>
  <c r="O45" i="3"/>
  <c r="P45" i="3"/>
  <c r="T45" i="3"/>
  <c r="Z45" i="3"/>
  <c r="D46" i="3"/>
  <c r="N46" i="3"/>
  <c r="O46" i="3"/>
  <c r="V46" i="3" s="1"/>
  <c r="P46" i="3"/>
  <c r="Z46" i="3"/>
  <c r="X46" i="3" s="1"/>
  <c r="D47" i="3"/>
  <c r="N47" i="3"/>
  <c r="O47" i="3"/>
  <c r="V47" i="3" s="1"/>
  <c r="F47" i="4" s="1"/>
  <c r="P47" i="3"/>
  <c r="Z47" i="3"/>
  <c r="D48" i="3"/>
  <c r="N48" i="3"/>
  <c r="O48" i="3"/>
  <c r="V48" i="3" s="1"/>
  <c r="P48" i="3"/>
  <c r="T48" i="3"/>
  <c r="Z48" i="3"/>
  <c r="D49" i="3"/>
  <c r="N49" i="3"/>
  <c r="O49" i="3"/>
  <c r="P49" i="3"/>
  <c r="T49" i="3"/>
  <c r="V49" i="3"/>
  <c r="Z49" i="3"/>
  <c r="D50" i="3"/>
  <c r="N50" i="3"/>
  <c r="O50" i="3"/>
  <c r="P50" i="3"/>
  <c r="T50" i="3"/>
  <c r="V50" i="3"/>
  <c r="Z50" i="3"/>
  <c r="D51" i="3"/>
  <c r="N51" i="3"/>
  <c r="O51" i="3"/>
  <c r="P51" i="3"/>
  <c r="T51" i="3"/>
  <c r="Z51" i="3"/>
  <c r="D52" i="3"/>
  <c r="N52" i="3"/>
  <c r="O52" i="3"/>
  <c r="V52" i="3" s="1"/>
  <c r="F52" i="4" s="1"/>
  <c r="P52" i="3"/>
  <c r="T52" i="3"/>
  <c r="Z52" i="3"/>
  <c r="D53" i="3"/>
  <c r="N53" i="3"/>
  <c r="O53" i="3"/>
  <c r="V53" i="3" s="1"/>
  <c r="P53" i="3"/>
  <c r="T53" i="3"/>
  <c r="Z53" i="3"/>
  <c r="D54" i="3"/>
  <c r="N54" i="3"/>
  <c r="O54" i="3"/>
  <c r="V54" i="3" s="1"/>
  <c r="P54" i="3"/>
  <c r="W54" i="3" s="1"/>
  <c r="T54" i="3"/>
  <c r="Z54" i="3"/>
  <c r="F54" i="4" s="1"/>
  <c r="D55" i="3"/>
  <c r="N55" i="3"/>
  <c r="O55" i="3"/>
  <c r="P55" i="3"/>
  <c r="E55" i="4" s="1"/>
  <c r="T55" i="3"/>
  <c r="Z55" i="3"/>
  <c r="D56" i="3"/>
  <c r="N56" i="3"/>
  <c r="O56" i="3"/>
  <c r="P56" i="3"/>
  <c r="T56" i="3"/>
  <c r="V56" i="3"/>
  <c r="Z56" i="3"/>
  <c r="X56" i="3" s="1"/>
  <c r="D57" i="3"/>
  <c r="N57" i="3"/>
  <c r="O57" i="3"/>
  <c r="V57" i="3" s="1"/>
  <c r="F57" i="4" s="1"/>
  <c r="P57" i="3"/>
  <c r="W57" i="3" s="1"/>
  <c r="Z57" i="3"/>
  <c r="D58" i="3"/>
  <c r="N58" i="3"/>
  <c r="O58" i="3"/>
  <c r="P58" i="3"/>
  <c r="Z58" i="3"/>
  <c r="D59" i="3"/>
  <c r="N59" i="3"/>
  <c r="O59" i="3"/>
  <c r="V59" i="3" s="1"/>
  <c r="P59" i="3"/>
  <c r="W59" i="3" s="1"/>
  <c r="Z59" i="3"/>
  <c r="D60" i="3"/>
  <c r="N60" i="3"/>
  <c r="O60" i="3"/>
  <c r="V60" i="3" s="1"/>
  <c r="F60" i="4" s="1"/>
  <c r="P60" i="3"/>
  <c r="Z60" i="3"/>
  <c r="D61" i="3"/>
  <c r="N61" i="3"/>
  <c r="O61" i="3"/>
  <c r="V61" i="3" s="1"/>
  <c r="P61" i="3"/>
  <c r="Z61" i="3"/>
  <c r="D62" i="3"/>
  <c r="N62" i="3"/>
  <c r="O62" i="3"/>
  <c r="V62" i="3" s="1"/>
  <c r="P62" i="3"/>
  <c r="Z62" i="3"/>
  <c r="D63" i="3"/>
  <c r="N63" i="3"/>
  <c r="O63" i="3"/>
  <c r="V63" i="3" s="1"/>
  <c r="P63" i="3"/>
  <c r="Z63" i="3"/>
  <c r="D64" i="3"/>
  <c r="N64" i="3"/>
  <c r="O64" i="3"/>
  <c r="V64" i="3" s="1"/>
  <c r="F64" i="4" s="1"/>
  <c r="P64" i="3"/>
  <c r="Z64" i="3"/>
  <c r="D65" i="3"/>
  <c r="N65" i="3"/>
  <c r="O65" i="3"/>
  <c r="V65" i="3" s="1"/>
  <c r="F65" i="4" s="1"/>
  <c r="P65" i="3"/>
  <c r="T65" i="3"/>
  <c r="Z65" i="3"/>
  <c r="D66" i="3"/>
  <c r="N66" i="3"/>
  <c r="O66" i="3"/>
  <c r="V66" i="3" s="1"/>
  <c r="P66" i="3"/>
  <c r="T66" i="3"/>
  <c r="Z66" i="3"/>
  <c r="D67" i="3"/>
  <c r="N67" i="3"/>
  <c r="O67" i="3"/>
  <c r="P67" i="3"/>
  <c r="T67" i="3"/>
  <c r="V67" i="3"/>
  <c r="Z67" i="3"/>
  <c r="D68" i="3"/>
  <c r="N68" i="3"/>
  <c r="O68" i="3"/>
  <c r="V68" i="3" s="1"/>
  <c r="P68" i="3"/>
  <c r="E68" i="4" s="1"/>
  <c r="Z68" i="3"/>
  <c r="D69" i="3"/>
  <c r="N69" i="3"/>
  <c r="O69" i="3"/>
  <c r="V69" i="3" s="1"/>
  <c r="P69" i="3"/>
  <c r="T69" i="3"/>
  <c r="Z69" i="3"/>
  <c r="D70" i="3"/>
  <c r="N70" i="3"/>
  <c r="O70" i="3"/>
  <c r="V70" i="3" s="1"/>
  <c r="P70" i="3"/>
  <c r="E70" i="4" s="1"/>
  <c r="T70" i="3"/>
  <c r="Z70" i="3"/>
  <c r="D71" i="3"/>
  <c r="N71" i="3"/>
  <c r="O71" i="3"/>
  <c r="V71" i="3" s="1"/>
  <c r="P71" i="3"/>
  <c r="T71" i="3"/>
  <c r="Z71" i="3"/>
  <c r="D72" i="3"/>
  <c r="J72" i="3"/>
  <c r="N72" i="3"/>
  <c r="P72" i="3"/>
  <c r="T72" i="3"/>
  <c r="Z72" i="3"/>
  <c r="D73" i="3"/>
  <c r="N73" i="3"/>
  <c r="O73" i="3"/>
  <c r="V73" i="3" s="1"/>
  <c r="F73" i="4" s="1"/>
  <c r="P73" i="3"/>
  <c r="Z73" i="3"/>
  <c r="X73" i="3" s="1"/>
  <c r="D74" i="3"/>
  <c r="N74" i="3"/>
  <c r="O74" i="3"/>
  <c r="V74" i="3" s="1"/>
  <c r="P74" i="3"/>
  <c r="T74" i="3"/>
  <c r="Z74" i="3"/>
  <c r="D75" i="3"/>
  <c r="N75" i="3"/>
  <c r="O75" i="3"/>
  <c r="V75" i="3" s="1"/>
  <c r="P75" i="3"/>
  <c r="T75" i="3"/>
  <c r="Z75" i="3"/>
  <c r="D76" i="3"/>
  <c r="N76" i="3"/>
  <c r="O76" i="3"/>
  <c r="V76" i="3" s="1"/>
  <c r="F76" i="4" s="1"/>
  <c r="P76" i="3"/>
  <c r="T76" i="3"/>
  <c r="Z76" i="3"/>
  <c r="D77" i="3"/>
  <c r="J77" i="3"/>
  <c r="N77" i="3"/>
  <c r="O77" i="3"/>
  <c r="V77" i="3" s="1"/>
  <c r="P77" i="3"/>
  <c r="T77" i="3"/>
  <c r="Z77" i="3"/>
  <c r="D78" i="3"/>
  <c r="N78" i="3"/>
  <c r="O78" i="3"/>
  <c r="V78" i="3" s="1"/>
  <c r="P78" i="3"/>
  <c r="Z78" i="3"/>
  <c r="F78" i="4" s="1"/>
  <c r="D79" i="3"/>
  <c r="N79" i="3"/>
  <c r="O79" i="3"/>
  <c r="V79" i="3" s="1"/>
  <c r="P79" i="3"/>
  <c r="T79" i="3"/>
  <c r="Z79" i="3"/>
  <c r="D80" i="3"/>
  <c r="N80" i="3"/>
  <c r="O80" i="3"/>
  <c r="P80" i="3"/>
  <c r="T80" i="3"/>
  <c r="Z80" i="3"/>
  <c r="D81" i="3"/>
  <c r="N81" i="3"/>
  <c r="O81" i="3"/>
  <c r="V81" i="3" s="1"/>
  <c r="F81" i="4" s="1"/>
  <c r="P81" i="3"/>
  <c r="T81" i="3"/>
  <c r="Z81" i="3"/>
  <c r="D82" i="3"/>
  <c r="N82" i="3"/>
  <c r="O82" i="3"/>
  <c r="P82" i="3"/>
  <c r="W82" i="3" s="1"/>
  <c r="T82" i="3"/>
  <c r="V82" i="3"/>
  <c r="Z82" i="3"/>
  <c r="D83" i="3"/>
  <c r="N83" i="3"/>
  <c r="O83" i="3"/>
  <c r="P83" i="3"/>
  <c r="T83" i="3"/>
  <c r="V83" i="3"/>
  <c r="Z83" i="3"/>
  <c r="X83" i="3" s="1"/>
  <c r="D84" i="3"/>
  <c r="N84" i="3"/>
  <c r="O84" i="3"/>
  <c r="V84" i="3" s="1"/>
  <c r="P84" i="3"/>
  <c r="T84" i="3"/>
  <c r="Z84" i="3"/>
  <c r="D85" i="3"/>
  <c r="N85" i="3"/>
  <c r="O85" i="3"/>
  <c r="V85" i="3" s="1"/>
  <c r="P85" i="3"/>
  <c r="T85" i="3"/>
  <c r="Z85" i="3"/>
  <c r="D86" i="3"/>
  <c r="N86" i="3"/>
  <c r="O86" i="3"/>
  <c r="V86" i="3" s="1"/>
  <c r="P86" i="3"/>
  <c r="E86" i="4" s="1"/>
  <c r="T86" i="3"/>
  <c r="Z86" i="3"/>
  <c r="D87" i="3"/>
  <c r="J87" i="3"/>
  <c r="N87" i="3" s="1"/>
  <c r="O87" i="3"/>
  <c r="V87" i="3" s="1"/>
  <c r="P87" i="3"/>
  <c r="T87" i="3"/>
  <c r="Z87" i="3"/>
  <c r="X87" i="3" s="1"/>
  <c r="D88" i="3"/>
  <c r="N88" i="3"/>
  <c r="O88" i="3"/>
  <c r="P88" i="3"/>
  <c r="T88" i="3"/>
  <c r="V88" i="3"/>
  <c r="W88" i="3"/>
  <c r="Z88" i="3"/>
  <c r="X88" i="3" s="1"/>
  <c r="D89" i="3"/>
  <c r="N89" i="3"/>
  <c r="O89" i="3"/>
  <c r="P89" i="3"/>
  <c r="T89" i="3"/>
  <c r="V89" i="3"/>
  <c r="W89" i="3"/>
  <c r="Z89" i="3"/>
  <c r="D90" i="3"/>
  <c r="N90" i="3"/>
  <c r="O90" i="3"/>
  <c r="P90" i="3"/>
  <c r="E90" i="4" s="1"/>
  <c r="T90" i="3"/>
  <c r="V90" i="3"/>
  <c r="W90" i="3"/>
  <c r="Z90" i="3"/>
  <c r="X90" i="3" s="1"/>
  <c r="D91" i="3"/>
  <c r="N91" i="3"/>
  <c r="O91" i="3"/>
  <c r="P91" i="3"/>
  <c r="T91" i="3"/>
  <c r="V91" i="3"/>
  <c r="Z91" i="3"/>
  <c r="D92" i="3"/>
  <c r="N92" i="3"/>
  <c r="O92" i="3"/>
  <c r="V92" i="3" s="1"/>
  <c r="P92" i="3"/>
  <c r="T92" i="3"/>
  <c r="Z92" i="3"/>
  <c r="D93" i="3"/>
  <c r="N93" i="3"/>
  <c r="O93" i="3"/>
  <c r="V93" i="3" s="1"/>
  <c r="P93" i="3"/>
  <c r="T93" i="3"/>
  <c r="Z93" i="3"/>
  <c r="N94" i="3"/>
  <c r="O94" i="3"/>
  <c r="P94" i="3"/>
  <c r="E94" i="4" s="1"/>
  <c r="V94" i="3"/>
  <c r="Z94" i="3"/>
  <c r="D95" i="3"/>
  <c r="N95" i="3"/>
  <c r="O95" i="3"/>
  <c r="V95" i="3" s="1"/>
  <c r="P95" i="3"/>
  <c r="E95" i="4" s="1"/>
  <c r="T95" i="3"/>
  <c r="Z95" i="3"/>
  <c r="D96" i="3"/>
  <c r="N96" i="3"/>
  <c r="O96" i="3"/>
  <c r="V96" i="3" s="1"/>
  <c r="P96" i="3"/>
  <c r="T96" i="3"/>
  <c r="Z96" i="3"/>
  <c r="D97" i="3"/>
  <c r="N97" i="3"/>
  <c r="O97" i="3"/>
  <c r="P97" i="3"/>
  <c r="E97" i="4" s="1"/>
  <c r="T97" i="3"/>
  <c r="Z97" i="3"/>
  <c r="D98" i="3"/>
  <c r="N98" i="3"/>
  <c r="O98" i="3"/>
  <c r="P98" i="3"/>
  <c r="T98" i="3"/>
  <c r="V98" i="3"/>
  <c r="Z98" i="3"/>
  <c r="D99" i="3"/>
  <c r="N99" i="3"/>
  <c r="O99" i="3"/>
  <c r="P99" i="3"/>
  <c r="T99" i="3"/>
  <c r="Z99" i="3" s="1"/>
  <c r="V99" i="3"/>
  <c r="F99" i="4" s="1"/>
  <c r="D100" i="3"/>
  <c r="N100" i="3"/>
  <c r="O100" i="3"/>
  <c r="V100" i="3" s="1"/>
  <c r="P100" i="3"/>
  <c r="T100" i="3"/>
  <c r="Z100" i="3"/>
  <c r="D101" i="3"/>
  <c r="N101" i="3"/>
  <c r="O101" i="3"/>
  <c r="V101" i="3" s="1"/>
  <c r="F101" i="4" s="1"/>
  <c r="P101" i="3"/>
  <c r="T101" i="3"/>
  <c r="Z101" i="3"/>
  <c r="D102" i="3"/>
  <c r="N102" i="3"/>
  <c r="O102" i="3"/>
  <c r="V102" i="3" s="1"/>
  <c r="P102" i="3"/>
  <c r="W102" i="3" s="1"/>
  <c r="Z102" i="3"/>
  <c r="D103" i="3"/>
  <c r="N103" i="3"/>
  <c r="O103" i="3"/>
  <c r="P103" i="3"/>
  <c r="E103" i="4" s="1"/>
  <c r="V103" i="3"/>
  <c r="Z103" i="3"/>
  <c r="D104" i="3"/>
  <c r="N104" i="3"/>
  <c r="O104" i="3"/>
  <c r="V104" i="3" s="1"/>
  <c r="P104" i="3"/>
  <c r="Z104" i="3"/>
  <c r="D105" i="3"/>
  <c r="N105" i="3"/>
  <c r="O105" i="3"/>
  <c r="V105" i="3" s="1"/>
  <c r="F105" i="4" s="1"/>
  <c r="P105" i="3"/>
  <c r="T105" i="3"/>
  <c r="Z105" i="3" s="1"/>
  <c r="D106" i="3"/>
  <c r="N106" i="3"/>
  <c r="O106" i="3"/>
  <c r="V106" i="3" s="1"/>
  <c r="P106" i="3"/>
  <c r="W106" i="3" s="1"/>
  <c r="Z106" i="3"/>
  <c r="D107" i="3"/>
  <c r="N107" i="3"/>
  <c r="O107" i="3"/>
  <c r="V107" i="3" s="1"/>
  <c r="P107" i="3"/>
  <c r="Z107" i="3"/>
  <c r="D108" i="3"/>
  <c r="N108" i="3"/>
  <c r="O108" i="3"/>
  <c r="V108" i="3" s="1"/>
  <c r="F108" i="4" s="1"/>
  <c r="P108" i="3"/>
  <c r="T108" i="3"/>
  <c r="Z108" i="3"/>
  <c r="D109" i="3"/>
  <c r="N109" i="3"/>
  <c r="O109" i="3"/>
  <c r="P109" i="3"/>
  <c r="E109" i="4" s="1"/>
  <c r="T109" i="3"/>
  <c r="Z109" i="3"/>
  <c r="D110" i="3"/>
  <c r="N110" i="3"/>
  <c r="O110" i="3"/>
  <c r="P110" i="3"/>
  <c r="T110" i="3"/>
  <c r="V110" i="3"/>
  <c r="W110" i="3"/>
  <c r="Z110" i="3"/>
  <c r="D111" i="3"/>
  <c r="N111" i="3"/>
  <c r="O111" i="3"/>
  <c r="P111" i="3"/>
  <c r="T111" i="3"/>
  <c r="V111" i="3"/>
  <c r="W111" i="3"/>
  <c r="Z111" i="3"/>
  <c r="D112" i="3"/>
  <c r="N112" i="3"/>
  <c r="O112" i="3"/>
  <c r="P112" i="3"/>
  <c r="T112" i="3"/>
  <c r="V112" i="3"/>
  <c r="W112" i="3"/>
  <c r="Z112" i="3"/>
  <c r="D113" i="3"/>
  <c r="N113" i="3"/>
  <c r="O113" i="3"/>
  <c r="P113" i="3"/>
  <c r="T113" i="3"/>
  <c r="V113" i="3"/>
  <c r="W113" i="3"/>
  <c r="Z113" i="3"/>
  <c r="D114" i="3"/>
  <c r="N114" i="3"/>
  <c r="O114" i="3"/>
  <c r="P114" i="3"/>
  <c r="T114" i="3"/>
  <c r="V114" i="3"/>
  <c r="Z114" i="3"/>
  <c r="D115" i="3"/>
  <c r="N115" i="3"/>
  <c r="O115" i="3"/>
  <c r="V115" i="3" s="1"/>
  <c r="P115" i="3"/>
  <c r="T115" i="3"/>
  <c r="Z115" i="3"/>
  <c r="F115" i="4" s="1"/>
  <c r="D116" i="3"/>
  <c r="N116" i="3"/>
  <c r="O116" i="3"/>
  <c r="V116" i="3" s="1"/>
  <c r="F116" i="4" s="1"/>
  <c r="P116" i="3"/>
  <c r="T116" i="3"/>
  <c r="Z116" i="3"/>
  <c r="D117" i="3"/>
  <c r="N117" i="3"/>
  <c r="O117" i="3"/>
  <c r="P117" i="3"/>
  <c r="E117" i="4" s="1"/>
  <c r="T117" i="3"/>
  <c r="Z117" i="3"/>
  <c r="D118" i="3"/>
  <c r="J118" i="3"/>
  <c r="P118" i="3"/>
  <c r="T118" i="3"/>
  <c r="Z118" i="3"/>
  <c r="D119" i="3"/>
  <c r="J119" i="3"/>
  <c r="N119" i="3"/>
  <c r="O119" i="3"/>
  <c r="P119" i="3"/>
  <c r="T119" i="3"/>
  <c r="V119" i="3"/>
  <c r="Z119" i="3"/>
  <c r="D120" i="3"/>
  <c r="N120" i="3"/>
  <c r="O120" i="3"/>
  <c r="V120" i="3" s="1"/>
  <c r="P120" i="3"/>
  <c r="E120" i="4" s="1"/>
  <c r="T120" i="3"/>
  <c r="Z120" i="3"/>
  <c r="D121" i="3"/>
  <c r="N121" i="3"/>
  <c r="O121" i="3"/>
  <c r="V121" i="3" s="1"/>
  <c r="F121" i="4" s="1"/>
  <c r="P121" i="3"/>
  <c r="T121" i="3"/>
  <c r="Z121" i="3"/>
  <c r="D122" i="3"/>
  <c r="N122" i="3"/>
  <c r="O122" i="3"/>
  <c r="V122" i="3" s="1"/>
  <c r="P122" i="3"/>
  <c r="W122" i="3" s="1"/>
  <c r="T122" i="3"/>
  <c r="Z122" i="3"/>
  <c r="D123" i="3"/>
  <c r="N123" i="3"/>
  <c r="O123" i="3"/>
  <c r="P123" i="3"/>
  <c r="E123" i="4" s="1"/>
  <c r="T123" i="3"/>
  <c r="Z123" i="3"/>
  <c r="D124" i="3"/>
  <c r="N124" i="3"/>
  <c r="O124" i="3"/>
  <c r="P124" i="3"/>
  <c r="E124" i="4" s="1"/>
  <c r="T124" i="3"/>
  <c r="V124" i="3"/>
  <c r="W124" i="3"/>
  <c r="Z124" i="3"/>
  <c r="X124" i="3" s="1"/>
  <c r="D125" i="3"/>
  <c r="N125" i="3"/>
  <c r="O125" i="3"/>
  <c r="P125" i="3"/>
  <c r="E125" i="4" s="1"/>
  <c r="T125" i="3"/>
  <c r="V125" i="3"/>
  <c r="W125" i="3"/>
  <c r="Z125" i="3"/>
  <c r="D126" i="3"/>
  <c r="N126" i="3"/>
  <c r="O126" i="3"/>
  <c r="P126" i="3"/>
  <c r="E126" i="4" s="1"/>
  <c r="T126" i="3"/>
  <c r="V126" i="3"/>
  <c r="W126" i="3"/>
  <c r="Z126" i="3"/>
  <c r="X126" i="3" s="1"/>
  <c r="D127" i="3"/>
  <c r="N127" i="3"/>
  <c r="O127" i="3"/>
  <c r="P127" i="3"/>
  <c r="W127" i="3" s="1"/>
  <c r="T127" i="3"/>
  <c r="V127" i="3"/>
  <c r="Z127" i="3"/>
  <c r="D128" i="3"/>
  <c r="N128" i="3"/>
  <c r="O128" i="3"/>
  <c r="V128" i="3" s="1"/>
  <c r="F128" i="4" s="1"/>
  <c r="P128" i="3"/>
  <c r="T128" i="3"/>
  <c r="Z128" i="3"/>
  <c r="D129" i="3"/>
  <c r="N129" i="3"/>
  <c r="O129" i="3"/>
  <c r="V129" i="3" s="1"/>
  <c r="P129" i="3"/>
  <c r="T129" i="3"/>
  <c r="Z129" i="3"/>
  <c r="D130" i="3"/>
  <c r="N130" i="3"/>
  <c r="O130" i="3"/>
  <c r="V130" i="3" s="1"/>
  <c r="F130" i="4" s="1"/>
  <c r="P130" i="3"/>
  <c r="T130" i="3"/>
  <c r="Z130" i="3"/>
  <c r="D131" i="3"/>
  <c r="N131" i="3"/>
  <c r="O131" i="3"/>
  <c r="P131" i="3"/>
  <c r="T131" i="3"/>
  <c r="Z131" i="3"/>
  <c r="D132" i="3"/>
  <c r="N132" i="3"/>
  <c r="O132" i="3"/>
  <c r="P132" i="3"/>
  <c r="T132" i="3"/>
  <c r="V132" i="3"/>
  <c r="Z132" i="3"/>
  <c r="X132" i="3" s="1"/>
  <c r="D133" i="3"/>
  <c r="N133" i="3"/>
  <c r="O133" i="3"/>
  <c r="V133" i="3" s="1"/>
  <c r="P133" i="3"/>
  <c r="T133" i="3"/>
  <c r="Z133" i="3"/>
  <c r="D134" i="3"/>
  <c r="N134" i="3"/>
  <c r="O134" i="3"/>
  <c r="V134" i="3" s="1"/>
  <c r="P134" i="3"/>
  <c r="E134" i="4" s="1"/>
  <c r="T134" i="3"/>
  <c r="Z134" i="3"/>
  <c r="D135" i="3"/>
  <c r="N135" i="3"/>
  <c r="O135" i="3"/>
  <c r="V135" i="3" s="1"/>
  <c r="F135" i="4" s="1"/>
  <c r="P135" i="3"/>
  <c r="T135" i="3"/>
  <c r="Z135" i="3"/>
  <c r="D136" i="3"/>
  <c r="N136" i="3"/>
  <c r="O136" i="3"/>
  <c r="V136" i="3" s="1"/>
  <c r="P136" i="3"/>
  <c r="E136" i="4" s="1"/>
  <c r="T136" i="3"/>
  <c r="Z136" i="3"/>
  <c r="D137" i="3"/>
  <c r="J137" i="3"/>
  <c r="N137" i="3"/>
  <c r="O137" i="3"/>
  <c r="V137" i="3" s="1"/>
  <c r="P137" i="3"/>
  <c r="E137" i="4" s="1"/>
  <c r="T137" i="3"/>
  <c r="Z137" i="3"/>
  <c r="D138" i="3"/>
  <c r="J138" i="3"/>
  <c r="O138" i="3" s="1"/>
  <c r="V138" i="3" s="1"/>
  <c r="F138" i="4" s="1"/>
  <c r="P138" i="3"/>
  <c r="W138" i="3" s="1"/>
  <c r="T138" i="3"/>
  <c r="Z138" i="3"/>
  <c r="D139" i="3"/>
  <c r="J139" i="3"/>
  <c r="N139" i="3"/>
  <c r="O139" i="3"/>
  <c r="P139" i="3"/>
  <c r="T139" i="3"/>
  <c r="Z139" i="3"/>
  <c r="D140" i="3"/>
  <c r="N140" i="3"/>
  <c r="O140" i="3"/>
  <c r="V140" i="3" s="1"/>
  <c r="P140" i="3"/>
  <c r="T140" i="3"/>
  <c r="Z140" i="3"/>
  <c r="D141" i="3"/>
  <c r="N141" i="3"/>
  <c r="O141" i="3"/>
  <c r="V141" i="3" s="1"/>
  <c r="F141" i="4" s="1"/>
  <c r="P141" i="3"/>
  <c r="E141" i="4" s="1"/>
  <c r="T141" i="3"/>
  <c r="Z141" i="3"/>
  <c r="D142" i="3"/>
  <c r="N142" i="3"/>
  <c r="O142" i="3"/>
  <c r="V142" i="3" s="1"/>
  <c r="P142" i="3"/>
  <c r="E142" i="4" s="1"/>
  <c r="T142" i="3"/>
  <c r="Z142" i="3"/>
  <c r="D143" i="3"/>
  <c r="N143" i="3"/>
  <c r="O143" i="3"/>
  <c r="V143" i="3" s="1"/>
  <c r="P143" i="3"/>
  <c r="E143" i="4" s="1"/>
  <c r="T143" i="3"/>
  <c r="Z143" i="3"/>
  <c r="D144" i="3"/>
  <c r="N144" i="3"/>
  <c r="O144" i="3"/>
  <c r="P144" i="3"/>
  <c r="T144" i="3"/>
  <c r="Z144" i="3"/>
  <c r="D145" i="3"/>
  <c r="N145" i="3"/>
  <c r="O145" i="3"/>
  <c r="V145" i="3" s="1"/>
  <c r="P145" i="3"/>
  <c r="Z145" i="3"/>
  <c r="D146" i="3"/>
  <c r="N146" i="3"/>
  <c r="O146" i="3"/>
  <c r="P146" i="3"/>
  <c r="W146" i="3" s="1"/>
  <c r="T146" i="3"/>
  <c r="Z146" i="3"/>
  <c r="D147" i="3"/>
  <c r="N147" i="3"/>
  <c r="O147" i="3"/>
  <c r="P147" i="3"/>
  <c r="W147" i="3" s="1"/>
  <c r="T147" i="3"/>
  <c r="Z147" i="3"/>
  <c r="D148" i="3"/>
  <c r="N148" i="3"/>
  <c r="O148" i="3"/>
  <c r="V148" i="3" s="1"/>
  <c r="F148" i="4" s="1"/>
  <c r="P148" i="3"/>
  <c r="W148" i="3" s="1"/>
  <c r="T148" i="3"/>
  <c r="Z148" i="3"/>
  <c r="D149" i="3"/>
  <c r="N149" i="3"/>
  <c r="O149" i="3"/>
  <c r="V149" i="3" s="1"/>
  <c r="P149" i="3"/>
  <c r="W149" i="3" s="1"/>
  <c r="T149" i="3"/>
  <c r="Z149" i="3"/>
  <c r="D150" i="3"/>
  <c r="N150" i="3"/>
  <c r="O150" i="3"/>
  <c r="V150" i="3" s="1"/>
  <c r="P150" i="3"/>
  <c r="T150" i="3"/>
  <c r="Z150" i="3"/>
  <c r="D151" i="3"/>
  <c r="N151" i="3"/>
  <c r="O151" i="3"/>
  <c r="V151" i="3" s="1"/>
  <c r="F151" i="4" s="1"/>
  <c r="P151" i="3"/>
  <c r="T151" i="3"/>
  <c r="Z151" i="3"/>
  <c r="D152" i="3"/>
  <c r="N152" i="3"/>
  <c r="O152" i="3"/>
  <c r="V152" i="3" s="1"/>
  <c r="P152" i="3"/>
  <c r="E152" i="4" s="1"/>
  <c r="Z152" i="3"/>
  <c r="D153" i="3"/>
  <c r="N153" i="3"/>
  <c r="O153" i="3"/>
  <c r="V153" i="3" s="1"/>
  <c r="F153" i="4" s="1"/>
  <c r="P153" i="3"/>
  <c r="T153" i="3"/>
  <c r="Z153" i="3"/>
  <c r="D154" i="3"/>
  <c r="N154" i="3"/>
  <c r="O154" i="3"/>
  <c r="E154" i="4" s="1"/>
  <c r="P154" i="3"/>
  <c r="Z154" i="3"/>
  <c r="D155" i="3"/>
  <c r="N155" i="3"/>
  <c r="O155" i="3"/>
  <c r="P155" i="3"/>
  <c r="E155" i="4" s="1"/>
  <c r="Z155" i="3"/>
  <c r="D156" i="3"/>
  <c r="N156" i="3"/>
  <c r="O156" i="3"/>
  <c r="P156" i="3"/>
  <c r="Z156" i="3"/>
  <c r="D157" i="3"/>
  <c r="N157" i="3"/>
  <c r="O157" i="3"/>
  <c r="P157" i="3"/>
  <c r="Z157" i="3"/>
  <c r="D158" i="3"/>
  <c r="N158" i="3"/>
  <c r="O158" i="3"/>
  <c r="P158" i="3"/>
  <c r="Z158" i="3"/>
  <c r="D159" i="3"/>
  <c r="N159" i="3"/>
  <c r="O159" i="3"/>
  <c r="V159" i="3" s="1"/>
  <c r="P159" i="3"/>
  <c r="T159" i="3"/>
  <c r="Z159" i="3"/>
  <c r="D160" i="3"/>
  <c r="N160" i="3"/>
  <c r="O160" i="3"/>
  <c r="P160" i="3"/>
  <c r="W160" i="3" s="1"/>
  <c r="T160" i="3"/>
  <c r="Z160" i="3"/>
  <c r="D161" i="3"/>
  <c r="N161" i="3"/>
  <c r="O161" i="3"/>
  <c r="P161" i="3"/>
  <c r="W161" i="3" s="1"/>
  <c r="V161" i="3"/>
  <c r="Z161" i="3"/>
  <c r="D162" i="3"/>
  <c r="N162" i="3"/>
  <c r="O162" i="3"/>
  <c r="V162" i="3" s="1"/>
  <c r="P162" i="3"/>
  <c r="W162" i="3" s="1"/>
  <c r="Z162" i="3"/>
  <c r="D163" i="3"/>
  <c r="N163" i="3"/>
  <c r="O163" i="3"/>
  <c r="V163" i="3" s="1"/>
  <c r="F163" i="4" s="1"/>
  <c r="P163" i="3"/>
  <c r="T163" i="3"/>
  <c r="Z163" i="3"/>
  <c r="D164" i="3"/>
  <c r="N164" i="3"/>
  <c r="O164" i="3"/>
  <c r="V164" i="3" s="1"/>
  <c r="F164" i="4" s="1"/>
  <c r="P164" i="3"/>
  <c r="T164" i="3"/>
  <c r="Z164" i="3"/>
  <c r="D165" i="3"/>
  <c r="N165" i="3"/>
  <c r="O165" i="3"/>
  <c r="V165" i="3" s="1"/>
  <c r="F165" i="4" s="1"/>
  <c r="P165" i="3"/>
  <c r="T165" i="3"/>
  <c r="Z165" i="3"/>
  <c r="D166" i="3"/>
  <c r="N166" i="3"/>
  <c r="O166" i="3"/>
  <c r="P166" i="3"/>
  <c r="E166" i="4" s="1"/>
  <c r="T166" i="3"/>
  <c r="V166" i="3"/>
  <c r="Z166" i="3"/>
  <c r="D167" i="3"/>
  <c r="N167" i="3"/>
  <c r="O167" i="3"/>
  <c r="V167" i="3" s="1"/>
  <c r="P167" i="3"/>
  <c r="T167" i="3"/>
  <c r="Z167" i="3"/>
  <c r="N168" i="3"/>
  <c r="O168" i="3"/>
  <c r="V168" i="3" s="1"/>
  <c r="F168" i="4" s="1"/>
  <c r="P168" i="3"/>
  <c r="Z168" i="3"/>
  <c r="D169" i="3"/>
  <c r="N169" i="3"/>
  <c r="O169" i="3"/>
  <c r="V169" i="3" s="1"/>
  <c r="F169" i="4" s="1"/>
  <c r="P169" i="3"/>
  <c r="T169" i="3"/>
  <c r="Z169" i="3"/>
  <c r="D170" i="3"/>
  <c r="N170" i="3"/>
  <c r="O170" i="3"/>
  <c r="V170" i="3" s="1"/>
  <c r="P170" i="3"/>
  <c r="E170" i="4" s="1"/>
  <c r="T170" i="3"/>
  <c r="X170" i="3"/>
  <c r="Z170" i="3"/>
  <c r="D171" i="3"/>
  <c r="N171" i="3"/>
  <c r="O171" i="3"/>
  <c r="V171" i="3" s="1"/>
  <c r="P171" i="3"/>
  <c r="T171" i="3"/>
  <c r="Z171" i="3"/>
  <c r="X171" i="3" s="1"/>
  <c r="D172" i="3"/>
  <c r="N172" i="3"/>
  <c r="O172" i="3"/>
  <c r="V172" i="3" s="1"/>
  <c r="P172" i="3"/>
  <c r="T172" i="3"/>
  <c r="Z172" i="3"/>
  <c r="F172" i="4" s="1"/>
  <c r="D173" i="3"/>
  <c r="N173" i="3"/>
  <c r="O173" i="3"/>
  <c r="V173" i="3" s="1"/>
  <c r="P173" i="3"/>
  <c r="T173" i="3"/>
  <c r="Z173" i="3"/>
  <c r="D174" i="3"/>
  <c r="N174" i="3"/>
  <c r="O174" i="3"/>
  <c r="P174" i="3"/>
  <c r="T174" i="3"/>
  <c r="Z174" i="3"/>
  <c r="D175" i="3"/>
  <c r="N175" i="3"/>
  <c r="O175" i="3"/>
  <c r="V175" i="3" s="1"/>
  <c r="F175" i="4" s="1"/>
  <c r="P175" i="3"/>
  <c r="T175" i="3"/>
  <c r="Z175" i="3"/>
  <c r="D176" i="3"/>
  <c r="N176" i="3"/>
  <c r="O176" i="3"/>
  <c r="V176" i="3" s="1"/>
  <c r="P176" i="3"/>
  <c r="W176" i="3" s="1"/>
  <c r="T176" i="3"/>
  <c r="Z176" i="3"/>
  <c r="D177" i="3"/>
  <c r="N177" i="3"/>
  <c r="O177" i="3"/>
  <c r="V177" i="3" s="1"/>
  <c r="P177" i="3"/>
  <c r="T177" i="3"/>
  <c r="Z177" i="3"/>
  <c r="D178" i="3"/>
  <c r="N178" i="3"/>
  <c r="O178" i="3"/>
  <c r="V178" i="3" s="1"/>
  <c r="P178" i="3"/>
  <c r="W178" i="3" s="1"/>
  <c r="T178" i="3"/>
  <c r="Z178" i="3"/>
  <c r="D179" i="3"/>
  <c r="J179" i="3"/>
  <c r="O179" i="3" s="1"/>
  <c r="V179" i="3" s="1"/>
  <c r="N179" i="3"/>
  <c r="P179" i="3"/>
  <c r="T179" i="3"/>
  <c r="Z179" i="3"/>
  <c r="N180" i="3"/>
  <c r="O180" i="3"/>
  <c r="V180" i="3" s="1"/>
  <c r="P180" i="3"/>
  <c r="T180" i="3"/>
  <c r="Z180" i="3" s="1"/>
  <c r="D181" i="3"/>
  <c r="N181" i="3"/>
  <c r="O181" i="3"/>
  <c r="V181" i="3" s="1"/>
  <c r="P181" i="3"/>
  <c r="T181" i="3"/>
  <c r="Z181" i="3"/>
  <c r="D182" i="3"/>
  <c r="N182" i="3"/>
  <c r="O182" i="3"/>
  <c r="V182" i="3" s="1"/>
  <c r="F182" i="4" s="1"/>
  <c r="P182" i="3"/>
  <c r="T182" i="3"/>
  <c r="Z182" i="3"/>
  <c r="D183" i="3"/>
  <c r="N183" i="3"/>
  <c r="O183" i="3"/>
  <c r="P183" i="3"/>
  <c r="E183" i="4" s="1"/>
  <c r="T183" i="3"/>
  <c r="Z183" i="3"/>
  <c r="D184" i="3"/>
  <c r="N184" i="3"/>
  <c r="O184" i="3"/>
  <c r="V184" i="3" s="1"/>
  <c r="P184" i="3"/>
  <c r="T184" i="3"/>
  <c r="Z184" i="3"/>
  <c r="D185" i="3"/>
  <c r="N185" i="3"/>
  <c r="O185" i="3"/>
  <c r="V185" i="3" s="1"/>
  <c r="F185" i="4" s="1"/>
  <c r="P185" i="3"/>
  <c r="T185" i="3"/>
  <c r="Z185" i="3"/>
  <c r="D186" i="3"/>
  <c r="J186" i="3"/>
  <c r="N186" i="3" s="1"/>
  <c r="P186" i="3"/>
  <c r="T186" i="3"/>
  <c r="Z186" i="3"/>
  <c r="D187" i="3"/>
  <c r="N187" i="3"/>
  <c r="O187" i="3"/>
  <c r="P187" i="3"/>
  <c r="E187" i="4" s="1"/>
  <c r="T187" i="3"/>
  <c r="V187" i="3"/>
  <c r="F187" i="4" s="1"/>
  <c r="Z187" i="3"/>
  <c r="D188" i="3"/>
  <c r="N188" i="3"/>
  <c r="O188" i="3"/>
  <c r="P188" i="3"/>
  <c r="T188" i="3"/>
  <c r="Z188" i="3" s="1"/>
  <c r="V188" i="3"/>
  <c r="F188" i="4" s="1"/>
  <c r="D189" i="3"/>
  <c r="N189" i="3"/>
  <c r="O189" i="3"/>
  <c r="P189" i="3"/>
  <c r="T189" i="3"/>
  <c r="Z189" i="3"/>
  <c r="D190" i="3"/>
  <c r="J190" i="3"/>
  <c r="O190" i="3" s="1"/>
  <c r="V190" i="3" s="1"/>
  <c r="N190" i="3"/>
  <c r="P190" i="3"/>
  <c r="T190" i="3"/>
  <c r="Z190" i="3"/>
  <c r="D191" i="3"/>
  <c r="N191" i="3"/>
  <c r="O191" i="3"/>
  <c r="V191" i="3" s="1"/>
  <c r="P191" i="3"/>
  <c r="E191" i="4" s="1"/>
  <c r="T191" i="3"/>
  <c r="Z191" i="3"/>
  <c r="D192" i="3"/>
  <c r="N192" i="3"/>
  <c r="O192" i="3"/>
  <c r="V192" i="3" s="1"/>
  <c r="P192" i="3"/>
  <c r="T192" i="3"/>
  <c r="Z192" i="3"/>
  <c r="D193" i="3"/>
  <c r="N193" i="3"/>
  <c r="O193" i="3"/>
  <c r="P193" i="3"/>
  <c r="T193" i="3"/>
  <c r="Z193" i="3" s="1"/>
  <c r="V193" i="3"/>
  <c r="D194" i="3"/>
  <c r="N194" i="3"/>
  <c r="O194" i="3"/>
  <c r="V194" i="3" s="1"/>
  <c r="P194" i="3"/>
  <c r="T194" i="3"/>
  <c r="Z194" i="3"/>
  <c r="D195" i="3"/>
  <c r="N195" i="3"/>
  <c r="O195" i="3"/>
  <c r="V195" i="3" s="1"/>
  <c r="P195" i="3"/>
  <c r="Z195" i="3"/>
  <c r="D196" i="3"/>
  <c r="N196" i="3"/>
  <c r="O196" i="3"/>
  <c r="P196" i="3"/>
  <c r="V196" i="3"/>
  <c r="F196" i="4" s="1"/>
  <c r="W196" i="3"/>
  <c r="Z196" i="3"/>
  <c r="D197" i="3"/>
  <c r="N197" i="3"/>
  <c r="O197" i="3"/>
  <c r="V197" i="3" s="1"/>
  <c r="P197" i="3"/>
  <c r="Z197" i="3"/>
  <c r="D198" i="3"/>
  <c r="N198" i="3"/>
  <c r="O198" i="3"/>
  <c r="V198" i="3" s="1"/>
  <c r="F198" i="4" s="1"/>
  <c r="P198" i="3"/>
  <c r="Z198" i="3"/>
  <c r="D199" i="3"/>
  <c r="N199" i="3"/>
  <c r="O199" i="3"/>
  <c r="V199" i="3" s="1"/>
  <c r="F199" i="4" s="1"/>
  <c r="P199" i="3"/>
  <c r="Z199" i="3"/>
  <c r="D200" i="3"/>
  <c r="N200" i="3"/>
  <c r="O200" i="3"/>
  <c r="P200" i="3"/>
  <c r="W200" i="3" s="1"/>
  <c r="V200" i="3"/>
  <c r="Z200" i="3"/>
  <c r="D201" i="3"/>
  <c r="N201" i="3"/>
  <c r="O201" i="3"/>
  <c r="V201" i="3" s="1"/>
  <c r="P201" i="3"/>
  <c r="T201" i="3"/>
  <c r="Z201" i="3"/>
  <c r="D202" i="3"/>
  <c r="N202" i="3"/>
  <c r="O202" i="3"/>
  <c r="V202" i="3" s="1"/>
  <c r="F202" i="4" s="1"/>
  <c r="P202" i="3"/>
  <c r="T202" i="3"/>
  <c r="Z202" i="3"/>
  <c r="D203" i="3"/>
  <c r="N203" i="3"/>
  <c r="O203" i="3"/>
  <c r="V203" i="3" s="1"/>
  <c r="F203" i="4" s="1"/>
  <c r="P203" i="3"/>
  <c r="T203" i="3"/>
  <c r="Z203" i="3"/>
  <c r="D204" i="3"/>
  <c r="N204" i="3"/>
  <c r="O204" i="3"/>
  <c r="V204" i="3" s="1"/>
  <c r="P204" i="3"/>
  <c r="W204" i="3" s="1"/>
  <c r="T204" i="3"/>
  <c r="Z204" i="3"/>
  <c r="F204" i="4" s="1"/>
  <c r="D205" i="3"/>
  <c r="N205" i="3"/>
  <c r="O205" i="3"/>
  <c r="V205" i="3" s="1"/>
  <c r="P205" i="3"/>
  <c r="T205" i="3"/>
  <c r="Z205" i="3"/>
  <c r="F205" i="4" s="1"/>
  <c r="D206" i="3"/>
  <c r="N206" i="3"/>
  <c r="O206" i="3"/>
  <c r="V206" i="3" s="1"/>
  <c r="F206" i="4" s="1"/>
  <c r="P206" i="3"/>
  <c r="E206" i="4" s="1"/>
  <c r="T206" i="3"/>
  <c r="Z206" i="3"/>
  <c r="D207" i="3"/>
  <c r="N207" i="3"/>
  <c r="O207" i="3"/>
  <c r="V207" i="3" s="1"/>
  <c r="F207" i="4" s="1"/>
  <c r="P207" i="3"/>
  <c r="T207" i="3"/>
  <c r="Z207" i="3"/>
  <c r="D208" i="3"/>
  <c r="J208" i="3"/>
  <c r="P208" i="3"/>
  <c r="T208" i="3"/>
  <c r="Z208" i="3"/>
  <c r="D209" i="3"/>
  <c r="N209" i="3"/>
  <c r="O209" i="3"/>
  <c r="V209" i="3" s="1"/>
  <c r="P209" i="3"/>
  <c r="T209" i="3"/>
  <c r="Z209" i="3"/>
  <c r="D210" i="3"/>
  <c r="N210" i="3"/>
  <c r="O210" i="3"/>
  <c r="V210" i="3" s="1"/>
  <c r="P210" i="3"/>
  <c r="T210" i="3"/>
  <c r="Z210" i="3"/>
  <c r="D211" i="3"/>
  <c r="N211" i="3"/>
  <c r="O211" i="3"/>
  <c r="V211" i="3" s="1"/>
  <c r="F211" i="4" s="1"/>
  <c r="P211" i="3"/>
  <c r="T211" i="3"/>
  <c r="Z211" i="3"/>
  <c r="D212" i="3"/>
  <c r="N212" i="3"/>
  <c r="O212" i="3"/>
  <c r="V212" i="3" s="1"/>
  <c r="P212" i="3"/>
  <c r="E212" i="4" s="1"/>
  <c r="T212" i="3"/>
  <c r="Z212" i="3"/>
  <c r="F212" i="4" s="1"/>
  <c r="D213" i="3"/>
  <c r="N213" i="3"/>
  <c r="O213" i="3"/>
  <c r="V213" i="3" s="1"/>
  <c r="P213" i="3"/>
  <c r="T213" i="3"/>
  <c r="Z213" i="3"/>
  <c r="D214" i="3"/>
  <c r="N214" i="3"/>
  <c r="O214" i="3"/>
  <c r="P214" i="3"/>
  <c r="T214" i="3"/>
  <c r="Z214" i="3"/>
  <c r="D215" i="3"/>
  <c r="N215" i="3"/>
  <c r="O215" i="3"/>
  <c r="V215" i="3" s="1"/>
  <c r="F215" i="4" s="1"/>
  <c r="P215" i="3"/>
  <c r="T215" i="3"/>
  <c r="Z215" i="3"/>
  <c r="D216" i="3"/>
  <c r="N216" i="3"/>
  <c r="O216" i="3"/>
  <c r="V216" i="3" s="1"/>
  <c r="P216" i="3"/>
  <c r="T216" i="3"/>
  <c r="Z216" i="3"/>
  <c r="D217" i="3"/>
  <c r="N217" i="3"/>
  <c r="O217" i="3"/>
  <c r="P217" i="3"/>
  <c r="T217" i="3"/>
  <c r="V217" i="3"/>
  <c r="Z217" i="3"/>
  <c r="D218" i="3"/>
  <c r="J218" i="3"/>
  <c r="O218" i="3" s="1"/>
  <c r="V218" i="3" s="1"/>
  <c r="N218" i="3"/>
  <c r="P218" i="3"/>
  <c r="T218" i="3"/>
  <c r="Z218" i="3"/>
  <c r="D219" i="3"/>
  <c r="N219" i="3"/>
  <c r="O219" i="3"/>
  <c r="V219" i="3" s="1"/>
  <c r="P219" i="3"/>
  <c r="T219" i="3"/>
  <c r="Z219" i="3"/>
  <c r="D220" i="3"/>
  <c r="N220" i="3"/>
  <c r="O220" i="3"/>
  <c r="V220" i="3" s="1"/>
  <c r="P220" i="3"/>
  <c r="E220" i="4" s="1"/>
  <c r="T220" i="3"/>
  <c r="Z220" i="3"/>
  <c r="D221" i="3"/>
  <c r="N221" i="3"/>
  <c r="O221" i="3"/>
  <c r="V221" i="3" s="1"/>
  <c r="P221" i="3"/>
  <c r="E221" i="4" s="1"/>
  <c r="T221" i="3"/>
  <c r="Z221" i="3"/>
  <c r="D222" i="3"/>
  <c r="N222" i="3"/>
  <c r="O222" i="3"/>
  <c r="V222" i="3" s="1"/>
  <c r="P222" i="3"/>
  <c r="T222" i="3"/>
  <c r="Z222" i="3"/>
  <c r="D223" i="3"/>
  <c r="N223" i="3"/>
  <c r="O223" i="3"/>
  <c r="P223" i="3"/>
  <c r="T223" i="3"/>
  <c r="Z223" i="3"/>
  <c r="D224" i="3"/>
  <c r="J224" i="3"/>
  <c r="P224" i="3"/>
  <c r="T224" i="3"/>
  <c r="Z224" i="3"/>
  <c r="D225" i="3"/>
  <c r="N225" i="3"/>
  <c r="O225" i="3"/>
  <c r="V225" i="3" s="1"/>
  <c r="P225" i="3"/>
  <c r="T225" i="3"/>
  <c r="Z225" i="3"/>
  <c r="D226" i="3"/>
  <c r="N226" i="3"/>
  <c r="O226" i="3"/>
  <c r="P226" i="3"/>
  <c r="T226" i="3"/>
  <c r="V226" i="3"/>
  <c r="Z226" i="3"/>
  <c r="D227" i="3"/>
  <c r="N227" i="3"/>
  <c r="O227" i="3"/>
  <c r="V227" i="3" s="1"/>
  <c r="P227" i="3"/>
  <c r="T227" i="3"/>
  <c r="Z227" i="3"/>
  <c r="F227" i="4" s="1"/>
  <c r="D228" i="3"/>
  <c r="N228" i="3"/>
  <c r="O228" i="3"/>
  <c r="V228" i="3" s="1"/>
  <c r="P228" i="3"/>
  <c r="T228" i="3"/>
  <c r="Z228" i="3"/>
  <c r="D229" i="3"/>
  <c r="N229" i="3"/>
  <c r="O229" i="3"/>
  <c r="V229" i="3" s="1"/>
  <c r="P229" i="3"/>
  <c r="T229" i="3"/>
  <c r="Z229" i="3"/>
  <c r="D230" i="3"/>
  <c r="N230" i="3"/>
  <c r="O230" i="3"/>
  <c r="P230" i="3"/>
  <c r="E230" i="4" s="1"/>
  <c r="T230" i="3"/>
  <c r="Z230" i="3"/>
  <c r="D231" i="3"/>
  <c r="N231" i="3"/>
  <c r="O231" i="3"/>
  <c r="P231" i="3"/>
  <c r="T231" i="3"/>
  <c r="V231" i="3"/>
  <c r="Z231" i="3"/>
  <c r="D232" i="3"/>
  <c r="N232" i="3"/>
  <c r="O232" i="3"/>
  <c r="V232" i="3" s="1"/>
  <c r="P232" i="3"/>
  <c r="T232" i="3"/>
  <c r="Z232" i="3"/>
  <c r="D233" i="3"/>
  <c r="N233" i="3"/>
  <c r="O233" i="3"/>
  <c r="V233" i="3" s="1"/>
  <c r="F233" i="4" s="1"/>
  <c r="P233" i="3"/>
  <c r="T233" i="3"/>
  <c r="Z233" i="3"/>
  <c r="D234" i="3"/>
  <c r="N234" i="3"/>
  <c r="O234" i="3"/>
  <c r="V234" i="3" s="1"/>
  <c r="F234" i="4" s="1"/>
  <c r="P234" i="3"/>
  <c r="T234" i="3"/>
  <c r="Z234" i="3"/>
  <c r="D235" i="3"/>
  <c r="J235" i="3"/>
  <c r="N235" i="3"/>
  <c r="O235" i="3"/>
  <c r="V235" i="3" s="1"/>
  <c r="F235" i="4" s="1"/>
  <c r="P235" i="3"/>
  <c r="E235" i="4" s="1"/>
  <c r="T235" i="3"/>
  <c r="Z235" i="3"/>
  <c r="D236" i="3"/>
  <c r="N236" i="3"/>
  <c r="O236" i="3"/>
  <c r="V236" i="3" s="1"/>
  <c r="P236" i="3"/>
  <c r="E236" i="4" s="1"/>
  <c r="T236" i="3"/>
  <c r="Z236" i="3"/>
  <c r="D237" i="3"/>
  <c r="N237" i="3"/>
  <c r="O237" i="3"/>
  <c r="P237" i="3"/>
  <c r="T237" i="3"/>
  <c r="Z237" i="3"/>
  <c r="D238" i="3"/>
  <c r="N238" i="3"/>
  <c r="O238" i="3"/>
  <c r="V238" i="3" s="1"/>
  <c r="F238" i="4" s="1"/>
  <c r="P238" i="3"/>
  <c r="T238" i="3"/>
  <c r="Z238" i="3"/>
  <c r="D239" i="3"/>
  <c r="J239" i="3"/>
  <c r="N239" i="3"/>
  <c r="O239" i="3"/>
  <c r="P239" i="3"/>
  <c r="T239" i="3"/>
  <c r="U239" i="3"/>
  <c r="Z239" i="3"/>
  <c r="D240" i="3"/>
  <c r="J240" i="3"/>
  <c r="N240" i="3"/>
  <c r="O240" i="3"/>
  <c r="V240" i="3" s="1"/>
  <c r="F240" i="4" s="1"/>
  <c r="P240" i="3"/>
  <c r="T240" i="3"/>
  <c r="Z240" i="3"/>
  <c r="D241" i="3"/>
  <c r="N241" i="3"/>
  <c r="O241" i="3"/>
  <c r="V241" i="3" s="1"/>
  <c r="P241" i="3"/>
  <c r="T241" i="3"/>
  <c r="Z241" i="3"/>
  <c r="D242" i="3"/>
  <c r="N242" i="3"/>
  <c r="O242" i="3"/>
  <c r="P242" i="3"/>
  <c r="E242" i="4" s="1"/>
  <c r="T242" i="3"/>
  <c r="Z242" i="3" s="1"/>
  <c r="N243" i="3"/>
  <c r="O243" i="3"/>
  <c r="P243" i="3"/>
  <c r="E243" i="4" s="1"/>
  <c r="T243" i="3"/>
  <c r="Z243" i="3" s="1"/>
  <c r="D244" i="3"/>
  <c r="N244" i="3"/>
  <c r="O244" i="3"/>
  <c r="V244" i="3" s="1"/>
  <c r="P244" i="3"/>
  <c r="T244" i="3"/>
  <c r="Z244" i="3"/>
  <c r="D245" i="3"/>
  <c r="N245" i="3"/>
  <c r="O245" i="3"/>
  <c r="V245" i="3" s="1"/>
  <c r="P245" i="3"/>
  <c r="T245" i="3"/>
  <c r="Z245" i="3" s="1"/>
  <c r="D246" i="3"/>
  <c r="N246" i="3"/>
  <c r="O246" i="3"/>
  <c r="V246" i="3" s="1"/>
  <c r="F246" i="4" s="1"/>
  <c r="P246" i="3"/>
  <c r="T246" i="3"/>
  <c r="Z246" i="3"/>
  <c r="D247" i="3"/>
  <c r="N247" i="3"/>
  <c r="O247" i="3"/>
  <c r="V247" i="3" s="1"/>
  <c r="F247" i="4" s="1"/>
  <c r="P247" i="3"/>
  <c r="T247" i="3"/>
  <c r="Z247" i="3"/>
  <c r="D248" i="3"/>
  <c r="N248" i="3"/>
  <c r="O248" i="3"/>
  <c r="V248" i="3" s="1"/>
  <c r="P248" i="3"/>
  <c r="E248" i="4" s="1"/>
  <c r="T248" i="3"/>
  <c r="Z248" i="3"/>
  <c r="D249" i="3"/>
  <c r="N249" i="3"/>
  <c r="O249" i="3"/>
  <c r="V249" i="3" s="1"/>
  <c r="F249" i="4" s="1"/>
  <c r="P249" i="3"/>
  <c r="T249" i="3"/>
  <c r="Z249" i="3"/>
  <c r="D250" i="3"/>
  <c r="N250" i="3"/>
  <c r="O250" i="3"/>
  <c r="V250" i="3" s="1"/>
  <c r="P250" i="3"/>
  <c r="E250" i="4" s="1"/>
  <c r="T250" i="3"/>
  <c r="Z250" i="3"/>
  <c r="D251" i="3"/>
  <c r="N251" i="3"/>
  <c r="O251" i="3"/>
  <c r="P251" i="3"/>
  <c r="E251" i="4" s="1"/>
  <c r="T251" i="3"/>
  <c r="Z251" i="3"/>
  <c r="D252" i="3"/>
  <c r="N252" i="3"/>
  <c r="O252" i="3"/>
  <c r="V252" i="3" s="1"/>
  <c r="F252" i="4" s="1"/>
  <c r="P252" i="3"/>
  <c r="W252" i="3" s="1"/>
  <c r="T252" i="3"/>
  <c r="Z252" i="3"/>
  <c r="D253" i="3"/>
  <c r="N253" i="3"/>
  <c r="O253" i="3"/>
  <c r="V253" i="3" s="1"/>
  <c r="P253" i="3"/>
  <c r="T253" i="3"/>
  <c r="Z253" i="3"/>
  <c r="D254" i="3"/>
  <c r="N254" i="3"/>
  <c r="O254" i="3"/>
  <c r="V254" i="3" s="1"/>
  <c r="P254" i="3"/>
  <c r="E254" i="4" s="1"/>
  <c r="T254" i="3"/>
  <c r="Z254" i="3"/>
  <c r="D255" i="3"/>
  <c r="N255" i="3"/>
  <c r="O255" i="3"/>
  <c r="V255" i="3" s="1"/>
  <c r="P255" i="3"/>
  <c r="T255" i="3"/>
  <c r="Z255" i="3"/>
  <c r="D256" i="3"/>
  <c r="N256" i="3"/>
  <c r="O256" i="3"/>
  <c r="V256" i="3" s="1"/>
  <c r="P256" i="3"/>
  <c r="E256" i="4" s="1"/>
  <c r="T256" i="3"/>
  <c r="Z256" i="3"/>
  <c r="D257" i="3"/>
  <c r="N257" i="3"/>
  <c r="O257" i="3"/>
  <c r="V257" i="3" s="1"/>
  <c r="P257" i="3"/>
  <c r="T257" i="3"/>
  <c r="Z257" i="3"/>
  <c r="D258" i="3"/>
  <c r="N258" i="3"/>
  <c r="O258" i="3"/>
  <c r="V258" i="3" s="1"/>
  <c r="P258" i="3"/>
  <c r="T258" i="3"/>
  <c r="Z258" i="3"/>
  <c r="D259" i="3"/>
  <c r="J259" i="3"/>
  <c r="O259" i="3" s="1"/>
  <c r="N259" i="3"/>
  <c r="P259" i="3"/>
  <c r="T259" i="3"/>
  <c r="Z259" i="3"/>
  <c r="D260" i="3"/>
  <c r="N260" i="3"/>
  <c r="O260" i="3"/>
  <c r="V260" i="3" s="1"/>
  <c r="P260" i="3"/>
  <c r="T260" i="3"/>
  <c r="Z260" i="3"/>
  <c r="D261" i="3"/>
  <c r="N261" i="3"/>
  <c r="O261" i="3"/>
  <c r="V261" i="3" s="1"/>
  <c r="F261" i="4" s="1"/>
  <c r="P261" i="3"/>
  <c r="T261" i="3"/>
  <c r="Z261" i="3"/>
  <c r="D262" i="3"/>
  <c r="N262" i="3"/>
  <c r="O262" i="3"/>
  <c r="V262" i="3" s="1"/>
  <c r="F262" i="4" s="1"/>
  <c r="P262" i="3"/>
  <c r="W262" i="3" s="1"/>
  <c r="T262" i="3"/>
  <c r="Z262" i="3"/>
  <c r="D263" i="3"/>
  <c r="N263" i="3"/>
  <c r="O263" i="3"/>
  <c r="V263" i="3" s="1"/>
  <c r="P263" i="3"/>
  <c r="T263" i="3"/>
  <c r="Z263" i="3"/>
  <c r="D264" i="3"/>
  <c r="N264" i="3"/>
  <c r="O264" i="3"/>
  <c r="V264" i="3" s="1"/>
  <c r="P264" i="3"/>
  <c r="T264" i="3"/>
  <c r="Z264" i="3"/>
  <c r="D265" i="3"/>
  <c r="N265" i="3"/>
  <c r="O265" i="3"/>
  <c r="V265" i="3" s="1"/>
  <c r="P265" i="3"/>
  <c r="T265" i="3"/>
  <c r="Z265" i="3"/>
  <c r="D266" i="3"/>
  <c r="N266" i="3"/>
  <c r="O266" i="3"/>
  <c r="V266" i="3" s="1"/>
  <c r="P266" i="3"/>
  <c r="E266" i="4" s="1"/>
  <c r="T266" i="3"/>
  <c r="Z266" i="3" s="1"/>
  <c r="D267" i="3"/>
  <c r="N267" i="3"/>
  <c r="O267" i="3"/>
  <c r="V267" i="3" s="1"/>
  <c r="P267" i="3"/>
  <c r="T267" i="3"/>
  <c r="Z267" i="3"/>
  <c r="D268" i="3"/>
  <c r="N268" i="3"/>
  <c r="O268" i="3"/>
  <c r="V268" i="3" s="1"/>
  <c r="P268" i="3"/>
  <c r="W268" i="3" s="1"/>
  <c r="T268" i="3"/>
  <c r="Z268" i="3"/>
  <c r="D269" i="3"/>
  <c r="N269" i="3"/>
  <c r="O269" i="3"/>
  <c r="V269" i="3" s="1"/>
  <c r="F269" i="4" s="1"/>
  <c r="P269" i="3"/>
  <c r="T269" i="3"/>
  <c r="Z269" i="3"/>
  <c r="D270" i="3"/>
  <c r="J270" i="3"/>
  <c r="N270" i="3" s="1"/>
  <c r="P270" i="3"/>
  <c r="T270" i="3"/>
  <c r="Z270" i="3"/>
  <c r="D271" i="3"/>
  <c r="N271" i="3"/>
  <c r="O271" i="3"/>
  <c r="V271" i="3" s="1"/>
  <c r="P271" i="3"/>
  <c r="T271" i="3"/>
  <c r="Z271" i="3"/>
  <c r="D272" i="3"/>
  <c r="N272" i="3"/>
  <c r="O272" i="3"/>
  <c r="V272" i="3" s="1"/>
  <c r="F272" i="4" s="1"/>
  <c r="P272" i="3"/>
  <c r="Z272" i="3"/>
  <c r="D273" i="3"/>
  <c r="N273" i="3"/>
  <c r="O273" i="3"/>
  <c r="V273" i="3" s="1"/>
  <c r="P273" i="3"/>
  <c r="E273" i="4" s="1"/>
  <c r="T273" i="3"/>
  <c r="Z273" i="3" s="1"/>
  <c r="D274" i="3"/>
  <c r="N274" i="3"/>
  <c r="O274" i="3"/>
  <c r="V274" i="3" s="1"/>
  <c r="P274" i="3"/>
  <c r="E274" i="4" s="1"/>
  <c r="Z274" i="3"/>
  <c r="D275" i="3"/>
  <c r="N275" i="3"/>
  <c r="O275" i="3"/>
  <c r="V275" i="3" s="1"/>
  <c r="F275" i="4" s="1"/>
  <c r="P275" i="3"/>
  <c r="Z275" i="3"/>
  <c r="D276" i="3"/>
  <c r="N276" i="3"/>
  <c r="O276" i="3"/>
  <c r="V276" i="3" s="1"/>
  <c r="P276" i="3"/>
  <c r="T276" i="3"/>
  <c r="Z276" i="3"/>
  <c r="D277" i="3"/>
  <c r="N277" i="3"/>
  <c r="O277" i="3"/>
  <c r="V277" i="3" s="1"/>
  <c r="P277" i="3"/>
  <c r="T277" i="3"/>
  <c r="Z277" i="3"/>
  <c r="F277" i="4" s="1"/>
  <c r="D278" i="3"/>
  <c r="N278" i="3"/>
  <c r="O278" i="3"/>
  <c r="V278" i="3" s="1"/>
  <c r="P278" i="3"/>
  <c r="T278" i="3"/>
  <c r="Z278" i="3"/>
  <c r="D279" i="3"/>
  <c r="N279" i="3"/>
  <c r="O279" i="3"/>
  <c r="V279" i="3" s="1"/>
  <c r="X279" i="3" s="1"/>
  <c r="P279" i="3"/>
  <c r="T279" i="3"/>
  <c r="Z279" i="3"/>
  <c r="D280" i="3"/>
  <c r="N280" i="3"/>
  <c r="O280" i="3"/>
  <c r="V280" i="3" s="1"/>
  <c r="P280" i="3"/>
  <c r="W280" i="3" s="1"/>
  <c r="T280" i="3"/>
  <c r="Z280" i="3"/>
  <c r="D281" i="3"/>
  <c r="N281" i="3"/>
  <c r="O281" i="3"/>
  <c r="V281" i="3" s="1"/>
  <c r="P281" i="3"/>
  <c r="E281" i="4" s="1"/>
  <c r="T281" i="3"/>
  <c r="Z281" i="3"/>
  <c r="D282" i="3"/>
  <c r="N282" i="3"/>
  <c r="O282" i="3"/>
  <c r="V282" i="3" s="1"/>
  <c r="P282" i="3"/>
  <c r="T282" i="3"/>
  <c r="Z282" i="3"/>
  <c r="X282" i="3" s="1"/>
  <c r="D283" i="3"/>
  <c r="N283" i="3"/>
  <c r="O283" i="3"/>
  <c r="V283" i="3" s="1"/>
  <c r="X283" i="3" s="1"/>
  <c r="P283" i="3"/>
  <c r="E283" i="4" s="1"/>
  <c r="T283" i="3"/>
  <c r="Z283" i="3"/>
  <c r="D284" i="3"/>
  <c r="N284" i="3"/>
  <c r="O284" i="3"/>
  <c r="V284" i="3" s="1"/>
  <c r="P284" i="3"/>
  <c r="E284" i="4" s="1"/>
  <c r="T284" i="3"/>
  <c r="Z284" i="3" s="1"/>
  <c r="D285" i="3"/>
  <c r="J285" i="3"/>
  <c r="P285" i="3"/>
  <c r="T285" i="3"/>
  <c r="Z285" i="3"/>
  <c r="D286" i="3"/>
  <c r="N286" i="3"/>
  <c r="O286" i="3"/>
  <c r="V286" i="3" s="1"/>
  <c r="F286" i="4" s="1"/>
  <c r="P286" i="3"/>
  <c r="T286" i="3"/>
  <c r="Z286" i="3" s="1"/>
  <c r="D287" i="3"/>
  <c r="N287" i="3"/>
  <c r="O287" i="3"/>
  <c r="P287" i="3"/>
  <c r="T287" i="3"/>
  <c r="V287" i="3"/>
  <c r="F287" i="4" s="1"/>
  <c r="Z287" i="3"/>
  <c r="D288" i="3"/>
  <c r="J288" i="3"/>
  <c r="N288" i="3" s="1"/>
  <c r="O288" i="3"/>
  <c r="V288" i="3" s="1"/>
  <c r="P288" i="3"/>
  <c r="T288" i="3"/>
  <c r="Z288" i="3"/>
  <c r="F288" i="4" s="1"/>
  <c r="D289" i="3"/>
  <c r="N289" i="3"/>
  <c r="O289" i="3"/>
  <c r="V289" i="3" s="1"/>
  <c r="P289" i="3"/>
  <c r="T289" i="3"/>
  <c r="Z289" i="3"/>
  <c r="X289" i="3" s="1"/>
  <c r="D290" i="3"/>
  <c r="N290" i="3"/>
  <c r="O290" i="3"/>
  <c r="V290" i="3" s="1"/>
  <c r="F290" i="4" s="1"/>
  <c r="P290" i="3"/>
  <c r="T290" i="3"/>
  <c r="Z290" i="3"/>
  <c r="D291" i="3"/>
  <c r="J291" i="3"/>
  <c r="P291" i="3"/>
  <c r="T291" i="3"/>
  <c r="Z291" i="3"/>
  <c r="D292" i="3"/>
  <c r="N292" i="3"/>
  <c r="O292" i="3"/>
  <c r="V292" i="3" s="1"/>
  <c r="P292" i="3"/>
  <c r="Z292" i="3"/>
  <c r="D293" i="3"/>
  <c r="N293" i="3"/>
  <c r="O293" i="3"/>
  <c r="V293" i="3" s="1"/>
  <c r="F293" i="4" s="1"/>
  <c r="P293" i="3"/>
  <c r="Z293" i="3"/>
  <c r="D294" i="3"/>
  <c r="N294" i="3"/>
  <c r="O294" i="3"/>
  <c r="V294" i="3" s="1"/>
  <c r="P294" i="3"/>
  <c r="W294" i="3" s="1"/>
  <c r="T294" i="3"/>
  <c r="Z294" i="3" s="1"/>
  <c r="D295" i="3"/>
  <c r="N295" i="3"/>
  <c r="O295" i="3"/>
  <c r="V295" i="3" s="1"/>
  <c r="P295" i="3"/>
  <c r="W295" i="3" s="1"/>
  <c r="T295" i="3"/>
  <c r="Z295" i="3" s="1"/>
  <c r="D296" i="3"/>
  <c r="N296" i="3"/>
  <c r="O296" i="3"/>
  <c r="V296" i="3" s="1"/>
  <c r="P296" i="3"/>
  <c r="E296" i="4" s="1"/>
  <c r="T296" i="3"/>
  <c r="Z296" i="3"/>
  <c r="D297" i="3"/>
  <c r="N297" i="3"/>
  <c r="O297" i="3"/>
  <c r="V297" i="3" s="1"/>
  <c r="P297" i="3"/>
  <c r="T297" i="3"/>
  <c r="Z297" i="3" s="1"/>
  <c r="D298" i="3"/>
  <c r="N298" i="3"/>
  <c r="O298" i="3"/>
  <c r="V298" i="3" s="1"/>
  <c r="P298" i="3"/>
  <c r="Z298" i="3"/>
  <c r="D299" i="3"/>
  <c r="N299" i="3"/>
  <c r="O299" i="3"/>
  <c r="V299" i="3" s="1"/>
  <c r="F299" i="4" s="1"/>
  <c r="P299" i="3"/>
  <c r="T299" i="3"/>
  <c r="Z299" i="3"/>
  <c r="D300" i="3"/>
  <c r="N300" i="3"/>
  <c r="O300" i="3"/>
  <c r="V300" i="3" s="1"/>
  <c r="F300" i="4" s="1"/>
  <c r="P300" i="3"/>
  <c r="E300" i="4" s="1"/>
  <c r="T300" i="3"/>
  <c r="Z300" i="3"/>
  <c r="N301" i="3"/>
  <c r="O301" i="3"/>
  <c r="V301" i="3" s="1"/>
  <c r="P301" i="3"/>
  <c r="Z301" i="3"/>
  <c r="N302" i="3"/>
  <c r="O302" i="3"/>
  <c r="V302" i="3" s="1"/>
  <c r="P302" i="3"/>
  <c r="Z302" i="3"/>
  <c r="N303" i="3"/>
  <c r="O303" i="3"/>
  <c r="V303" i="3" s="1"/>
  <c r="P303" i="3"/>
  <c r="E303" i="4" s="1"/>
  <c r="Z303" i="3"/>
  <c r="N304" i="3"/>
  <c r="O304" i="3"/>
  <c r="P304" i="3"/>
  <c r="S304" i="3"/>
  <c r="N305" i="3"/>
  <c r="O305" i="3"/>
  <c r="P305" i="3"/>
  <c r="S305" i="3"/>
  <c r="T305" i="3" s="1"/>
  <c r="V305" i="3"/>
  <c r="N306" i="3"/>
  <c r="O306" i="3"/>
  <c r="V306" i="3" s="1"/>
  <c r="P306" i="3"/>
  <c r="S306" i="3"/>
  <c r="T306" i="3"/>
  <c r="Z306" i="3" s="1"/>
  <c r="N307" i="3"/>
  <c r="O307" i="3"/>
  <c r="V307" i="3" s="1"/>
  <c r="P307" i="3"/>
  <c r="E307" i="4" s="1"/>
  <c r="T307" i="3"/>
  <c r="Z307" i="3"/>
  <c r="N308" i="3"/>
  <c r="O308" i="3"/>
  <c r="V308" i="3" s="1"/>
  <c r="P308" i="3"/>
  <c r="T308" i="3"/>
  <c r="Z308" i="3"/>
  <c r="F308" i="4" s="1"/>
  <c r="N309" i="3"/>
  <c r="O309" i="3"/>
  <c r="V309" i="3" s="1"/>
  <c r="F309" i="4" s="1"/>
  <c r="P309" i="3"/>
  <c r="T309" i="3"/>
  <c r="Z309" i="3"/>
  <c r="D310" i="3"/>
  <c r="N310" i="3"/>
  <c r="O310" i="3"/>
  <c r="V310" i="3" s="1"/>
  <c r="F310" i="4" s="1"/>
  <c r="P310" i="3"/>
  <c r="T310" i="3"/>
  <c r="Z310" i="3"/>
  <c r="D311" i="3"/>
  <c r="J311" i="3"/>
  <c r="N311" i="3"/>
  <c r="O311" i="3"/>
  <c r="P311" i="3"/>
  <c r="T311" i="3"/>
  <c r="Z311" i="3"/>
  <c r="D312" i="3"/>
  <c r="J312" i="3"/>
  <c r="N312" i="3"/>
  <c r="O312" i="3"/>
  <c r="V312" i="3" s="1"/>
  <c r="P312" i="3"/>
  <c r="T312" i="3"/>
  <c r="Z312" i="3"/>
  <c r="D313" i="3"/>
  <c r="J313" i="3"/>
  <c r="N313" i="3" s="1"/>
  <c r="P313" i="3"/>
  <c r="T313" i="3"/>
  <c r="Z313" i="3"/>
  <c r="D314" i="3"/>
  <c r="J314" i="3"/>
  <c r="O314" i="3" s="1"/>
  <c r="V314" i="3" s="1"/>
  <c r="F314" i="4" s="1"/>
  <c r="P314" i="3"/>
  <c r="T314" i="3"/>
  <c r="Z314" i="3"/>
  <c r="D315" i="3"/>
  <c r="J315" i="3"/>
  <c r="N315" i="3"/>
  <c r="O315" i="3"/>
  <c r="V315" i="3" s="1"/>
  <c r="F315" i="4" s="1"/>
  <c r="P315" i="3"/>
  <c r="W315" i="3" s="1"/>
  <c r="T315" i="3"/>
  <c r="Z315" i="3"/>
  <c r="D316" i="3"/>
  <c r="N316" i="3"/>
  <c r="O316" i="3"/>
  <c r="V316" i="3" s="1"/>
  <c r="P316" i="3"/>
  <c r="T316" i="3"/>
  <c r="Z316" i="3"/>
  <c r="F316" i="4" s="1"/>
  <c r="D317" i="3"/>
  <c r="N317" i="3"/>
  <c r="O317" i="3"/>
  <c r="V317" i="3" s="1"/>
  <c r="P317" i="3"/>
  <c r="E317" i="4" s="1"/>
  <c r="T317" i="3"/>
  <c r="Z317" i="3"/>
  <c r="D318" i="3"/>
  <c r="N318" i="3"/>
  <c r="O318" i="3"/>
  <c r="V318" i="3" s="1"/>
  <c r="P318" i="3"/>
  <c r="T318" i="3"/>
  <c r="Z318" i="3"/>
  <c r="D319" i="3"/>
  <c r="N319" i="3"/>
  <c r="O319" i="3"/>
  <c r="V319" i="3" s="1"/>
  <c r="F319" i="4" s="1"/>
  <c r="P319" i="3"/>
  <c r="E319" i="4" s="1"/>
  <c r="T319" i="3"/>
  <c r="Z319" i="3"/>
  <c r="D320" i="3"/>
  <c r="N320" i="3"/>
  <c r="O320" i="3"/>
  <c r="P320" i="3"/>
  <c r="T320" i="3"/>
  <c r="V320" i="3"/>
  <c r="Z320" i="3"/>
  <c r="D321" i="3"/>
  <c r="N321" i="3"/>
  <c r="O321" i="3"/>
  <c r="V321" i="3" s="1"/>
  <c r="F321" i="4" s="1"/>
  <c r="P321" i="3"/>
  <c r="T321" i="3"/>
  <c r="Z321" i="3"/>
  <c r="D322" i="3"/>
  <c r="N322" i="3"/>
  <c r="O322" i="3"/>
  <c r="V322" i="3" s="1"/>
  <c r="F322" i="4" s="1"/>
  <c r="P322" i="3"/>
  <c r="T322" i="3"/>
  <c r="Z322" i="3"/>
  <c r="D323" i="3"/>
  <c r="N323" i="3"/>
  <c r="O323" i="3"/>
  <c r="V323" i="3" s="1"/>
  <c r="P323" i="3"/>
  <c r="T323" i="3"/>
  <c r="Z323" i="3"/>
  <c r="D324" i="3"/>
  <c r="N324" i="3"/>
  <c r="O324" i="3"/>
  <c r="V324" i="3" s="1"/>
  <c r="F324" i="4" s="1"/>
  <c r="P324" i="3"/>
  <c r="W324" i="3" s="1"/>
  <c r="T324" i="3"/>
  <c r="Z324" i="3"/>
  <c r="D325" i="3"/>
  <c r="N325" i="3"/>
  <c r="O325" i="3"/>
  <c r="V325" i="3" s="1"/>
  <c r="F325" i="4" s="1"/>
  <c r="P325" i="3"/>
  <c r="T325" i="3"/>
  <c r="Z325" i="3"/>
  <c r="D326" i="3"/>
  <c r="N326" i="3"/>
  <c r="O326" i="3"/>
  <c r="V326" i="3" s="1"/>
  <c r="P326" i="3"/>
  <c r="T326" i="3"/>
  <c r="Z326" i="3"/>
  <c r="D327" i="3"/>
  <c r="N327" i="3"/>
  <c r="O327" i="3"/>
  <c r="V327" i="3" s="1"/>
  <c r="P327" i="3"/>
  <c r="T327" i="3"/>
  <c r="Z327" i="3"/>
  <c r="D328" i="3"/>
  <c r="N328" i="3"/>
  <c r="O328" i="3"/>
  <c r="V328" i="3" s="1"/>
  <c r="F328" i="4" s="1"/>
  <c r="P328" i="3"/>
  <c r="E328" i="4" s="1"/>
  <c r="T328" i="3"/>
  <c r="Z328" i="3"/>
  <c r="D329" i="3"/>
  <c r="N329" i="3"/>
  <c r="O329" i="3"/>
  <c r="V329" i="3" s="1"/>
  <c r="F329" i="4" s="1"/>
  <c r="P329" i="3"/>
  <c r="T329" i="3"/>
  <c r="Z329" i="3"/>
  <c r="D330" i="3"/>
  <c r="N330" i="3"/>
  <c r="O330" i="3"/>
  <c r="V330" i="3" s="1"/>
  <c r="P330" i="3"/>
  <c r="E330" i="4" s="1"/>
  <c r="T330" i="3"/>
  <c r="Z330" i="3"/>
  <c r="D331" i="3"/>
  <c r="N331" i="3"/>
  <c r="O331" i="3"/>
  <c r="V331" i="3" s="1"/>
  <c r="P331" i="3"/>
  <c r="T331" i="3"/>
  <c r="Z331" i="3"/>
  <c r="F331" i="4" s="1"/>
  <c r="D332" i="3"/>
  <c r="N332" i="3"/>
  <c r="O332" i="3"/>
  <c r="V332" i="3" s="1"/>
  <c r="F332" i="4" s="1"/>
  <c r="P332" i="3"/>
  <c r="T332" i="3"/>
  <c r="Z332" i="3"/>
  <c r="D333" i="3"/>
  <c r="N333" i="3"/>
  <c r="O333" i="3"/>
  <c r="V333" i="3" s="1"/>
  <c r="F333" i="4" s="1"/>
  <c r="P333" i="3"/>
  <c r="E333" i="4" s="1"/>
  <c r="T333" i="3"/>
  <c r="Z333" i="3"/>
  <c r="D334" i="3"/>
  <c r="N334" i="3"/>
  <c r="O334" i="3"/>
  <c r="V334" i="3" s="1"/>
  <c r="P334" i="3"/>
  <c r="T334" i="3"/>
  <c r="Z334" i="3"/>
  <c r="D335" i="3"/>
  <c r="N335" i="3"/>
  <c r="O335" i="3"/>
  <c r="V335" i="3" s="1"/>
  <c r="P335" i="3"/>
  <c r="T335" i="3"/>
  <c r="Z335" i="3"/>
  <c r="D336" i="3"/>
  <c r="N336" i="3"/>
  <c r="O336" i="3"/>
  <c r="V336" i="3" s="1"/>
  <c r="F336" i="4" s="1"/>
  <c r="P336" i="3"/>
  <c r="T336" i="3"/>
  <c r="Z336" i="3"/>
  <c r="D337" i="3"/>
  <c r="N337" i="3"/>
  <c r="O337" i="3"/>
  <c r="V337" i="3" s="1"/>
  <c r="F337" i="4" s="1"/>
  <c r="P337" i="3"/>
  <c r="T337" i="3"/>
  <c r="Z337" i="3"/>
  <c r="D338" i="3"/>
  <c r="N338" i="3"/>
  <c r="O338" i="3"/>
  <c r="V338" i="3" s="1"/>
  <c r="F338" i="4" s="1"/>
  <c r="P338" i="3"/>
  <c r="T338" i="3"/>
  <c r="Z338" i="3"/>
  <c r="D339" i="3"/>
  <c r="N339" i="3"/>
  <c r="O339" i="3"/>
  <c r="V339" i="3" s="1"/>
  <c r="P339" i="3"/>
  <c r="E339" i="4" s="1"/>
  <c r="T339" i="3"/>
  <c r="Z339" i="3"/>
  <c r="F339" i="4" s="1"/>
  <c r="D340" i="3"/>
  <c r="J340" i="3"/>
  <c r="N340" i="3"/>
  <c r="O340" i="3"/>
  <c r="V340" i="3" s="1"/>
  <c r="P340" i="3"/>
  <c r="E340" i="4" s="1"/>
  <c r="T340" i="3"/>
  <c r="Z340" i="3"/>
  <c r="D341" i="3"/>
  <c r="N341" i="3"/>
  <c r="O341" i="3"/>
  <c r="V341" i="3" s="1"/>
  <c r="P341" i="3"/>
  <c r="E341" i="4" s="1"/>
  <c r="T341" i="3"/>
  <c r="Z341" i="3"/>
  <c r="N342" i="3"/>
  <c r="O342" i="3"/>
  <c r="V342" i="3" s="1"/>
  <c r="P342" i="3"/>
  <c r="Z342" i="3"/>
  <c r="D343" i="3"/>
  <c r="N343" i="3"/>
  <c r="O343" i="3"/>
  <c r="P343" i="3"/>
  <c r="W343" i="3" s="1"/>
  <c r="V343" i="3"/>
  <c r="Z343" i="3"/>
  <c r="D344" i="3"/>
  <c r="N344" i="3"/>
  <c r="O344" i="3"/>
  <c r="V344" i="3" s="1"/>
  <c r="P344" i="3"/>
  <c r="Z344" i="3"/>
  <c r="X344" i="3" s="1"/>
  <c r="D345" i="3"/>
  <c r="N345" i="3"/>
  <c r="O345" i="3"/>
  <c r="V345" i="3" s="1"/>
  <c r="F345" i="4" s="1"/>
  <c r="P345" i="3"/>
  <c r="Z345" i="3"/>
  <c r="D346" i="3"/>
  <c r="N346" i="3"/>
  <c r="O346" i="3"/>
  <c r="V346" i="3" s="1"/>
  <c r="P346" i="3"/>
  <c r="W346" i="3" s="1"/>
  <c r="Z346" i="3"/>
  <c r="N347" i="3"/>
  <c r="O347" i="3"/>
  <c r="V347" i="3" s="1"/>
  <c r="P347" i="3"/>
  <c r="T347" i="3"/>
  <c r="Z347" i="3" s="1"/>
  <c r="D342" i="3"/>
  <c r="F266" i="4" l="1"/>
  <c r="E160" i="4"/>
  <c r="V160" i="3"/>
  <c r="F25" i="4"/>
  <c r="F273" i="4"/>
  <c r="F231" i="4"/>
  <c r="W247" i="3"/>
  <c r="E247" i="4"/>
  <c r="W338" i="3"/>
  <c r="E338" i="4"/>
  <c r="W139" i="3"/>
  <c r="V139" i="3"/>
  <c r="E147" i="4"/>
  <c r="V147" i="3"/>
  <c r="F147" i="4" s="1"/>
  <c r="F346" i="4"/>
  <c r="F49" i="4"/>
  <c r="F294" i="4"/>
  <c r="F323" i="4"/>
  <c r="F274" i="4"/>
  <c r="F137" i="4"/>
  <c r="F91" i="4"/>
  <c r="E311" i="4"/>
  <c r="F162" i="4"/>
  <c r="E262" i="4"/>
  <c r="F312" i="4"/>
  <c r="F301" i="4"/>
  <c r="F232" i="4"/>
  <c r="W189" i="3"/>
  <c r="V189" i="3"/>
  <c r="F189" i="4" s="1"/>
  <c r="E159" i="4"/>
  <c r="W159" i="3"/>
  <c r="X142" i="3"/>
  <c r="F113" i="4"/>
  <c r="F112" i="4"/>
  <c r="F111" i="4"/>
  <c r="F110" i="4"/>
  <c r="W64" i="3"/>
  <c r="E64" i="4"/>
  <c r="F10" i="4"/>
  <c r="W9" i="3"/>
  <c r="E9" i="4"/>
  <c r="E128" i="4"/>
  <c r="E218" i="4"/>
  <c r="E299" i="4"/>
  <c r="W299" i="3"/>
  <c r="F226" i="4"/>
  <c r="F297" i="4"/>
  <c r="F263" i="4"/>
  <c r="E145" i="4"/>
  <c r="W145" i="3"/>
  <c r="F94" i="4"/>
  <c r="F241" i="4"/>
  <c r="X210" i="3"/>
  <c r="F210" i="4"/>
  <c r="F89" i="4"/>
  <c r="F244" i="4"/>
  <c r="F236" i="4"/>
  <c r="F200" i="4"/>
  <c r="F330" i="4"/>
  <c r="F303" i="4"/>
  <c r="F342" i="4"/>
  <c r="W339" i="3"/>
  <c r="E261" i="4"/>
  <c r="X258" i="3"/>
  <c r="F254" i="4"/>
  <c r="X217" i="3"/>
  <c r="E190" i="4"/>
  <c r="W175" i="3"/>
  <c r="E146" i="4"/>
  <c r="V146" i="3"/>
  <c r="X146" i="3" s="1"/>
  <c r="E130" i="4"/>
  <c r="F122" i="4"/>
  <c r="F95" i="4"/>
  <c r="X62" i="3"/>
  <c r="W51" i="3"/>
  <c r="V51" i="3"/>
  <c r="F51" i="4" s="1"/>
  <c r="W28" i="3"/>
  <c r="W23" i="3"/>
  <c r="E23" i="4"/>
  <c r="F11" i="4"/>
  <c r="E178" i="4"/>
  <c r="F283" i="4"/>
  <c r="F216" i="4"/>
  <c r="F133" i="4"/>
  <c r="F70" i="4"/>
  <c r="F50" i="4"/>
  <c r="F33" i="4"/>
  <c r="F9" i="4"/>
  <c r="F349" i="4"/>
  <c r="F326" i="4"/>
  <c r="W298" i="3"/>
  <c r="F267" i="4"/>
  <c r="E264" i="4"/>
  <c r="F255" i="4"/>
  <c r="X252" i="3"/>
  <c r="F250" i="4"/>
  <c r="F245" i="4"/>
  <c r="X238" i="3"/>
  <c r="F225" i="4"/>
  <c r="F219" i="4"/>
  <c r="E213" i="4"/>
  <c r="F190" i="4"/>
  <c r="W187" i="3"/>
  <c r="X181" i="3"/>
  <c r="W163" i="3"/>
  <c r="E158" i="4"/>
  <c r="X145" i="3"/>
  <c r="F143" i="4"/>
  <c r="E113" i="4"/>
  <c r="E112" i="4"/>
  <c r="E111" i="4"/>
  <c r="E91" i="4"/>
  <c r="E88" i="4"/>
  <c r="F74" i="4"/>
  <c r="W71" i="3"/>
  <c r="F66" i="4"/>
  <c r="E63" i="4"/>
  <c r="W16" i="3"/>
  <c r="E163" i="4"/>
  <c r="F221" i="4"/>
  <c r="F192" i="4"/>
  <c r="X138" i="3"/>
  <c r="F59" i="4"/>
  <c r="X300" i="3"/>
  <c r="F271" i="4"/>
  <c r="F264" i="4"/>
  <c r="E259" i="4"/>
  <c r="E115" i="4"/>
  <c r="F100" i="4"/>
  <c r="F92" i="4"/>
  <c r="F86" i="4"/>
  <c r="X81" i="3"/>
  <c r="F79" i="4"/>
  <c r="F71" i="4"/>
  <c r="F63" i="4"/>
  <c r="X61" i="3"/>
  <c r="W60" i="3"/>
  <c r="W50" i="3"/>
  <c r="F42" i="4"/>
  <c r="F34" i="4"/>
  <c r="X23" i="3"/>
  <c r="E50" i="4"/>
  <c r="E298" i="4"/>
  <c r="F197" i="4"/>
  <c r="X193" i="3"/>
  <c r="F179" i="4"/>
  <c r="F173" i="4"/>
  <c r="X136" i="3"/>
  <c r="E83" i="4"/>
  <c r="F48" i="4"/>
  <c r="X2" i="3"/>
  <c r="F327" i="4"/>
  <c r="W304" i="3"/>
  <c r="F278" i="4"/>
  <c r="E275" i="4"/>
  <c r="E272" i="4"/>
  <c r="F268" i="4"/>
  <c r="F256" i="4"/>
  <c r="W246" i="3"/>
  <c r="W238" i="3"/>
  <c r="W232" i="3"/>
  <c r="E223" i="4"/>
  <c r="F220" i="4"/>
  <c r="E210" i="4"/>
  <c r="W206" i="3"/>
  <c r="E202" i="4"/>
  <c r="X191" i="3"/>
  <c r="E189" i="4"/>
  <c r="E168" i="4"/>
  <c r="E156" i="4"/>
  <c r="E139" i="4"/>
  <c r="E138" i="4"/>
  <c r="W128" i="3"/>
  <c r="W120" i="3"/>
  <c r="X98" i="3"/>
  <c r="F96" i="4"/>
  <c r="E93" i="4"/>
  <c r="E80" i="4"/>
  <c r="F75" i="4"/>
  <c r="E22" i="4"/>
  <c r="F102" i="4"/>
  <c r="E186" i="4"/>
  <c r="W342" i="3"/>
  <c r="E342" i="4"/>
  <c r="W327" i="3"/>
  <c r="E327" i="4"/>
  <c r="W322" i="3"/>
  <c r="E322" i="4"/>
  <c r="W255" i="3"/>
  <c r="E255" i="4"/>
  <c r="W96" i="3"/>
  <c r="E96" i="4"/>
  <c r="W85" i="3"/>
  <c r="E85" i="4"/>
  <c r="W66" i="3"/>
  <c r="E66" i="4"/>
  <c r="W40" i="3"/>
  <c r="E40" i="4"/>
  <c r="W35" i="3"/>
  <c r="E35" i="4"/>
  <c r="F217" i="4"/>
  <c r="E337" i="4"/>
  <c r="W337" i="3"/>
  <c r="W286" i="3"/>
  <c r="E286" i="4"/>
  <c r="W279" i="3"/>
  <c r="E279" i="4"/>
  <c r="W245" i="3"/>
  <c r="E245" i="4"/>
  <c r="W216" i="3"/>
  <c r="E216" i="4"/>
  <c r="W75" i="3"/>
  <c r="E75" i="4"/>
  <c r="F68" i="4"/>
  <c r="F56" i="4"/>
  <c r="F343" i="4"/>
  <c r="W329" i="3"/>
  <c r="E329" i="4"/>
  <c r="W301" i="3"/>
  <c r="E301" i="4"/>
  <c r="F98" i="4"/>
  <c r="X93" i="3"/>
  <c r="F93" i="4"/>
  <c r="F82" i="4"/>
  <c r="W76" i="3"/>
  <c r="E76" i="4"/>
  <c r="E49" i="4"/>
  <c r="W49" i="3"/>
  <c r="W8" i="3"/>
  <c r="E8" i="4"/>
  <c r="E263" i="4"/>
  <c r="W334" i="3"/>
  <c r="E334" i="4"/>
  <c r="F318" i="4"/>
  <c r="X188" i="3"/>
  <c r="F114" i="4"/>
  <c r="F83" i="4"/>
  <c r="V19" i="3"/>
  <c r="F19" i="4" s="1"/>
  <c r="E19" i="4"/>
  <c r="E108" i="4"/>
  <c r="F142" i="4"/>
  <c r="E164" i="4"/>
  <c r="E176" i="4"/>
  <c r="E199" i="4"/>
  <c r="E310" i="4"/>
  <c r="E343" i="4"/>
  <c r="F340" i="4"/>
  <c r="F320" i="4"/>
  <c r="W287" i="3"/>
  <c r="E287" i="4"/>
  <c r="W257" i="3"/>
  <c r="E257" i="4"/>
  <c r="F209" i="4"/>
  <c r="F201" i="4"/>
  <c r="F194" i="4"/>
  <c r="W180" i="3"/>
  <c r="E180" i="4"/>
  <c r="F126" i="4"/>
  <c r="F125" i="4"/>
  <c r="F124" i="4"/>
  <c r="F119" i="4"/>
  <c r="X100" i="3"/>
  <c r="W98" i="3"/>
  <c r="E98" i="4"/>
  <c r="F88" i="4"/>
  <c r="F61" i="4"/>
  <c r="W15" i="3"/>
  <c r="E15" i="4"/>
  <c r="W5" i="3"/>
  <c r="E5" i="4"/>
  <c r="E122" i="4"/>
  <c r="E211" i="4"/>
  <c r="E332" i="4"/>
  <c r="X327" i="3"/>
  <c r="W325" i="3"/>
  <c r="E325" i="4"/>
  <c r="W314" i="3"/>
  <c r="E314" i="4"/>
  <c r="V311" i="3"/>
  <c r="F311" i="4" s="1"/>
  <c r="W309" i="3"/>
  <c r="E309" i="4"/>
  <c r="W306" i="3"/>
  <c r="E306" i="4"/>
  <c r="F257" i="4"/>
  <c r="W228" i="3"/>
  <c r="E228" i="4"/>
  <c r="W188" i="3"/>
  <c r="E188" i="4"/>
  <c r="F181" i="4"/>
  <c r="X159" i="3"/>
  <c r="F159" i="4"/>
  <c r="F152" i="4"/>
  <c r="F140" i="4"/>
  <c r="F139" i="4"/>
  <c r="W114" i="3"/>
  <c r="E114" i="4"/>
  <c r="F104" i="4"/>
  <c r="W100" i="3"/>
  <c r="F69" i="4"/>
  <c r="W61" i="3"/>
  <c r="E61" i="4"/>
  <c r="W25" i="3"/>
  <c r="E25" i="4"/>
  <c r="E24" i="4"/>
  <c r="E47" i="4"/>
  <c r="E268" i="4"/>
  <c r="F279" i="4"/>
  <c r="F289" i="4"/>
  <c r="E324" i="4"/>
  <c r="E346" i="4"/>
  <c r="F335" i="4"/>
  <c r="W320" i="3"/>
  <c r="E320" i="4"/>
  <c r="W307" i="3"/>
  <c r="F306" i="4"/>
  <c r="W302" i="3"/>
  <c r="E302" i="4"/>
  <c r="F296" i="4"/>
  <c r="W290" i="3"/>
  <c r="F281" i="4"/>
  <c r="W271" i="3"/>
  <c r="E271" i="4"/>
  <c r="W234" i="3"/>
  <c r="E234" i="4"/>
  <c r="F195" i="4"/>
  <c r="W194" i="3"/>
  <c r="E194" i="4"/>
  <c r="W173" i="3"/>
  <c r="E173" i="4"/>
  <c r="F134" i="4"/>
  <c r="W132" i="3"/>
  <c r="E132" i="4"/>
  <c r="W119" i="3"/>
  <c r="E119" i="4"/>
  <c r="W107" i="3"/>
  <c r="E107" i="4"/>
  <c r="W104" i="3"/>
  <c r="E104" i="4"/>
  <c r="V58" i="3"/>
  <c r="F58" i="4" s="1"/>
  <c r="W58" i="3"/>
  <c r="W43" i="3"/>
  <c r="E43" i="4"/>
  <c r="X40" i="3"/>
  <c r="E34" i="4"/>
  <c r="W34" i="3"/>
  <c r="F12" i="4"/>
  <c r="W10" i="3"/>
  <c r="E10" i="4"/>
  <c r="E59" i="4"/>
  <c r="E71" i="4"/>
  <c r="E179" i="4"/>
  <c r="E204" i="4"/>
  <c r="E280" i="4"/>
  <c r="E315" i="4"/>
  <c r="X245" i="3"/>
  <c r="V174" i="3"/>
  <c r="F174" i="4" s="1"/>
  <c r="E174" i="4"/>
  <c r="W169" i="3"/>
  <c r="E169" i="4"/>
  <c r="X166" i="3"/>
  <c r="F166" i="4"/>
  <c r="W31" i="3"/>
  <c r="E31" i="4"/>
  <c r="V27" i="3"/>
  <c r="E27" i="4"/>
  <c r="W269" i="3"/>
  <c r="E269" i="4"/>
  <c r="W225" i="3"/>
  <c r="E225" i="4"/>
  <c r="W165" i="3"/>
  <c r="E165" i="4"/>
  <c r="W67" i="3"/>
  <c r="E67" i="4"/>
  <c r="W48" i="3"/>
  <c r="E48" i="4"/>
  <c r="W36" i="3"/>
  <c r="E36" i="4"/>
  <c r="E74" i="4"/>
  <c r="E260" i="4"/>
  <c r="W260" i="3"/>
  <c r="V259" i="3"/>
  <c r="W259" i="3"/>
  <c r="W222" i="3"/>
  <c r="E222" i="4"/>
  <c r="W217" i="3"/>
  <c r="E217" i="4"/>
  <c r="W77" i="3"/>
  <c r="E77" i="4"/>
  <c r="E41" i="4"/>
  <c r="W41" i="3"/>
  <c r="E44" i="4"/>
  <c r="E175" i="4"/>
  <c r="F260" i="4"/>
  <c r="F253" i="4"/>
  <c r="X248" i="3"/>
  <c r="F248" i="4"/>
  <c r="E231" i="4"/>
  <c r="W231" i="3"/>
  <c r="W226" i="3"/>
  <c r="E226" i="4"/>
  <c r="X222" i="3"/>
  <c r="F222" i="4"/>
  <c r="F103" i="4"/>
  <c r="W81" i="3"/>
  <c r="E81" i="4"/>
  <c r="F77" i="4"/>
  <c r="F344" i="4"/>
  <c r="X321" i="3"/>
  <c r="W292" i="3"/>
  <c r="E292" i="4"/>
  <c r="F284" i="4"/>
  <c r="F280" i="4"/>
  <c r="W193" i="3"/>
  <c r="E193" i="4"/>
  <c r="F167" i="4"/>
  <c r="F132" i="4"/>
  <c r="F90" i="4"/>
  <c r="E33" i="4"/>
  <c r="W33" i="3"/>
  <c r="E4" i="4"/>
  <c r="E79" i="4"/>
  <c r="E100" i="4"/>
  <c r="E246" i="4"/>
  <c r="W344" i="3"/>
  <c r="E344" i="4"/>
  <c r="W331" i="3"/>
  <c r="E331" i="4"/>
  <c r="W326" i="3"/>
  <c r="F298" i="4"/>
  <c r="F292" i="4"/>
  <c r="E233" i="4"/>
  <c r="W233" i="3"/>
  <c r="W198" i="3"/>
  <c r="E198" i="4"/>
  <c r="F184" i="4"/>
  <c r="F180" i="4"/>
  <c r="F120" i="4"/>
  <c r="F15" i="4"/>
  <c r="F5" i="4"/>
  <c r="E336" i="4"/>
  <c r="F347" i="4"/>
  <c r="W336" i="3"/>
  <c r="W332" i="3"/>
  <c r="W328" i="3"/>
  <c r="E326" i="4"/>
  <c r="W321" i="3"/>
  <c r="E321" i="4"/>
  <c r="W312" i="3"/>
  <c r="E312" i="4"/>
  <c r="W311" i="3"/>
  <c r="W310" i="3"/>
  <c r="F302" i="4"/>
  <c r="W293" i="3"/>
  <c r="E293" i="4"/>
  <c r="W289" i="3"/>
  <c r="E289" i="4"/>
  <c r="W278" i="3"/>
  <c r="E278" i="4"/>
  <c r="X275" i="3"/>
  <c r="E267" i="4"/>
  <c r="W267" i="3"/>
  <c r="W263" i="3"/>
  <c r="F258" i="4"/>
  <c r="W244" i="3"/>
  <c r="E244" i="4"/>
  <c r="W241" i="3"/>
  <c r="E241" i="4"/>
  <c r="W215" i="3"/>
  <c r="E215" i="4"/>
  <c r="W211" i="3"/>
  <c r="W207" i="3"/>
  <c r="E207" i="4"/>
  <c r="W203" i="3"/>
  <c r="E203" i="4"/>
  <c r="W195" i="3"/>
  <c r="E195" i="4"/>
  <c r="W164" i="3"/>
  <c r="F160" i="4"/>
  <c r="W153" i="3"/>
  <c r="E153" i="4"/>
  <c r="F150" i="4"/>
  <c r="F146" i="4"/>
  <c r="F145" i="4"/>
  <c r="W140" i="3"/>
  <c r="E140" i="4"/>
  <c r="F84" i="4"/>
  <c r="W79" i="3"/>
  <c r="W74" i="3"/>
  <c r="F67" i="4"/>
  <c r="E65" i="4"/>
  <c r="W65" i="3"/>
  <c r="W62" i="3"/>
  <c r="E62" i="4"/>
  <c r="W47" i="3"/>
  <c r="F21" i="4"/>
  <c r="F6" i="4"/>
  <c r="E92" i="4"/>
  <c r="E102" i="4"/>
  <c r="E127" i="4"/>
  <c r="F136" i="4"/>
  <c r="F191" i="4"/>
  <c r="E238" i="4"/>
  <c r="F282" i="4"/>
  <c r="E294" i="4"/>
  <c r="E304" i="4"/>
  <c r="W276" i="3"/>
  <c r="E276" i="4"/>
  <c r="V239" i="3"/>
  <c r="F239" i="4" s="1"/>
  <c r="X228" i="3"/>
  <c r="F228" i="4"/>
  <c r="W185" i="3"/>
  <c r="E185" i="4"/>
  <c r="F176" i="4"/>
  <c r="F161" i="4"/>
  <c r="W133" i="3"/>
  <c r="E133" i="4"/>
  <c r="X107" i="3"/>
  <c r="W99" i="3"/>
  <c r="E99" i="4"/>
  <c r="F87" i="4"/>
  <c r="W78" i="3"/>
  <c r="E78" i="4"/>
  <c r="X63" i="3"/>
  <c r="F62" i="4"/>
  <c r="X59" i="3"/>
  <c r="E56" i="4"/>
  <c r="W56" i="3"/>
  <c r="F41" i="4"/>
  <c r="X24" i="3"/>
  <c r="W11" i="3"/>
  <c r="E11" i="4"/>
  <c r="F348" i="4"/>
  <c r="E82" i="4"/>
  <c r="E347" i="4"/>
  <c r="X341" i="3"/>
  <c r="X334" i="3"/>
  <c r="F317" i="4"/>
  <c r="F307" i="4"/>
  <c r="W296" i="3"/>
  <c r="W282" i="3"/>
  <c r="E282" i="4"/>
  <c r="F276" i="4"/>
  <c r="W265" i="3"/>
  <c r="E265" i="4"/>
  <c r="W253" i="3"/>
  <c r="E253" i="4"/>
  <c r="W248" i="3"/>
  <c r="X244" i="3"/>
  <c r="E237" i="4"/>
  <c r="X231" i="3"/>
  <c r="W229" i="3"/>
  <c r="E229" i="4"/>
  <c r="X225" i="3"/>
  <c r="W219" i="3"/>
  <c r="E219" i="4"/>
  <c r="F218" i="4"/>
  <c r="X215" i="3"/>
  <c r="F213" i="4"/>
  <c r="X206" i="3"/>
  <c r="W205" i="3"/>
  <c r="E205" i="4"/>
  <c r="X187" i="3"/>
  <c r="X185" i="3"/>
  <c r="W181" i="3"/>
  <c r="E181" i="4"/>
  <c r="E177" i="4"/>
  <c r="W171" i="3"/>
  <c r="E171" i="4"/>
  <c r="W167" i="3"/>
  <c r="E167" i="4"/>
  <c r="W73" i="3"/>
  <c r="E73" i="4"/>
  <c r="W69" i="3"/>
  <c r="E69" i="4"/>
  <c r="X65" i="3"/>
  <c r="X64" i="3"/>
  <c r="X60" i="3"/>
  <c r="E57" i="4"/>
  <c r="W52" i="3"/>
  <c r="E52" i="4"/>
  <c r="E51" i="4"/>
  <c r="E46" i="4"/>
  <c r="W46" i="3"/>
  <c r="W42" i="3"/>
  <c r="W32" i="3"/>
  <c r="W17" i="3"/>
  <c r="E17" i="4"/>
  <c r="X8" i="3"/>
  <c r="W3" i="3"/>
  <c r="E3" i="4"/>
  <c r="E42" i="4"/>
  <c r="F334" i="4"/>
  <c r="F341" i="4"/>
  <c r="W258" i="3"/>
  <c r="E258" i="4"/>
  <c r="X236" i="3"/>
  <c r="W209" i="3"/>
  <c r="E209" i="4"/>
  <c r="X192" i="3"/>
  <c r="E345" i="4"/>
  <c r="X338" i="3"/>
  <c r="W335" i="3"/>
  <c r="X330" i="3"/>
  <c r="W323" i="3"/>
  <c r="E323" i="4"/>
  <c r="E318" i="4"/>
  <c r="X314" i="3"/>
  <c r="W308" i="3"/>
  <c r="E308" i="4"/>
  <c r="W305" i="3"/>
  <c r="E305" i="4"/>
  <c r="X301" i="3"/>
  <c r="E297" i="4"/>
  <c r="E290" i="4"/>
  <c r="W277" i="3"/>
  <c r="E277" i="4"/>
  <c r="W274" i="3"/>
  <c r="F265" i="4"/>
  <c r="W254" i="3"/>
  <c r="E249" i="4"/>
  <c r="W240" i="3"/>
  <c r="E240" i="4"/>
  <c r="E239" i="4"/>
  <c r="F229" i="4"/>
  <c r="W220" i="3"/>
  <c r="X216" i="3"/>
  <c r="E214" i="4"/>
  <c r="W201" i="3"/>
  <c r="E201" i="4"/>
  <c r="W197" i="3"/>
  <c r="E197" i="4"/>
  <c r="W192" i="3"/>
  <c r="E192" i="4"/>
  <c r="W182" i="3"/>
  <c r="E182" i="4"/>
  <c r="F177" i="4"/>
  <c r="W172" i="3"/>
  <c r="E172" i="4"/>
  <c r="F171" i="4"/>
  <c r="E162" i="4"/>
  <c r="E157" i="4"/>
  <c r="W151" i="3"/>
  <c r="E151" i="4"/>
  <c r="W142" i="3"/>
  <c r="W135" i="3"/>
  <c r="E135" i="4"/>
  <c r="F129" i="4"/>
  <c r="X121" i="3"/>
  <c r="X112" i="3"/>
  <c r="X110" i="3"/>
  <c r="W108" i="3"/>
  <c r="W101" i="3"/>
  <c r="E101" i="4"/>
  <c r="W92" i="3"/>
  <c r="W84" i="3"/>
  <c r="E84" i="4"/>
  <c r="W63" i="3"/>
  <c r="E53" i="4"/>
  <c r="F46" i="4"/>
  <c r="E29" i="4"/>
  <c r="X3" i="3"/>
  <c r="E28" i="4"/>
  <c r="E335" i="4"/>
  <c r="W27" i="3"/>
  <c r="X26" i="3"/>
  <c r="W21" i="3"/>
  <c r="E21" i="4"/>
  <c r="X17" i="3"/>
  <c r="W2" i="3"/>
  <c r="E26" i="4"/>
  <c r="W199" i="3"/>
  <c r="W174" i="3"/>
  <c r="W168" i="3"/>
  <c r="E161" i="4"/>
  <c r="E149" i="4"/>
  <c r="E148" i="4"/>
  <c r="W134" i="3"/>
  <c r="E129" i="4"/>
  <c r="E121" i="4"/>
  <c r="E116" i="4"/>
  <c r="W105" i="3"/>
  <c r="E105" i="4"/>
  <c r="W95" i="3"/>
  <c r="W91" i="3"/>
  <c r="E89" i="4"/>
  <c r="W83" i="3"/>
  <c r="X74" i="3"/>
  <c r="W68" i="3"/>
  <c r="X57" i="3"/>
  <c r="X54" i="3"/>
  <c r="X50" i="3"/>
  <c r="X49" i="3"/>
  <c r="X48" i="3"/>
  <c r="X47" i="3"/>
  <c r="E45" i="4"/>
  <c r="F38" i="4"/>
  <c r="X33" i="3"/>
  <c r="X32" i="3"/>
  <c r="W26" i="3"/>
  <c r="X16" i="3"/>
  <c r="X9" i="3"/>
  <c r="E7" i="4"/>
  <c r="X31" i="3"/>
  <c r="W24" i="3"/>
  <c r="W19" i="3"/>
  <c r="E13" i="4"/>
  <c r="W12" i="3"/>
  <c r="W6" i="3"/>
  <c r="X349" i="3"/>
  <c r="X348" i="3"/>
  <c r="X347" i="3"/>
  <c r="X266" i="3"/>
  <c r="X101" i="3"/>
  <c r="X4" i="3"/>
  <c r="X179" i="3"/>
  <c r="X152" i="3"/>
  <c r="X292" i="3"/>
  <c r="X315" i="3"/>
  <c r="X302" i="3"/>
  <c r="X288" i="3"/>
  <c r="X272" i="3"/>
  <c r="X320" i="3"/>
  <c r="X269" i="3"/>
  <c r="X256" i="3"/>
  <c r="X240" i="3"/>
  <c r="X198" i="3"/>
  <c r="X345" i="3"/>
  <c r="X298" i="3"/>
  <c r="X127" i="3"/>
  <c r="X77" i="3"/>
  <c r="X307" i="3"/>
  <c r="X261" i="3"/>
  <c r="X319" i="3"/>
  <c r="X308" i="3"/>
  <c r="X286" i="3"/>
  <c r="X175" i="3"/>
  <c r="X68" i="3"/>
  <c r="X37" i="3"/>
  <c r="X25" i="3"/>
  <c r="X18" i="3"/>
  <c r="X13" i="3"/>
  <c r="X116" i="3"/>
  <c r="X66" i="3"/>
  <c r="X263" i="3"/>
  <c r="X128" i="3"/>
  <c r="X67" i="3"/>
  <c r="X28" i="3"/>
  <c r="X328" i="3"/>
  <c r="X276" i="3"/>
  <c r="X213" i="3"/>
  <c r="X204" i="3"/>
  <c r="X199" i="3"/>
  <c r="X96" i="3"/>
  <c r="X85" i="3"/>
  <c r="X44" i="3"/>
  <c r="X114" i="3"/>
  <c r="X113" i="3"/>
  <c r="X105" i="3"/>
  <c r="X94" i="3"/>
  <c r="X52" i="3"/>
  <c r="X51" i="3"/>
  <c r="X99" i="3"/>
  <c r="X323" i="3"/>
  <c r="X303" i="3"/>
  <c r="X148" i="3"/>
  <c r="X140" i="3"/>
  <c r="X325" i="3"/>
  <c r="X316" i="3"/>
  <c r="X290" i="3"/>
  <c r="X280" i="3"/>
  <c r="X273" i="3"/>
  <c r="X234" i="3"/>
  <c r="X233" i="3"/>
  <c r="X232" i="3"/>
  <c r="X220" i="3"/>
  <c r="X207" i="3"/>
  <c r="X205" i="3"/>
  <c r="X182" i="3"/>
  <c r="X176" i="3"/>
  <c r="X164" i="3"/>
  <c r="X163" i="3"/>
  <c r="X162" i="3"/>
  <c r="X153" i="3"/>
  <c r="X137" i="3"/>
  <c r="X120" i="3"/>
  <c r="X119" i="3"/>
  <c r="X91" i="3"/>
  <c r="X78" i="3"/>
  <c r="X42" i="3"/>
  <c r="X41" i="3"/>
  <c r="X38" i="3"/>
  <c r="X200" i="3"/>
  <c r="X168" i="3"/>
  <c r="X149" i="3"/>
  <c r="X139" i="3"/>
  <c r="X342" i="3"/>
  <c r="X335" i="3"/>
  <c r="X343" i="3"/>
  <c r="X322" i="3"/>
  <c r="X293" i="3"/>
  <c r="X264" i="3"/>
  <c r="X249" i="3"/>
  <c r="X227" i="3"/>
  <c r="X226" i="3"/>
  <c r="X218" i="3"/>
  <c r="X211" i="3"/>
  <c r="X194" i="3"/>
  <c r="X165" i="3"/>
  <c r="X129" i="3"/>
  <c r="X103" i="3"/>
  <c r="X102" i="3"/>
  <c r="X89" i="3"/>
  <c r="X86" i="3"/>
  <c r="X5" i="3"/>
  <c r="X331" i="3"/>
  <c r="X69" i="3"/>
  <c r="X296" i="3"/>
  <c r="X284" i="3"/>
  <c r="X219" i="3"/>
  <c r="X201" i="3"/>
  <c r="X161" i="3"/>
  <c r="X150" i="3"/>
  <c r="X299" i="3"/>
  <c r="X332" i="3"/>
  <c r="X317" i="3"/>
  <c r="W300" i="3"/>
  <c r="X281" i="3"/>
  <c r="X268" i="3"/>
  <c r="X267" i="3"/>
  <c r="X260" i="3"/>
  <c r="X202" i="3"/>
  <c r="X195" i="3"/>
  <c r="X190" i="3"/>
  <c r="X177" i="3"/>
  <c r="X106" i="3"/>
  <c r="X70" i="3"/>
  <c r="X36" i="3"/>
  <c r="X35" i="3"/>
  <c r="X34" i="3"/>
  <c r="X20" i="3"/>
  <c r="X295" i="3"/>
  <c r="X346" i="3"/>
  <c r="X336" i="3"/>
  <c r="X312" i="3"/>
  <c r="X274" i="3"/>
  <c r="X340" i="3"/>
  <c r="X339" i="3"/>
  <c r="X329" i="3"/>
  <c r="X306" i="3"/>
  <c r="X297" i="3"/>
  <c r="X287" i="3"/>
  <c r="X271" i="3"/>
  <c r="X265" i="3"/>
  <c r="X255" i="3"/>
  <c r="X254" i="3"/>
  <c r="X253" i="3"/>
  <c r="X250" i="3"/>
  <c r="X235" i="3"/>
  <c r="X212" i="3"/>
  <c r="X209" i="3"/>
  <c r="X196" i="3"/>
  <c r="X173" i="3"/>
  <c r="X172" i="3"/>
  <c r="X169" i="3"/>
  <c r="X141" i="3"/>
  <c r="X135" i="3"/>
  <c r="X134" i="3"/>
  <c r="X133" i="3"/>
  <c r="X130" i="3"/>
  <c r="X115" i="3"/>
  <c r="X104" i="3"/>
  <c r="X95" i="3"/>
  <c r="X84" i="3"/>
  <c r="X79" i="3"/>
  <c r="X53" i="3"/>
  <c r="X12" i="3"/>
  <c r="X11" i="3"/>
  <c r="X10" i="3"/>
  <c r="X6" i="3"/>
  <c r="X310" i="3"/>
  <c r="X337" i="3"/>
  <c r="X309" i="3"/>
  <c r="W347" i="3"/>
  <c r="X333" i="3"/>
  <c r="X326" i="3"/>
  <c r="X318" i="3"/>
  <c r="X294" i="3"/>
  <c r="X278" i="3"/>
  <c r="X277" i="3"/>
  <c r="W266" i="3"/>
  <c r="X262" i="3"/>
  <c r="X247" i="3"/>
  <c r="X246" i="3"/>
  <c r="X221" i="3"/>
  <c r="X203" i="3"/>
  <c r="X197" i="3"/>
  <c r="X184" i="3"/>
  <c r="X178" i="3"/>
  <c r="X92" i="3"/>
  <c r="X82" i="3"/>
  <c r="X76" i="3"/>
  <c r="X75" i="3"/>
  <c r="X71" i="3"/>
  <c r="X43" i="3"/>
  <c r="X21" i="3"/>
  <c r="N224" i="3"/>
  <c r="O224" i="3"/>
  <c r="V224" i="3" s="1"/>
  <c r="W218" i="3"/>
  <c r="W190" i="3"/>
  <c r="V157" i="3"/>
  <c r="W157" i="3"/>
  <c r="V80" i="3"/>
  <c r="W80" i="3"/>
  <c r="V30" i="3"/>
  <c r="W30" i="3"/>
  <c r="W340" i="3"/>
  <c r="W317" i="3"/>
  <c r="T304" i="3"/>
  <c r="Z304" i="3" s="1"/>
  <c r="W303" i="3"/>
  <c r="W297" i="3"/>
  <c r="N291" i="3"/>
  <c r="O291" i="3"/>
  <c r="V291" i="3" s="1"/>
  <c r="W275" i="3"/>
  <c r="W264" i="3"/>
  <c r="X257" i="3"/>
  <c r="W236" i="3"/>
  <c r="X229" i="3"/>
  <c r="W221" i="3"/>
  <c r="W210" i="3"/>
  <c r="W202" i="3"/>
  <c r="X160" i="3"/>
  <c r="X111" i="3"/>
  <c r="V97" i="3"/>
  <c r="W97" i="3"/>
  <c r="W37" i="3"/>
  <c r="N285" i="3"/>
  <c r="O285" i="3"/>
  <c r="V285" i="3" s="1"/>
  <c r="X241" i="3"/>
  <c r="V230" i="3"/>
  <c r="W230" i="3"/>
  <c r="V183" i="3"/>
  <c r="W183" i="3"/>
  <c r="V304" i="3"/>
  <c r="V237" i="3"/>
  <c r="W237" i="3"/>
  <c r="V45" i="3"/>
  <c r="W45" i="3"/>
  <c r="V14" i="3"/>
  <c r="W14" i="3"/>
  <c r="X324" i="3"/>
  <c r="V251" i="3"/>
  <c r="W251" i="3"/>
  <c r="W345" i="3"/>
  <c r="N314" i="3"/>
  <c r="W249" i="3"/>
  <c r="V242" i="3"/>
  <c r="W242" i="3"/>
  <c r="W227" i="3"/>
  <c r="W212" i="3"/>
  <c r="X180" i="3"/>
  <c r="W170" i="3"/>
  <c r="W166" i="3"/>
  <c r="V156" i="3"/>
  <c r="W156" i="3"/>
  <c r="X125" i="3"/>
  <c r="V29" i="3"/>
  <c r="W29" i="3"/>
  <c r="W330" i="3"/>
  <c r="W319" i="3"/>
  <c r="W316" i="3"/>
  <c r="O313" i="3"/>
  <c r="V313" i="3" s="1"/>
  <c r="W284" i="3"/>
  <c r="O270" i="3"/>
  <c r="W270" i="3" s="1"/>
  <c r="W261" i="3"/>
  <c r="W239" i="3"/>
  <c r="V223" i="3"/>
  <c r="W223" i="3"/>
  <c r="V214" i="3"/>
  <c r="W214" i="3"/>
  <c r="O186" i="3"/>
  <c r="V186" i="3" s="1"/>
  <c r="W341" i="3"/>
  <c r="W333" i="3"/>
  <c r="W318" i="3"/>
  <c r="Z305" i="3"/>
  <c r="X305" i="3" s="1"/>
  <c r="W288" i="3"/>
  <c r="W283" i="3"/>
  <c r="W281" i="3"/>
  <c r="W273" i="3"/>
  <c r="W272" i="3"/>
  <c r="W256" i="3"/>
  <c r="W250" i="3"/>
  <c r="V243" i="3"/>
  <c r="W243" i="3"/>
  <c r="W235" i="3"/>
  <c r="W213" i="3"/>
  <c r="O39" i="3"/>
  <c r="V39" i="3" s="1"/>
  <c r="W39" i="3"/>
  <c r="N39" i="3"/>
  <c r="W177" i="3"/>
  <c r="W141" i="3"/>
  <c r="W137" i="3"/>
  <c r="W136" i="3"/>
  <c r="W130" i="3"/>
  <c r="V123" i="3"/>
  <c r="W123" i="3"/>
  <c r="W116" i="3"/>
  <c r="V109" i="3"/>
  <c r="W109" i="3"/>
  <c r="W103" i="3"/>
  <c r="W93" i="3"/>
  <c r="W86" i="3"/>
  <c r="W70" i="3"/>
  <c r="V55" i="3"/>
  <c r="W55" i="3"/>
  <c r="W20" i="3"/>
  <c r="V7" i="3"/>
  <c r="W7" i="3"/>
  <c r="N208" i="3"/>
  <c r="O208" i="3"/>
  <c r="V208" i="3" s="1"/>
  <c r="W191" i="3"/>
  <c r="X167" i="3"/>
  <c r="V158" i="3"/>
  <c r="W158" i="3"/>
  <c r="V154" i="3"/>
  <c r="W154" i="3"/>
  <c r="W150" i="3"/>
  <c r="W143" i="3"/>
  <c r="N138" i="3"/>
  <c r="V131" i="3"/>
  <c r="W131" i="3"/>
  <c r="W121" i="3"/>
  <c r="V117" i="3"/>
  <c r="W117" i="3"/>
  <c r="W94" i="3"/>
  <c r="W53" i="3"/>
  <c r="W38" i="3"/>
  <c r="X143" i="3"/>
  <c r="W87" i="3"/>
  <c r="V155" i="3"/>
  <c r="W155" i="3"/>
  <c r="X151" i="3"/>
  <c r="N118" i="3"/>
  <c r="O118" i="3"/>
  <c r="E118" i="4" s="1"/>
  <c r="V22" i="3"/>
  <c r="W22" i="3"/>
  <c r="W184" i="3"/>
  <c r="W179" i="3"/>
  <c r="W152" i="3"/>
  <c r="V144" i="3"/>
  <c r="W144" i="3"/>
  <c r="W129" i="3"/>
  <c r="X122" i="3"/>
  <c r="W115" i="3"/>
  <c r="X108" i="3"/>
  <c r="O72" i="3"/>
  <c r="V72" i="3" s="1"/>
  <c r="W13" i="3"/>
  <c r="W186" i="3" l="1"/>
  <c r="X239" i="3"/>
  <c r="E313" i="4"/>
  <c r="X19" i="3"/>
  <c r="X189" i="3"/>
  <c r="X147" i="3"/>
  <c r="X58" i="3"/>
  <c r="X117" i="3"/>
  <c r="F117" i="4"/>
  <c r="X154" i="3"/>
  <c r="F154" i="4"/>
  <c r="X243" i="3"/>
  <c r="F243" i="4"/>
  <c r="X45" i="3"/>
  <c r="F45" i="4"/>
  <c r="X230" i="3"/>
  <c r="F230" i="4"/>
  <c r="X224" i="3"/>
  <c r="F224" i="4"/>
  <c r="X72" i="3"/>
  <c r="F72" i="4"/>
  <c r="X155" i="3"/>
  <c r="F155" i="4"/>
  <c r="X223" i="3"/>
  <c r="F223" i="4"/>
  <c r="W224" i="3"/>
  <c r="X291" i="3"/>
  <c r="F291" i="4"/>
  <c r="X285" i="3"/>
  <c r="F285" i="4"/>
  <c r="X208" i="3"/>
  <c r="F208" i="4"/>
  <c r="X242" i="3"/>
  <c r="F242" i="4"/>
  <c r="X157" i="3"/>
  <c r="F157" i="4"/>
  <c r="X313" i="3"/>
  <c r="F313" i="4"/>
  <c r="X156" i="3"/>
  <c r="F156" i="4"/>
  <c r="X14" i="3"/>
  <c r="F14" i="4"/>
  <c r="X183" i="3"/>
  <c r="F183" i="4"/>
  <c r="X97" i="3"/>
  <c r="F97" i="4"/>
  <c r="X144" i="3"/>
  <c r="F144" i="4"/>
  <c r="X214" i="3"/>
  <c r="F214" i="4"/>
  <c r="E224" i="4"/>
  <c r="E285" i="4"/>
  <c r="E72" i="4"/>
  <c r="X259" i="3"/>
  <c r="F259" i="4"/>
  <c r="X7" i="3"/>
  <c r="F7" i="4"/>
  <c r="X109" i="3"/>
  <c r="F109" i="4"/>
  <c r="X30" i="3"/>
  <c r="F30" i="4"/>
  <c r="X158" i="3"/>
  <c r="F158" i="4"/>
  <c r="E291" i="4"/>
  <c r="X27" i="3"/>
  <c r="F27" i="4"/>
  <c r="X131" i="3"/>
  <c r="F131" i="4"/>
  <c r="X55" i="3"/>
  <c r="F55" i="4"/>
  <c r="X29" i="3"/>
  <c r="F29" i="4"/>
  <c r="X251" i="3"/>
  <c r="F251" i="4"/>
  <c r="X237" i="3"/>
  <c r="F237" i="4"/>
  <c r="X80" i="3"/>
  <c r="F80" i="4"/>
  <c r="X174" i="3"/>
  <c r="X22" i="3"/>
  <c r="F22" i="4"/>
  <c r="X123" i="3"/>
  <c r="F123" i="4"/>
  <c r="X39" i="3"/>
  <c r="F39" i="4"/>
  <c r="X186" i="3"/>
  <c r="F186" i="4"/>
  <c r="V270" i="3"/>
  <c r="E270" i="4"/>
  <c r="F304" i="4"/>
  <c r="X311" i="3"/>
  <c r="E208" i="4"/>
  <c r="F305" i="4"/>
  <c r="E39" i="4"/>
  <c r="W72" i="3"/>
  <c r="X304" i="3"/>
  <c r="W313" i="3"/>
  <c r="W291" i="3"/>
  <c r="W118" i="3"/>
  <c r="V118" i="3"/>
  <c r="W285" i="3"/>
  <c r="W208" i="3"/>
  <c r="X118" i="3" l="1"/>
  <c r="F118" i="4"/>
  <c r="X270" i="3"/>
  <c r="F270" i="4"/>
</calcChain>
</file>

<file path=xl/sharedStrings.xml><?xml version="1.0" encoding="utf-8"?>
<sst xmlns="http://schemas.openxmlformats.org/spreadsheetml/2006/main" count="2970" uniqueCount="519">
  <si>
    <t>Kи</t>
  </si>
  <si>
    <t>cos</t>
  </si>
  <si>
    <t>Длина</t>
  </si>
  <si>
    <t>Марка кабеля</t>
  </si>
  <si>
    <t>Pуст, кВт</t>
  </si>
  <si>
    <t>Iр, А</t>
  </si>
  <si>
    <t>Потери</t>
  </si>
  <si>
    <t>КГ</t>
  </si>
  <si>
    <t>ТП-2884</t>
  </si>
  <si>
    <t>ПВС</t>
  </si>
  <si>
    <t>ТП-445</t>
  </si>
  <si>
    <t>Число фаз</t>
  </si>
  <si>
    <t>ШС-12-2 (ТП-3721)</t>
  </si>
  <si>
    <t>ШС-12-1 (ТП-3721)</t>
  </si>
  <si>
    <t>ШС-12 (ТП-3721)</t>
  </si>
  <si>
    <t>ШС-7-2 (ТП-3721)</t>
  </si>
  <si>
    <t>ШС-7-1 (ТП-3721)</t>
  </si>
  <si>
    <t>ШС-7 (ТП-3721)</t>
  </si>
  <si>
    <t>ШС-3-1 (ТП-3721)</t>
  </si>
  <si>
    <t>ВРУ-0.4 (ТП-3721)</t>
  </si>
  <si>
    <t>ШС-12-2 (ТП-2884)</t>
  </si>
  <si>
    <t>ШС-12-1 (ТП-2884)</t>
  </si>
  <si>
    <t>ШС-12 (ТП-2884)</t>
  </si>
  <si>
    <t>ШС-11 (ТП-2884)</t>
  </si>
  <si>
    <t>ШС-10-1 (ТП-2884)</t>
  </si>
  <si>
    <t>ШС-10 (ТП-2884)</t>
  </si>
  <si>
    <t>ВРУ ввод 3 (ТП-2884)</t>
  </si>
  <si>
    <t>ШС-8-2 (ТП-2884)</t>
  </si>
  <si>
    <t>ШС-8-1 (ТП-2884)</t>
  </si>
  <si>
    <t>ШС-6-2 (ТП-2884)</t>
  </si>
  <si>
    <t>ШС-6-1 (ТП-2884)</t>
  </si>
  <si>
    <t>ШС-6-3 (ТП-2884)</t>
  </si>
  <si>
    <t>ШС-6 (ТП-2884)</t>
  </si>
  <si>
    <t>ВРУ ввод 2 (ТП-2884)</t>
  </si>
  <si>
    <t>ШС-2-1 (ТП-2884)</t>
  </si>
  <si>
    <t>ШС-2 (ТП-2884)</t>
  </si>
  <si>
    <t>ШС-1-2Б (ТП-2884)</t>
  </si>
  <si>
    <t>ШС-1-2А (ТП-2884)</t>
  </si>
  <si>
    <t>ШС-1-2 (ТП-2884)</t>
  </si>
  <si>
    <t>ШС-1-1А (ТП-2884)</t>
  </si>
  <si>
    <t>ШС-1-1 (ТП-2884)</t>
  </si>
  <si>
    <t>ВРУ ввод 1 (ТП-2884)</t>
  </si>
  <si>
    <t>ШС-4-5 (ТП-445)</t>
  </si>
  <si>
    <t>ШС-4-4 (ТП-445)</t>
  </si>
  <si>
    <t>ШС-4-3 (ТП-445)</t>
  </si>
  <si>
    <t>ШС-4-2Б (ТП-445)</t>
  </si>
  <si>
    <t>ШС-4-2А (ТП-445)</t>
  </si>
  <si>
    <t>ШС-4-2 (ТП-445)</t>
  </si>
  <si>
    <t>ШС-4-1 (ТП-445)</t>
  </si>
  <si>
    <t>ШР-2 (ТП-445)</t>
  </si>
  <si>
    <t>ШС-2-3 (ТП-445)</t>
  </si>
  <si>
    <t>ШС-2-2 (ТП-445)</t>
  </si>
  <si>
    <t>ШС-2-1А (ТП-445)</t>
  </si>
  <si>
    <t>ШС-2-1 (ТП-445)</t>
  </si>
  <si>
    <t>ШВ-2 (ТП-445)</t>
  </si>
  <si>
    <t>ШС-3-2 (ТП-445)</t>
  </si>
  <si>
    <t>ШР-1 (ТП-445)</t>
  </si>
  <si>
    <t>ШС-1-2 (ТП-445)</t>
  </si>
  <si>
    <t>ШВ-1 (ТП-445)</t>
  </si>
  <si>
    <t>Код оборудования</t>
  </si>
  <si>
    <t>Код щитка</t>
  </si>
  <si>
    <t>Наименование</t>
  </si>
  <si>
    <t>Код кабеля</t>
  </si>
  <si>
    <t>ВВГнг(A)-LS</t>
  </si>
  <si>
    <t>Номер АВ</t>
  </si>
  <si>
    <t>Номинал АВ</t>
  </si>
  <si>
    <t>Варочный котел</t>
  </si>
  <si>
    <t>Сковорода</t>
  </si>
  <si>
    <t>Волчок</t>
  </si>
  <si>
    <t>Овощерезка</t>
  </si>
  <si>
    <t>Фасовочный аппарат</t>
  </si>
  <si>
    <t>Автоматическая дверь</t>
  </si>
  <si>
    <t>Розетки</t>
  </si>
  <si>
    <t>Освещение</t>
  </si>
  <si>
    <t>Куттер</t>
  </si>
  <si>
    <t>Электроснабжение</t>
  </si>
  <si>
    <t>Упаковочная машина</t>
  </si>
  <si>
    <t xml:space="preserve"> Multivac R275</t>
  </si>
  <si>
    <t xml:space="preserve"> Multivac R570</t>
  </si>
  <si>
    <t xml:space="preserve"> Multivac R530</t>
  </si>
  <si>
    <t>Variovac Optimus</t>
  </si>
  <si>
    <t>Слайсер</t>
  </si>
  <si>
    <t>Weber CCS 402</t>
  </si>
  <si>
    <t>Weber CCS 402 UB</t>
  </si>
  <si>
    <t>GEA Bock HGX8\2470-4S</t>
  </si>
  <si>
    <t>Модель</t>
  </si>
  <si>
    <t>BIZERBA A550</t>
  </si>
  <si>
    <t>Maurer-Atmos FKF 3000</t>
  </si>
  <si>
    <t>СЭЧ-0,45Н</t>
  </si>
  <si>
    <t>ЩФМЗ-ФВ-120</t>
  </si>
  <si>
    <t>Bitzer 2EC-3.2Y-40S</t>
  </si>
  <si>
    <t>KRONEN KUJ</t>
  </si>
  <si>
    <t>ТФ1-Пастпак</t>
  </si>
  <si>
    <t>DPX45</t>
  </si>
  <si>
    <t>Компрессор</t>
  </si>
  <si>
    <t>Паштетный цех</t>
  </si>
  <si>
    <t>Отделение сервировочной нарезки</t>
  </si>
  <si>
    <t>Воздухоохладитель</t>
  </si>
  <si>
    <t>Камера интенсивного охлаждения</t>
  </si>
  <si>
    <t>Bitzer 4GE-30Y-40P</t>
  </si>
  <si>
    <t>Bitzer 4NES-20Y-40P</t>
  </si>
  <si>
    <t>Камера доохлаждения</t>
  </si>
  <si>
    <t>Палкомойка (насос)</t>
  </si>
  <si>
    <t>Резерв операт. СГП</t>
  </si>
  <si>
    <t>Контейнер-рефрижератор</t>
  </si>
  <si>
    <t>Carrier 69NT40-511-323</t>
  </si>
  <si>
    <t>Участок упаковки (лягушки)</t>
  </si>
  <si>
    <t>СГП отгрузка</t>
  </si>
  <si>
    <t>Bitzer 6HE-28Y-40P</t>
  </si>
  <si>
    <t>Bitzer 4HE-18Y-40P</t>
  </si>
  <si>
    <t>Отделение обвалки</t>
  </si>
  <si>
    <t>Bitzer 4GE-23Y-40P</t>
  </si>
  <si>
    <t>Термическое отделение</t>
  </si>
  <si>
    <t>Компрессорная</t>
  </si>
  <si>
    <t>PEK-MONT KWP-4etz</t>
  </si>
  <si>
    <t>PEK-MONT KPPO-1e</t>
  </si>
  <si>
    <t>Координата ПАР-150</t>
  </si>
  <si>
    <t>Буфер упакованной продукции</t>
  </si>
  <si>
    <t>Участок упаковки (этикеровка)</t>
  </si>
  <si>
    <t>Bitzer 6JE-33Y-40P</t>
  </si>
  <si>
    <t>Отделение посола деликатесов</t>
  </si>
  <si>
    <t>ШС-12Б</t>
  </si>
  <si>
    <t>Мойка ящиков</t>
  </si>
  <si>
    <t>Лифт</t>
  </si>
  <si>
    <t>Санпропускник</t>
  </si>
  <si>
    <t>ШС-12А</t>
  </si>
  <si>
    <t>Термоусадка</t>
  </si>
  <si>
    <t>Участок упаковки</t>
  </si>
  <si>
    <t>UNITY MY-200</t>
  </si>
  <si>
    <t>Термотанк</t>
  </si>
  <si>
    <t>HENKELMAN DT-60</t>
  </si>
  <si>
    <t>Машина для мойки ящиков</t>
  </si>
  <si>
    <t>Буфер неупакованной продукции</t>
  </si>
  <si>
    <t>Bitzer 4TC-12.2Y-40P</t>
  </si>
  <si>
    <t>VEMAG AEROMAT</t>
  </si>
  <si>
    <t>Холодильник -10С буфера неупакованной продукции</t>
  </si>
  <si>
    <t>ШС-11-1 (ТП-2884)</t>
  </si>
  <si>
    <t>Вентиляция специй</t>
  </si>
  <si>
    <t>Пресс гофра</t>
  </si>
  <si>
    <t>Шприц</t>
  </si>
  <si>
    <t>Клипсатор</t>
  </si>
  <si>
    <t>Машинно-шприцовочное отделение</t>
  </si>
  <si>
    <t>Сосисочный аппарат</t>
  </si>
  <si>
    <t>Бумеранг мини</t>
  </si>
  <si>
    <t>Poli Clip FCA 3462</t>
  </si>
  <si>
    <t>HANDTMANN VF 612</t>
  </si>
  <si>
    <t>HANDTMANN VF 628</t>
  </si>
  <si>
    <t>HANDTMANN VF 622</t>
  </si>
  <si>
    <t>VEMAG Robot HP15C</t>
  </si>
  <si>
    <t>Poli Clip FCA 3463</t>
  </si>
  <si>
    <t>Участок упаковок (лягушки)</t>
  </si>
  <si>
    <t>ШС Термоусадка</t>
  </si>
  <si>
    <t>Воздушный компрессор</t>
  </si>
  <si>
    <t>Розетки охрана</t>
  </si>
  <si>
    <t>Ворота подъемника</t>
  </si>
  <si>
    <t>Тепловая завеса</t>
  </si>
  <si>
    <t>Склад готовой продукции (отгрузка)</t>
  </si>
  <si>
    <t>Новый офис</t>
  </si>
  <si>
    <t>Обогрев канализации</t>
  </si>
  <si>
    <t>Вентиляция дымогенератора</t>
  </si>
  <si>
    <t>Вентиляция в душе</t>
  </si>
  <si>
    <t>Alpina SWV 550S</t>
  </si>
  <si>
    <t>Пандус</t>
  </si>
  <si>
    <t>Потенциал ПЭЭ-150</t>
  </si>
  <si>
    <t>Сырьевое отделение</t>
  </si>
  <si>
    <t>Kramer+Grebe АМ 200</t>
  </si>
  <si>
    <t>Склад готовой продукции</t>
  </si>
  <si>
    <t>Bitzer 4P-10.2Y-40P</t>
  </si>
  <si>
    <t>Bitzer 6G-30.2Y-40P</t>
  </si>
  <si>
    <t>Вентиляция термического отделения</t>
  </si>
  <si>
    <t>Вытяжка дымогенератора</t>
  </si>
  <si>
    <t>Камера осадки</t>
  </si>
  <si>
    <t>Bitzer 4TCS-12.2Y-40P</t>
  </si>
  <si>
    <t>Bitzer 4EC-6.2Y-40S</t>
  </si>
  <si>
    <t>Дымогенераторная</t>
  </si>
  <si>
    <t>Наружное освещение</t>
  </si>
  <si>
    <t>Приточная вентиляция</t>
  </si>
  <si>
    <t>4G-30.2Y-40P</t>
  </si>
  <si>
    <t>Термоформер</t>
  </si>
  <si>
    <t>ILAPAK DELTA 500</t>
  </si>
  <si>
    <t>REPAK RE 20</t>
  </si>
  <si>
    <t>MULTIVAC R 105</t>
  </si>
  <si>
    <t>WEBOMATIC ML-C 5600</t>
  </si>
  <si>
    <t>Участок упаковки (Термоформеры новые)</t>
  </si>
  <si>
    <t>Участок упаковки (Термоформеры)</t>
  </si>
  <si>
    <t>Bitzer 4JE-22Y-40P</t>
  </si>
  <si>
    <t>Reich AIRMASTER</t>
  </si>
  <si>
    <t>Кондиционеры</t>
  </si>
  <si>
    <t>NOWICKI МА-1000PS</t>
  </si>
  <si>
    <t>ПРИС ПМ-ФМВ-1000</t>
  </si>
  <si>
    <t>ПРИС Прис-500</t>
  </si>
  <si>
    <t>Стерилизатор ножей</t>
  </si>
  <si>
    <t>Подъемник шприца</t>
  </si>
  <si>
    <t>Инъектор</t>
  </si>
  <si>
    <t>Inject Star Magnum-2600</t>
  </si>
  <si>
    <t>GAROS GSI 620</t>
  </si>
  <si>
    <t>Мешалка</t>
  </si>
  <si>
    <t>Шкуродерка</t>
  </si>
  <si>
    <t>Пила</t>
  </si>
  <si>
    <t>Тендерайзер</t>
  </si>
  <si>
    <t>UNITY FML-1000V</t>
  </si>
  <si>
    <t>Maja Skinny 11</t>
  </si>
  <si>
    <t>KOLBE К 330</t>
  </si>
  <si>
    <t>HENKOVAC Е-403</t>
  </si>
  <si>
    <t>Meat Master МРМ-41</t>
  </si>
  <si>
    <t>Холодильник -2С моноблочный</t>
  </si>
  <si>
    <t>CRIODOR</t>
  </si>
  <si>
    <t>POLAIR MM 111 SF</t>
  </si>
  <si>
    <t>Сушилка для обуви</t>
  </si>
  <si>
    <t>Холодильники -2С</t>
  </si>
  <si>
    <t>Блокорезка</t>
  </si>
  <si>
    <t>Насос мойки ящиков</t>
  </si>
  <si>
    <t>MAGURIT</t>
  </si>
  <si>
    <t>Льдогенератор</t>
  </si>
  <si>
    <t>Холодильник -18С</t>
  </si>
  <si>
    <t>Тепловой узел</t>
  </si>
  <si>
    <t>Камера хранения оболочки</t>
  </si>
  <si>
    <t>Малая камера -18С</t>
  </si>
  <si>
    <t>Bitzer 6F-40.2Y-40P</t>
  </si>
  <si>
    <t>Отделение посола шпика (шашлычная)</t>
  </si>
  <si>
    <t>ШС Мясная лавка</t>
  </si>
  <si>
    <t>ШС Охрана</t>
  </si>
  <si>
    <t>Прожекторы</t>
  </si>
  <si>
    <t>Bitzer 6HE-35Y-40P</t>
  </si>
  <si>
    <t>Bitzer 4CES-6Y-40S</t>
  </si>
  <si>
    <t>Bitzer 4CES-9Y-40S</t>
  </si>
  <si>
    <t>Осушитель воздуха</t>
  </si>
  <si>
    <t>Вентилятор</t>
  </si>
  <si>
    <t>Теплоскат</t>
  </si>
  <si>
    <t>Газовая станция</t>
  </si>
  <si>
    <t>BOGE CLF 9</t>
  </si>
  <si>
    <t>INGRO XLMTD15A</t>
  </si>
  <si>
    <t>REMEZA BK20A</t>
  </si>
  <si>
    <t>Spitzenreiter SXP-40</t>
  </si>
  <si>
    <t>ШС-2-1Б</t>
  </si>
  <si>
    <t>Теплоскаты</t>
  </si>
  <si>
    <t>Очистка воды 2 этаж</t>
  </si>
  <si>
    <t>Очистка воды 1 этаж</t>
  </si>
  <si>
    <t>Мясная лавка</t>
  </si>
  <si>
    <t>Дефростор</t>
  </si>
  <si>
    <t>Столовая</t>
  </si>
  <si>
    <t>TECOM CS 140 D</t>
  </si>
  <si>
    <t>Заточной станок</t>
  </si>
  <si>
    <t>Сверлильный станок</t>
  </si>
  <si>
    <t>Слесарка</t>
  </si>
  <si>
    <t>ШР ТЦ (ТП-445)</t>
  </si>
  <si>
    <t>ШС ТЦ 1 этаж</t>
  </si>
  <si>
    <t>ШС Вентиляция ТЦ 2 этаж</t>
  </si>
  <si>
    <t>ШС Кафе</t>
  </si>
  <si>
    <t>ШС ТЦ 2 этаж</t>
  </si>
  <si>
    <t>Торговый центр 1 этаж</t>
  </si>
  <si>
    <t>Торговый центр 2 этаж</t>
  </si>
  <si>
    <t>Вентиляция торгового цента 2 этаж</t>
  </si>
  <si>
    <t>Кафе</t>
  </si>
  <si>
    <t>ШС Дикси</t>
  </si>
  <si>
    <t>Магазин Дикси</t>
  </si>
  <si>
    <t>Питание ТЦ</t>
  </si>
  <si>
    <t>ШС Серверная</t>
  </si>
  <si>
    <t>Серверная</t>
  </si>
  <si>
    <t>id</t>
  </si>
  <si>
    <t>ЩО склада</t>
  </si>
  <si>
    <t>Склад вспомогательного оборудования</t>
  </si>
  <si>
    <t>Склады</t>
  </si>
  <si>
    <t>Шкаф силовой</t>
  </si>
  <si>
    <t>ВРУ</t>
  </si>
  <si>
    <t>Шкаф распределительный</t>
  </si>
  <si>
    <t>Вытяжка</t>
  </si>
  <si>
    <t>Кипятильник</t>
  </si>
  <si>
    <t>Касса</t>
  </si>
  <si>
    <t>Плита (резерв)</t>
  </si>
  <si>
    <t>ШС Гардеробные</t>
  </si>
  <si>
    <t>Гардеробные</t>
  </si>
  <si>
    <t>Производственный отдел</t>
  </si>
  <si>
    <t>Отдел кадров</t>
  </si>
  <si>
    <t>Технический отдел</t>
  </si>
  <si>
    <t>Коммерческий отдел</t>
  </si>
  <si>
    <t>Кабинет директора</t>
  </si>
  <si>
    <t>Коридор</t>
  </si>
  <si>
    <t>Старый офис</t>
  </si>
  <si>
    <t>Холодильная камера - воздухоохладитель</t>
  </si>
  <si>
    <t>ХК01</t>
  </si>
  <si>
    <t>ХК02</t>
  </si>
  <si>
    <t>ХК07</t>
  </si>
  <si>
    <t>ХК09</t>
  </si>
  <si>
    <t>ХК03</t>
  </si>
  <si>
    <t>ХК04</t>
  </si>
  <si>
    <t>ХК05</t>
  </si>
  <si>
    <t>ХК06</t>
  </si>
  <si>
    <t>ХК08</t>
  </si>
  <si>
    <t>ХК10</t>
  </si>
  <si>
    <t>ХК11</t>
  </si>
  <si>
    <t>ХК12</t>
  </si>
  <si>
    <t>ХК13</t>
  </si>
  <si>
    <t>ХК14</t>
  </si>
  <si>
    <t>ХК15</t>
  </si>
  <si>
    <t>ХК16</t>
  </si>
  <si>
    <t>ХК17</t>
  </si>
  <si>
    <t>ХК18</t>
  </si>
  <si>
    <t>ХК19</t>
  </si>
  <si>
    <t>ХК20</t>
  </si>
  <si>
    <t>ХК21</t>
  </si>
  <si>
    <t>ХК22</t>
  </si>
  <si>
    <t>ХК23</t>
  </si>
  <si>
    <t>ХК24</t>
  </si>
  <si>
    <t>ХК25</t>
  </si>
  <si>
    <t>ХК26</t>
  </si>
  <si>
    <t>ХК27</t>
  </si>
  <si>
    <t>ХК28</t>
  </si>
  <si>
    <t>ХК29</t>
  </si>
  <si>
    <t>ХК30</t>
  </si>
  <si>
    <t>ХК31</t>
  </si>
  <si>
    <t>ХК32</t>
  </si>
  <si>
    <t>ВХ01</t>
  </si>
  <si>
    <t>ВХ02</t>
  </si>
  <si>
    <t>ВХ04</t>
  </si>
  <si>
    <t>ВХ05</t>
  </si>
  <si>
    <t>ВХ03</t>
  </si>
  <si>
    <t>ВХ08</t>
  </si>
  <si>
    <t>ВХ06</t>
  </si>
  <si>
    <t>ВХ07</t>
  </si>
  <si>
    <t>ВХ09</t>
  </si>
  <si>
    <t>ВХ10</t>
  </si>
  <si>
    <t>ВХ13</t>
  </si>
  <si>
    <t>ВХ14</t>
  </si>
  <si>
    <t>ВХ15</t>
  </si>
  <si>
    <t>ВХ16</t>
  </si>
  <si>
    <t>ТК01</t>
  </si>
  <si>
    <t>ТК10</t>
  </si>
  <si>
    <t>ТК11</t>
  </si>
  <si>
    <t>ТК02</t>
  </si>
  <si>
    <t>ТК03</t>
  </si>
  <si>
    <t>ТК04</t>
  </si>
  <si>
    <t>ТК05</t>
  </si>
  <si>
    <t>ТК06</t>
  </si>
  <si>
    <t>ТК07</t>
  </si>
  <si>
    <t>ТК08</t>
  </si>
  <si>
    <t>ТК09</t>
  </si>
  <si>
    <t>ТФ01</t>
  </si>
  <si>
    <t>ТФ02</t>
  </si>
  <si>
    <t>ТФ03</t>
  </si>
  <si>
    <t>ТФ04</t>
  </si>
  <si>
    <t>УП01</t>
  </si>
  <si>
    <t>УП02</t>
  </si>
  <si>
    <t>УП03</t>
  </si>
  <si>
    <t>УП04</t>
  </si>
  <si>
    <t>СЛ01</t>
  </si>
  <si>
    <t>СЛ02</t>
  </si>
  <si>
    <t>СЛ03</t>
  </si>
  <si>
    <t>СЛ04</t>
  </si>
  <si>
    <t>КТ01</t>
  </si>
  <si>
    <t>КТ02</t>
  </si>
  <si>
    <t>КТ03</t>
  </si>
  <si>
    <t>КР01</t>
  </si>
  <si>
    <t>КР02</t>
  </si>
  <si>
    <t>КР03</t>
  </si>
  <si>
    <t>КР04</t>
  </si>
  <si>
    <t>ШП01</t>
  </si>
  <si>
    <t>ШП02</t>
  </si>
  <si>
    <t>ШП03</t>
  </si>
  <si>
    <t>ШП04</t>
  </si>
  <si>
    <t>ШП05</t>
  </si>
  <si>
    <t>ВК01</t>
  </si>
  <si>
    <t>СК01</t>
  </si>
  <si>
    <t>СК02</t>
  </si>
  <si>
    <t>ПГ01</t>
  </si>
  <si>
    <t>ПГ02</t>
  </si>
  <si>
    <t>ВРК01</t>
  </si>
  <si>
    <t>ВК02</t>
  </si>
  <si>
    <t>ВК03</t>
  </si>
  <si>
    <t>ВК04</t>
  </si>
  <si>
    <t>ВЛЧ01</t>
  </si>
  <si>
    <t>КЛП01</t>
  </si>
  <si>
    <t>КЛП02</t>
  </si>
  <si>
    <t>КЛП03</t>
  </si>
  <si>
    <t>ЛГШ05</t>
  </si>
  <si>
    <t>ВЛЧ02</t>
  </si>
  <si>
    <t>МСЖ03</t>
  </si>
  <si>
    <t>МСЖ04</t>
  </si>
  <si>
    <t>МСЖ05</t>
  </si>
  <si>
    <t>МСЖ06</t>
  </si>
  <si>
    <t>МСЖ07</t>
  </si>
  <si>
    <t>ИН01</t>
  </si>
  <si>
    <t>ХЛМ01</t>
  </si>
  <si>
    <t>ХЛМ02</t>
  </si>
  <si>
    <t>ГЗС01</t>
  </si>
  <si>
    <t>МШ01</t>
  </si>
  <si>
    <t>ШД01</t>
  </si>
  <si>
    <t>ПЛ01</t>
  </si>
  <si>
    <t>ТНД01</t>
  </si>
  <si>
    <t>БЛР01</t>
  </si>
  <si>
    <t>ОВР01</t>
  </si>
  <si>
    <t>ФА01</t>
  </si>
  <si>
    <t>ОСШ01</t>
  </si>
  <si>
    <t>Территория</t>
  </si>
  <si>
    <t>МН01</t>
  </si>
  <si>
    <t>МН02</t>
  </si>
  <si>
    <t>ССА01</t>
  </si>
  <si>
    <t>ЛГШ01, ЛГШ02</t>
  </si>
  <si>
    <t>ЛГШ03, ЛГШ04</t>
  </si>
  <si>
    <t>ЛГШ05, ЛГШ06</t>
  </si>
  <si>
    <t>ЛГШ07, ЛГШ08</t>
  </si>
  <si>
    <t>МСЖ01, МСЖ02</t>
  </si>
  <si>
    <t>ЛГ01 - ВХ11</t>
  </si>
  <si>
    <t>ЛГ02 - ВХ12</t>
  </si>
  <si>
    <t>Парогенераторная</t>
  </si>
  <si>
    <t>Массажер</t>
  </si>
  <si>
    <t>Парогенератор</t>
  </si>
  <si>
    <t>Термокамера</t>
  </si>
  <si>
    <t>Вакумный упаковщик</t>
  </si>
  <si>
    <t>Льдогенератор большой</t>
  </si>
  <si>
    <t>Льдогенератор малый</t>
  </si>
  <si>
    <t>Помещение/Назначение</t>
  </si>
  <si>
    <t>Надпись кабеля 1</t>
  </si>
  <si>
    <t>Надпись кабеля 2</t>
  </si>
  <si>
    <t>ШС-12-2</t>
  </si>
  <si>
    <t>ШС-12-1</t>
  </si>
  <si>
    <t>ШС-12</t>
  </si>
  <si>
    <t>ШС-7-2</t>
  </si>
  <si>
    <t>ШС-7-1</t>
  </si>
  <si>
    <t>ШС-7</t>
  </si>
  <si>
    <t>ШС-3-1</t>
  </si>
  <si>
    <t>ШС-11</t>
  </si>
  <si>
    <t>ШС-11-1</t>
  </si>
  <si>
    <t>ШС-10-1</t>
  </si>
  <si>
    <t>ШС-10</t>
  </si>
  <si>
    <t>ШС-8-2</t>
  </si>
  <si>
    <t>ШС-8-1</t>
  </si>
  <si>
    <t>ШС-6-2</t>
  </si>
  <si>
    <t>ШС-6-1</t>
  </si>
  <si>
    <t>ШС-6-3</t>
  </si>
  <si>
    <t>ШС-6</t>
  </si>
  <si>
    <t>ШС-2-1</t>
  </si>
  <si>
    <t>ШС-2</t>
  </si>
  <si>
    <t>ШС-1-2Б</t>
  </si>
  <si>
    <t>ШС-1-2А</t>
  </si>
  <si>
    <t>ШС-1-2</t>
  </si>
  <si>
    <t>ШС-1-1А</t>
  </si>
  <si>
    <t>ШС-1-1</t>
  </si>
  <si>
    <t>ВРУ ввод 1</t>
  </si>
  <si>
    <t>ШС-4-5</t>
  </si>
  <si>
    <t>ШС-4-4</t>
  </si>
  <si>
    <t>ШС-4-3</t>
  </si>
  <si>
    <t>ШС-4-2Б</t>
  </si>
  <si>
    <t>ШС-4-2А</t>
  </si>
  <si>
    <t>ШС-4-2</t>
  </si>
  <si>
    <t>ШС-4-1</t>
  </si>
  <si>
    <t>ШР-2</t>
  </si>
  <si>
    <t>ШС-2-3</t>
  </si>
  <si>
    <t>ШС-2-2</t>
  </si>
  <si>
    <t>ШС-2-1А</t>
  </si>
  <si>
    <t>ШВ-2</t>
  </si>
  <si>
    <t>ШС-3-2</t>
  </si>
  <si>
    <t>ШР-1</t>
  </si>
  <si>
    <t>ШР ТЦ</t>
  </si>
  <si>
    <t>ШВ-1</t>
  </si>
  <si>
    <t>Коды щитков</t>
  </si>
  <si>
    <t>Pр</t>
  </si>
  <si>
    <t>Холодильная камера -20С</t>
  </si>
  <si>
    <t>Розетки АХО
Сушилки для обуви</t>
  </si>
  <si>
    <t>Свет АХО
Сушилки для обуви</t>
  </si>
  <si>
    <t>УЗО розетки</t>
  </si>
  <si>
    <t>Раздевалка женская</t>
  </si>
  <si>
    <t>Упаковка коридор свет</t>
  </si>
  <si>
    <t>Раздевалка мужская</t>
  </si>
  <si>
    <t>Лифт свет верхний</t>
  </si>
  <si>
    <t>Приточка раздевалки</t>
  </si>
  <si>
    <t>Служебный коридор</t>
  </si>
  <si>
    <t>Лестница Аптека Мебель</t>
  </si>
  <si>
    <t>Ключ Терминал</t>
  </si>
  <si>
    <t>Кондитерская МТС Ювелир</t>
  </si>
  <si>
    <t>Банк</t>
  </si>
  <si>
    <t>Молочка Салон</t>
  </si>
  <si>
    <t>Бахрушин</t>
  </si>
  <si>
    <t>Буфер неупакованной продукции - холодильника -10С</t>
  </si>
  <si>
    <t>Сырьевое отделение - нулевая камера</t>
  </si>
  <si>
    <t>Вентиляция</t>
  </si>
  <si>
    <t>Офис</t>
  </si>
  <si>
    <t>Ворота DoorHAN</t>
  </si>
  <si>
    <t>Туалет</t>
  </si>
  <si>
    <t>Комната мастера</t>
  </si>
  <si>
    <t>Компрессор Буфера неупакованной продукции</t>
  </si>
  <si>
    <t>Компрессор Термоформеры</t>
  </si>
  <si>
    <t>Склад готовой продукции (новая отгрузка)</t>
  </si>
  <si>
    <t>Шприцы</t>
  </si>
  <si>
    <t>Холодильники -10С</t>
  </si>
  <si>
    <t>Упаковка Нарезка</t>
  </si>
  <si>
    <t>Чековка</t>
  </si>
  <si>
    <t>Буфер за чековкой</t>
  </si>
  <si>
    <t>Улица</t>
  </si>
  <si>
    <t>Обвалка</t>
  </si>
  <si>
    <t>ВРУ-В1</t>
  </si>
  <si>
    <t>ВРУ-В2</t>
  </si>
  <si>
    <t>ВРУ-В3</t>
  </si>
  <si>
    <t>ВВГ</t>
  </si>
  <si>
    <t>ТП-3721</t>
  </si>
  <si>
    <t>Сечение фазного</t>
  </si>
  <si>
    <t>Количество жил</t>
  </si>
  <si>
    <t>Сечение нулевого</t>
  </si>
  <si>
    <t>Резерв</t>
  </si>
  <si>
    <t>Полная марка кабеля</t>
  </si>
  <si>
    <t>АВБШв</t>
  </si>
  <si>
    <t>Марка АВ</t>
  </si>
  <si>
    <t>Контейнеры</t>
  </si>
  <si>
    <t>Камеры доохлаждения и интенсивного охлаждения</t>
  </si>
  <si>
    <t>ШВГ</t>
  </si>
  <si>
    <t>Шкаф генераторный</t>
  </si>
  <si>
    <t>Коридор Лестница</t>
  </si>
  <si>
    <t>Холод на новые помещения СГП и Упаковка</t>
  </si>
  <si>
    <t>ШС Пресс гофра</t>
  </si>
  <si>
    <t>Охрана</t>
  </si>
  <si>
    <t>Плита</t>
  </si>
  <si>
    <t>ЩМП-2-0 У2 IP54 IEK</t>
  </si>
  <si>
    <t>ЩМП-2-0 У1 IP65 IEK</t>
  </si>
  <si>
    <t>ЩМП-18.6.4-0 36 УХЛ3 IP31 IEK</t>
  </si>
  <si>
    <t>ЩРН-Пк-36</t>
  </si>
  <si>
    <t>ЩМП-7-2 У1 IP54 IEK</t>
  </si>
  <si>
    <t>ДГУ-1</t>
  </si>
  <si>
    <t>ДГУ-2</t>
  </si>
  <si>
    <t>ДГУ-3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</si>
</sst>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"/>
    <numFmt numFmtId="166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3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numFmt numFmtId="164" formatCode="0.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6" formatCode="0.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00"/>
      <alignment horizontal="center" vertical="center" textRotation="0" wrapText="0" indent="0" justifyLastLine="0" shrinkToFit="0" readingOrder="0"/>
    </dxf>
    <dxf>
      <numFmt numFmtId="165" formatCode="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13" displayName="Таблица13" ref="A1:Z349" totalsRowShown="0" headerRowDxfId="27" dataDxfId="26">
  <autoFilter ref="A1:Z349" xr:uid="{00000000-0009-0000-0100-000002000000}"/>
  <tableColumns count="26">
    <tableColumn id="2" xr3:uid="{00000000-0010-0000-0000-000002000000}" name="Код щитка" dataDxfId="25"/>
    <tableColumn id="18" xr3:uid="{00000000-0010-0000-0000-000012000000}" name="id" dataDxfId="24"/>
    <tableColumn id="3" xr3:uid="{00000000-0010-0000-0000-000003000000}" name="Номер АВ" dataDxfId="23"/>
    <tableColumn id="26" xr3:uid="{8D7648A6-7427-4EB6-B83F-64A36CC96BA0}" name="Марка АВ" dataDxfId="22">
      <calculatedColumnFormula>"Acti9 iC60N C"&amp;Таблица13[[#This Row],[Номинал АВ]]</calculatedColumnFormula>
    </tableColumn>
    <tableColumn id="14" xr3:uid="{00000000-0010-0000-0000-00000E000000}" name="Номинал АВ" dataDxfId="21"/>
    <tableColumn id="13" xr3:uid="{00000000-0010-0000-0000-00000D000000}" name="Код оборудования" dataDxfId="20"/>
    <tableColumn id="15" xr3:uid="{00000000-0010-0000-0000-00000F000000}" name="Модель" dataDxfId="19"/>
    <tableColumn id="16" xr3:uid="{00000000-0010-0000-0000-000010000000}" name="Наименование" dataDxfId="18"/>
    <tableColumn id="1" xr3:uid="{00000000-0010-0000-0000-000001000000}" name="Помещение/Назначение" dataDxfId="17"/>
    <tableColumn id="4" xr3:uid="{00000000-0010-0000-0000-000004000000}" name="Pуст, кВт" dataDxfId="16"/>
    <tableColumn id="12" xr3:uid="{00000000-0010-0000-0000-00000C000000}" name="Число фаз" dataDxfId="15"/>
    <tableColumn id="5" xr3:uid="{00000000-0010-0000-0000-000005000000}" name="cos" dataDxfId="14"/>
    <tableColumn id="6" xr3:uid="{00000000-0010-0000-0000-000006000000}" name="Kи" dataDxfId="13"/>
    <tableColumn id="23" xr3:uid="{00000000-0010-0000-0000-000017000000}" name="Pр" dataDxfId="12">
      <calculatedColumnFormula>Таблица13[[#This Row],[Pуст, кВт]]*Таблица13[[#This Row],[Kи]]</calculatedColumnFormula>
    </tableColumn>
    <tableColumn id="7" xr3:uid="{00000000-0010-0000-0000-000007000000}" name="Iр, А" dataDxfId="11">
      <calculatedColumnFormula>IF(Таблица13[[#This Row],[Число фаз]]=1,J2/220/L2*M2*1000,J2/3/220/L2*M2*1000)</calculatedColumnFormula>
    </tableColumn>
    <tableColumn id="17" xr3:uid="{00000000-0010-0000-0000-000011000000}" name="Код кабеля" dataDxfId="10">
      <calculatedColumnFormula>Таблица13[[#This Row],[Коды щитков]] &amp; "/M" &amp; TEXT( Таблица13[[#This Row],[Номер АВ]], "00")</calculatedColumnFormula>
    </tableColumn>
    <tableColumn id="8" xr3:uid="{00000000-0010-0000-0000-000008000000}" name="Марка кабеля" dataDxfId="9"/>
    <tableColumn id="22" xr3:uid="{B2FFD237-FA6C-4B77-857B-8FF0A86B3C00}" name="Количество жил" dataDxfId="8"/>
    <tableColumn id="9" xr3:uid="{00000000-0010-0000-0000-000009000000}" name="Сечение фазного" dataDxfId="7"/>
    <tableColumn id="24" xr3:uid="{C6D8DE0B-63B3-48B3-B21F-2C2AC13F44F4}" name="Сечение нулевого" dataDxfId="6">
      <calculatedColumnFormula>Таблица13[[#This Row],[Сечение фазного]]</calculatedColumnFormula>
    </tableColumn>
    <tableColumn id="10" xr3:uid="{00000000-0010-0000-0000-00000A000000}" name="Длина" dataDxfId="5"/>
    <tableColumn id="11" xr3:uid="{00000000-0010-0000-0000-00000B000000}" name="Потери" dataDxfId="4">
      <calculatedColumnFormula>IF(Таблица13[[#This Row],[Число фаз]]=1,2*O2*(22.5/S2*L2+0.08*SIN(ACOS(L2)))*(U2/1000)*(100/220),SQRT(3)*O2*(22.5/S2*L2+0.08*SIN(ACOS(L2)))*(U2/1000)*(100/380))</calculatedColumnFormula>
    </tableColumn>
    <tableColumn id="19" xr3:uid="{00000000-0010-0000-0000-000013000000}" name="Надпись кабеля 1" dataDxfId="3">
      <calculatedColumnFormula>Таблица13[[#This Row],[Код кабеля]] &amp; "-" &amp; TEXT(Таблица13[[#This Row],[Pуст, кВт]],"0,0") &amp; "-" &amp; TEXT(Таблица13[[#This Row],[Iр, А]],"0,0") &amp; "-" &amp;Таблица13[[#This Row],[Длина]]</calculatedColumnFormula>
    </tableColumn>
    <tableColumn id="20" xr3:uid="{00000000-0010-0000-0000-000014000000}" name="Надпись кабеля 2" dataDxfId="2">
      <calculatedColumnFormula>TEXT(Таблица13[[#This Row],[Потери]],"0,0") &amp; "-" &amp;Таблица13[[#This Row],[Полная марка кабеля]]</calculatedColumnFormula>
    </tableColumn>
    <tableColumn id="21" xr3:uid="{00000000-0010-0000-0000-000015000000}" name="Коды щитков" dataDxfId="1"/>
    <tableColumn id="25" xr3:uid="{5EB43694-668F-4262-93F5-F74EB9317DFE}" name="Полная марка кабеля" dataDxfId="0">
      <calculatedColumnFormula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349"/>
  <sheetViews>
    <sheetView tabSelected="1" zoomScaleNormal="100" zoomScalePageLayoutView="115" workbookViewId="0">
      <selection activeCell="F15" sqref="F15"/>
    </sheetView>
  </sheetViews>
  <sheetFormatPr defaultRowHeight="15" x14ac:dyDescent="0.25"/>
  <cols>
    <col min="1" max="1" width="19.85546875" bestFit="1" customWidth="1"/>
    <col min="2" max="2" width="4.85546875" customWidth="1"/>
    <col min="3" max="3" width="7" customWidth="1"/>
    <col min="4" max="4" width="25" bestFit="1" customWidth="1"/>
    <col min="5" max="5" width="9.140625" customWidth="1"/>
    <col min="6" max="6" width="24.7109375" bestFit="1" customWidth="1"/>
    <col min="7" max="7" width="28.7109375" bestFit="1" customWidth="1"/>
    <col min="8" max="8" width="23.42578125" customWidth="1"/>
    <col min="9" max="9" width="11.7109375" customWidth="1"/>
    <col min="10" max="10" width="8.7109375" style="16" customWidth="1"/>
    <col min="11" max="11" width="5" style="1" customWidth="1"/>
    <col min="12" max="12" width="6.5703125" style="15" customWidth="1"/>
    <col min="13" max="13" width="6" style="1" customWidth="1"/>
    <col min="14" max="14" width="7.42578125" style="2" customWidth="1"/>
    <col min="15" max="15" width="6.28515625" style="14" customWidth="1"/>
    <col min="16" max="16" width="17.28515625" customWidth="1"/>
    <col min="17" max="17" width="13.42578125" customWidth="1"/>
    <col min="18" max="18" width="8.5703125" customWidth="1"/>
    <col min="19" max="20" width="7.140625" customWidth="1"/>
    <col min="21" max="22" width="7.28515625" customWidth="1"/>
    <col min="23" max="23" width="29.85546875" customWidth="1"/>
    <col min="24" max="24" width="25.28515625" customWidth="1"/>
    <col min="26" max="26" width="16.7109375" bestFit="1" customWidth="1"/>
  </cols>
  <sheetData>
    <row r="1" spans="1:26" s="24" customFormat="1" ht="45.75" customHeight="1" x14ac:dyDescent="0.2">
      <c r="A1" s="20" t="s">
        <v>60</v>
      </c>
      <c r="B1" s="20" t="s">
        <v>259</v>
      </c>
      <c r="C1" s="20" t="s">
        <v>64</v>
      </c>
      <c r="D1" s="20" t="s">
        <v>501</v>
      </c>
      <c r="E1" s="20" t="s">
        <v>65</v>
      </c>
      <c r="F1" s="20" t="s">
        <v>59</v>
      </c>
      <c r="G1" s="20" t="s">
        <v>85</v>
      </c>
      <c r="H1" s="20" t="s">
        <v>61</v>
      </c>
      <c r="I1" s="20" t="s">
        <v>411</v>
      </c>
      <c r="J1" s="21" t="s">
        <v>4</v>
      </c>
      <c r="K1" s="20" t="s">
        <v>11</v>
      </c>
      <c r="L1" s="22" t="s">
        <v>1</v>
      </c>
      <c r="M1" s="20" t="s">
        <v>0</v>
      </c>
      <c r="N1" s="23" t="s">
        <v>456</v>
      </c>
      <c r="O1" s="23" t="s">
        <v>5</v>
      </c>
      <c r="P1" s="23" t="s">
        <v>62</v>
      </c>
      <c r="Q1" s="20" t="s">
        <v>3</v>
      </c>
      <c r="R1" s="20" t="s">
        <v>496</v>
      </c>
      <c r="S1" s="20" t="s">
        <v>495</v>
      </c>
      <c r="T1" s="20" t="s">
        <v>497</v>
      </c>
      <c r="U1" s="20" t="s">
        <v>2</v>
      </c>
      <c r="V1" s="23" t="s">
        <v>6</v>
      </c>
      <c r="W1" s="20" t="s">
        <v>412</v>
      </c>
      <c r="X1" s="20" t="s">
        <v>413</v>
      </c>
      <c r="Y1" s="20" t="s">
        <v>455</v>
      </c>
      <c r="Z1" s="20" t="s">
        <v>499</v>
      </c>
    </row>
    <row r="2" spans="1:26" s="24" customFormat="1" x14ac:dyDescent="0.2">
      <c r="A2" s="1" t="s">
        <v>12</v>
      </c>
      <c r="B2" s="1">
        <v>1</v>
      </c>
      <c r="C2" s="27">
        <v>0</v>
      </c>
      <c r="D2" s="4" t="str">
        <f>"ВА57-35 "&amp; Таблица13[[#This Row],[Число фаз]] &amp; "P " &amp;Таблица13[[#This Row],[Номинал АВ]] &amp; " А"</f>
        <v>ВА57-35 3P 250 А</v>
      </c>
      <c r="E2" s="26">
        <v>250</v>
      </c>
      <c r="F2" s="28"/>
      <c r="G2" s="26"/>
      <c r="H2" s="26"/>
      <c r="I2" s="26"/>
      <c r="J2" s="29"/>
      <c r="K2" s="26">
        <v>3</v>
      </c>
      <c r="L2" s="30"/>
      <c r="M2" s="26"/>
      <c r="N2" s="31">
        <f>Таблица13[[#This Row],[Pуст, кВт]]*Таблица13[[#This Row],[Kи]]</f>
        <v>0</v>
      </c>
      <c r="O2" s="31" t="e">
        <f>IF(Таблица13[[#This Row],[Число фаз]]=1,J2/220/L2*M2*1000,J2/3/220/L2*M2*1000)</f>
        <v>#DIV/0!</v>
      </c>
      <c r="P2" s="31" t="str">
        <f>Таблица13[[#This Row],[Коды щитков]] &amp; "/M" &amp; TEXT( Таблица13[[#This Row],[Номер АВ]], "00")</f>
        <v>/M00</v>
      </c>
      <c r="Q2" s="26"/>
      <c r="R2" s="26"/>
      <c r="S2" s="26"/>
      <c r="T2" s="32">
        <f>Таблица13[[#This Row],[Сечение фазного]]</f>
        <v>0</v>
      </c>
      <c r="U2" s="26"/>
      <c r="V2" s="31" t="e">
        <f>IF(Таблица13[[#This Row],[Число фаз]]=1,2*O2*(22.5/S2*L2+0.08*SIN(ACOS(L2)))*(U2/1000)*(100/220),SQRT(3)*O2*(22.5/S2*L2+0.08*SIN(ACOS(L2)))*(U2/1000)*(100/380))</f>
        <v>#DIV/0!</v>
      </c>
      <c r="W2" s="32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" s="32" t="e">
        <f>TEXT(Таблица13[[#This Row],[Потери]],"0,0") &amp; "-" &amp;Таблица13[[#This Row],[Полная марка кабеля]]</f>
        <v>#DIV/0!</v>
      </c>
      <c r="Y2" s="26"/>
      <c r="Z2" s="32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3" spans="1:26" x14ac:dyDescent="0.25">
      <c r="A3" s="1" t="s">
        <v>12</v>
      </c>
      <c r="B3" s="1">
        <v>2</v>
      </c>
      <c r="C3" s="4">
        <v>1</v>
      </c>
      <c r="D3" s="4" t="str">
        <f>"Acti9 iC60N C"&amp;Таблица13[[#This Row],[Номинал АВ]]&amp; " " &amp; Таблица13[[#This Row],[Число фаз]] &amp; "P"</f>
        <v>Acti9 iC60N C63 3P</v>
      </c>
      <c r="E3" s="1">
        <v>63</v>
      </c>
      <c r="F3" s="13" t="s">
        <v>341</v>
      </c>
      <c r="G3" s="1" t="s">
        <v>77</v>
      </c>
      <c r="H3" s="1" t="s">
        <v>76</v>
      </c>
      <c r="I3" s="1" t="s">
        <v>96</v>
      </c>
      <c r="J3" s="16">
        <v>18.5</v>
      </c>
      <c r="K3" s="1">
        <v>3</v>
      </c>
      <c r="L3" s="15">
        <v>0.8</v>
      </c>
      <c r="M3" s="1">
        <v>1</v>
      </c>
      <c r="N3" s="2">
        <f>Таблица13[[#This Row],[Pуст, кВт]]*Таблица13[[#This Row],[Kи]]</f>
        <v>18.5</v>
      </c>
      <c r="O3" s="2">
        <f>IF(Таблица13[[#This Row],[Число фаз]]=1,J3/220/L3*M3*1000,J3/3/220/L3*M3*1000)</f>
        <v>35.037878787878782</v>
      </c>
      <c r="P3" s="2" t="str">
        <f>Таблица13[[#This Row],[Коды щитков]] &amp; "/M" &amp; TEXT( Таблица13[[#This Row],[Номер АВ]], "00")</f>
        <v>ШС-12-2/M01</v>
      </c>
      <c r="Q3" s="1" t="s">
        <v>63</v>
      </c>
      <c r="R3" s="1">
        <v>5</v>
      </c>
      <c r="S3" s="1">
        <v>16</v>
      </c>
      <c r="T3" s="1">
        <f>Таблица13[[#This Row],[Сечение фазного]]</f>
        <v>16</v>
      </c>
      <c r="U3" s="1">
        <v>15</v>
      </c>
      <c r="V3" s="2">
        <f>IF(Таблица13[[#This Row],[Число фаз]]=1,2*O3*(22.5/S3*L3+0.08*SIN(ACOS(L3)))*(U3/1000)*(100/220),SQRT(3)*O3*(22.5/S3*L3+0.08*SIN(ACOS(L3)))*(U3/1000)*(100/380))</f>
        <v>0.28099856870251505</v>
      </c>
      <c r="W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ШС-12-2/M01-18,5-35,0-15</v>
      </c>
      <c r="X3" s="1" t="str">
        <f>TEXT(Таблица13[[#This Row],[Потери]],"0,0") &amp; "-" &amp;Таблица13[[#This Row],[Полная марка кабеля]]</f>
        <v>0,3-ВВГнг(A)-LS-5x16</v>
      </c>
      <c r="Y3" t="s">
        <v>414</v>
      </c>
      <c r="Z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4" spans="1:26" x14ac:dyDescent="0.25">
      <c r="A4" s="1" t="s">
        <v>12</v>
      </c>
      <c r="B4" s="1">
        <v>3</v>
      </c>
      <c r="C4" s="4">
        <v>2</v>
      </c>
      <c r="D4" s="4" t="str">
        <f>"Acti9 iC60N C"&amp;Таблица13[[#This Row],[Номинал АВ]]&amp; " " &amp; Таблица13[[#This Row],[Число фаз]] &amp; "P"</f>
        <v>Acti9 iC60N C40 3P</v>
      </c>
      <c r="E4" s="1">
        <v>40</v>
      </c>
      <c r="F4" s="13" t="s">
        <v>342</v>
      </c>
      <c r="G4" s="1" t="s">
        <v>78</v>
      </c>
      <c r="H4" s="1" t="s">
        <v>76</v>
      </c>
      <c r="I4" s="1" t="s">
        <v>96</v>
      </c>
      <c r="J4" s="16">
        <v>15</v>
      </c>
      <c r="K4" s="1">
        <v>3</v>
      </c>
      <c r="L4" s="15">
        <v>0.8</v>
      </c>
      <c r="M4" s="1">
        <v>1</v>
      </c>
      <c r="N4" s="2">
        <f>Таблица13[[#This Row],[Pуст, кВт]]*Таблица13[[#This Row],[Kи]]</f>
        <v>15</v>
      </c>
      <c r="O4" s="2">
        <f>IF(Таблица13[[#This Row],[Число фаз]]=1,J4/220/L4*M4*1000,J4/3/220/L4*M4*1000)</f>
        <v>28.409090909090907</v>
      </c>
      <c r="P4" s="2" t="str">
        <f>Таблица13[[#This Row],[Коды щитков]] &amp; "/M" &amp; TEXT( Таблица13[[#This Row],[Номер АВ]], "00")</f>
        <v>ШС-12-2/M02</v>
      </c>
      <c r="Q4" s="1" t="s">
        <v>63</v>
      </c>
      <c r="R4" s="1">
        <v>5</v>
      </c>
      <c r="S4" s="1">
        <v>10</v>
      </c>
      <c r="T4" s="1">
        <f>Таблица13[[#This Row],[Сечение фазного]]</f>
        <v>10</v>
      </c>
      <c r="U4" s="1">
        <v>15</v>
      </c>
      <c r="V4" s="2">
        <f>IF(Таблица13[[#This Row],[Число фаз]]=1,2*O4*(22.5/S4*L4+0.08*SIN(ACOS(L4)))*(U4/1000)*(100/220),SQRT(3)*O4*(22.5/S4*L4+0.08*SIN(ACOS(L4)))*(U4/1000)*(100/380))</f>
        <v>0.35894473972644486</v>
      </c>
      <c r="W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ШС-12-2/M02-15,0-28,4-15</v>
      </c>
      <c r="X4" s="1" t="str">
        <f>TEXT(Таблица13[[#This Row],[Потери]],"0,0") &amp; "-" &amp;Таблица13[[#This Row],[Полная марка кабеля]]</f>
        <v>0,4-ВВГнг(A)-LS-5x10</v>
      </c>
      <c r="Y4" t="s">
        <v>414</v>
      </c>
      <c r="Z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5" spans="1:26" x14ac:dyDescent="0.25">
      <c r="A5" s="1" t="s">
        <v>12</v>
      </c>
      <c r="B5" s="1">
        <v>4</v>
      </c>
      <c r="C5" s="4">
        <v>3</v>
      </c>
      <c r="D5" s="4" t="str">
        <f>"Acti9 iC60N C"&amp;Таблица13[[#This Row],[Номинал АВ]]&amp; " " &amp; Таблица13[[#This Row],[Число фаз]] &amp; "P"</f>
        <v>Acti9 iC60N C40 3P</v>
      </c>
      <c r="E5" s="1">
        <v>40</v>
      </c>
      <c r="F5" s="13" t="s">
        <v>343</v>
      </c>
      <c r="G5" s="1" t="s">
        <v>79</v>
      </c>
      <c r="H5" s="1" t="s">
        <v>76</v>
      </c>
      <c r="I5" s="1" t="s">
        <v>96</v>
      </c>
      <c r="J5" s="16">
        <v>15.5</v>
      </c>
      <c r="K5" s="1">
        <v>3</v>
      </c>
      <c r="L5" s="15">
        <v>0.8</v>
      </c>
      <c r="M5" s="1">
        <v>1</v>
      </c>
      <c r="N5" s="2">
        <f>Таблица13[[#This Row],[Pуст, кВт]]*Таблица13[[#This Row],[Kи]]</f>
        <v>15.5</v>
      </c>
      <c r="O5" s="2">
        <f>IF(Таблица13[[#This Row],[Число фаз]]=1,J5/220/L5*M5*1000,J5/3/220/L5*M5*1000)</f>
        <v>29.356060606060609</v>
      </c>
      <c r="P5" s="2" t="str">
        <f>Таблица13[[#This Row],[Коды щитков]] &amp; "/M" &amp; TEXT( Таблица13[[#This Row],[Номер АВ]], "00")</f>
        <v>ШС-12-2/M03</v>
      </c>
      <c r="Q5" s="1" t="s">
        <v>63</v>
      </c>
      <c r="R5" s="1">
        <v>5</v>
      </c>
      <c r="S5" s="1">
        <v>10</v>
      </c>
      <c r="T5" s="1">
        <f>Таблица13[[#This Row],[Сечение фазного]]</f>
        <v>10</v>
      </c>
      <c r="U5" s="1">
        <v>15</v>
      </c>
      <c r="V5" s="2">
        <f>IF(Таблица13[[#This Row],[Число фаз]]=1,2*O5*(22.5/S5*L5+0.08*SIN(ACOS(L5)))*(U5/1000)*(100/220),SQRT(3)*O5*(22.5/S5*L5+0.08*SIN(ACOS(L5)))*(U5/1000)*(100/380))</f>
        <v>0.37090956438399314</v>
      </c>
      <c r="W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ШС-12-2/M03-15,5-29,4-15</v>
      </c>
      <c r="X5" s="1" t="str">
        <f>TEXT(Таблица13[[#This Row],[Потери]],"0,0") &amp; "-" &amp;Таблица13[[#This Row],[Полная марка кабеля]]</f>
        <v>0,4-ВВГнг(A)-LS-5x10</v>
      </c>
      <c r="Y5" t="s">
        <v>414</v>
      </c>
      <c r="Z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6" spans="1:26" x14ac:dyDescent="0.25">
      <c r="A6" s="1" t="s">
        <v>12</v>
      </c>
      <c r="B6" s="1">
        <v>5</v>
      </c>
      <c r="C6" s="4">
        <v>4</v>
      </c>
      <c r="D6" s="4" t="str">
        <f>"Acti9 iC60N C"&amp;Таблица13[[#This Row],[Номинал АВ]]&amp; " " &amp; Таблица13[[#This Row],[Число фаз]] &amp; "P"</f>
        <v>Acti9 iC60N C40 3P</v>
      </c>
      <c r="E6" s="1">
        <v>40</v>
      </c>
      <c r="F6" s="13" t="s">
        <v>344</v>
      </c>
      <c r="G6" s="1" t="s">
        <v>80</v>
      </c>
      <c r="H6" s="1" t="s">
        <v>76</v>
      </c>
      <c r="I6" s="1" t="s">
        <v>96</v>
      </c>
      <c r="J6" s="16">
        <v>14</v>
      </c>
      <c r="K6" s="1">
        <v>3</v>
      </c>
      <c r="L6" s="15">
        <v>0.8</v>
      </c>
      <c r="M6" s="1">
        <v>1</v>
      </c>
      <c r="N6" s="2">
        <f>Таблица13[[#This Row],[Pуст, кВт]]*Таблица13[[#This Row],[Kи]]</f>
        <v>14</v>
      </c>
      <c r="O6" s="2">
        <f>IF(Таблица13[[#This Row],[Число фаз]]=1,J6/220/L6*M6*1000,J6/3/220/L6*M6*1000)</f>
        <v>26.515151515151516</v>
      </c>
      <c r="P6" s="2" t="str">
        <f>Таблица13[[#This Row],[Коды щитков]] &amp; "/M" &amp; TEXT( Таблица13[[#This Row],[Номер АВ]], "00")</f>
        <v>ШС-12-2/M04</v>
      </c>
      <c r="Q6" s="1" t="s">
        <v>63</v>
      </c>
      <c r="R6" s="1">
        <v>5</v>
      </c>
      <c r="S6" s="1">
        <v>10</v>
      </c>
      <c r="T6" s="1">
        <f>Таблица13[[#This Row],[Сечение фазного]]</f>
        <v>10</v>
      </c>
      <c r="U6" s="1">
        <v>15</v>
      </c>
      <c r="V6" s="2">
        <f>IF(Таблица13[[#This Row],[Число фаз]]=1,2*O6*(22.5/S6*L6+0.08*SIN(ACOS(L6)))*(U6/1000)*(100/220),SQRT(3)*O6*(22.5/S6*L6+0.08*SIN(ACOS(L6)))*(U6/1000)*(100/380))</f>
        <v>0.33501509041134864</v>
      </c>
      <c r="W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ШС-12-2/M04-14,0-26,5-15</v>
      </c>
      <c r="X6" s="1" t="str">
        <f>TEXT(Таблица13[[#This Row],[Потери]],"0,0") &amp; "-" &amp;Таблица13[[#This Row],[Полная марка кабеля]]</f>
        <v>0,3-ВВГнг(A)-LS-5x10</v>
      </c>
      <c r="Y6" t="s">
        <v>414</v>
      </c>
      <c r="Z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7" spans="1:26" x14ac:dyDescent="0.25">
      <c r="A7" s="1" t="s">
        <v>12</v>
      </c>
      <c r="B7" s="1">
        <v>6</v>
      </c>
      <c r="C7" s="4">
        <v>5</v>
      </c>
      <c r="D7" s="4" t="str">
        <f>"Acti9 iC60N C"&amp;Таблица13[[#This Row],[Номинал АВ]]&amp; " " &amp; Таблица13[[#This Row],[Число фаз]] &amp; "P"</f>
        <v>Acti9 iC60N C32 3P</v>
      </c>
      <c r="E7" s="1">
        <v>32</v>
      </c>
      <c r="F7" s="13" t="s">
        <v>345</v>
      </c>
      <c r="G7" s="1" t="s">
        <v>82</v>
      </c>
      <c r="H7" s="1" t="s">
        <v>81</v>
      </c>
      <c r="I7" s="1" t="s">
        <v>96</v>
      </c>
      <c r="J7" s="16">
        <v>10</v>
      </c>
      <c r="K7" s="1">
        <v>3</v>
      </c>
      <c r="L7" s="15">
        <v>0.8</v>
      </c>
      <c r="M7" s="1">
        <v>1</v>
      </c>
      <c r="N7" s="2">
        <f>Таблица13[[#This Row],[Pуст, кВт]]*Таблица13[[#This Row],[Kи]]</f>
        <v>10</v>
      </c>
      <c r="O7" s="2">
        <f>IF(Таблица13[[#This Row],[Число фаз]]=1,J7/220/L7*M7*1000,J7/3/220/L7*M7*1000)</f>
        <v>18.939393939393941</v>
      </c>
      <c r="P7" s="2" t="str">
        <f>Таблица13[[#This Row],[Коды щитков]] &amp; "/M" &amp; TEXT( Таблица13[[#This Row],[Номер АВ]], "00")</f>
        <v>ШС-12-2/M05</v>
      </c>
      <c r="Q7" s="1" t="s">
        <v>63</v>
      </c>
      <c r="R7" s="1">
        <v>5</v>
      </c>
      <c r="S7" s="1">
        <v>6</v>
      </c>
      <c r="T7" s="1">
        <f>Таблица13[[#This Row],[Сечение фазного]]</f>
        <v>6</v>
      </c>
      <c r="U7" s="1">
        <v>15</v>
      </c>
      <c r="V7" s="2">
        <f>IF(Таблица13[[#This Row],[Число фаз]]=1,2*O7*(22.5/S7*L7+0.08*SIN(ACOS(L7)))*(U7/1000)*(100/220),SQRT(3)*O7*(22.5/S7*L7+0.08*SIN(ACOS(L7)))*(U7/1000)*(100/380))</f>
        <v>0.39468382636587451</v>
      </c>
      <c r="W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ШС-12-2/M05-10,0-18,9-15</v>
      </c>
      <c r="X7" s="1" t="str">
        <f>TEXT(Таблица13[[#This Row],[Потери]],"0,0") &amp; "-" &amp;Таблица13[[#This Row],[Полная марка кабеля]]</f>
        <v>0,4-ВВГнг(A)-LS-5x6</v>
      </c>
      <c r="Y7" t="s">
        <v>414</v>
      </c>
      <c r="Z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8" spans="1:26" x14ac:dyDescent="0.25">
      <c r="A8" s="1" t="s">
        <v>12</v>
      </c>
      <c r="B8" s="1">
        <v>7</v>
      </c>
      <c r="C8" s="4">
        <v>6</v>
      </c>
      <c r="D8" s="4" t="str">
        <f>"Acti9 iC60N C"&amp;Таблица13[[#This Row],[Номинал АВ]]&amp; " " &amp; Таблица13[[#This Row],[Число фаз]] &amp; "P"</f>
        <v>Acti9 iC60N C32 3P</v>
      </c>
      <c r="E8" s="1">
        <v>32</v>
      </c>
      <c r="F8" s="13" t="s">
        <v>346</v>
      </c>
      <c r="G8" s="1" t="s">
        <v>82</v>
      </c>
      <c r="H8" s="1" t="s">
        <v>81</v>
      </c>
      <c r="I8" s="1" t="s">
        <v>96</v>
      </c>
      <c r="J8" s="16">
        <v>10</v>
      </c>
      <c r="K8" s="1">
        <v>3</v>
      </c>
      <c r="L8" s="15">
        <v>0.8</v>
      </c>
      <c r="M8" s="1">
        <v>1</v>
      </c>
      <c r="N8" s="2">
        <f>Таблица13[[#This Row],[Pуст, кВт]]*Таблица13[[#This Row],[Kи]]</f>
        <v>10</v>
      </c>
      <c r="O8" s="2">
        <f>IF(Таблица13[[#This Row],[Число фаз]]=1,J8/220/L8*M8*1000,J8/3/220/L8*M8*1000)</f>
        <v>18.939393939393941</v>
      </c>
      <c r="P8" s="2" t="str">
        <f>Таблица13[[#This Row],[Коды щитков]] &amp; "/M" &amp; TEXT( Таблица13[[#This Row],[Номер АВ]], "00")</f>
        <v>ШС-12-2/M06</v>
      </c>
      <c r="Q8" s="1" t="s">
        <v>63</v>
      </c>
      <c r="R8" s="1">
        <v>5</v>
      </c>
      <c r="S8" s="1">
        <v>6</v>
      </c>
      <c r="T8" s="1">
        <f>Таблица13[[#This Row],[Сечение фазного]]</f>
        <v>6</v>
      </c>
      <c r="U8" s="1">
        <v>15</v>
      </c>
      <c r="V8" s="2">
        <f>IF(Таблица13[[#This Row],[Число фаз]]=1,2*O8*(22.5/S8*L8+0.08*SIN(ACOS(L8)))*(U8/1000)*(100/220),SQRT(3)*O8*(22.5/S8*L8+0.08*SIN(ACOS(L8)))*(U8/1000)*(100/380))</f>
        <v>0.39468382636587451</v>
      </c>
      <c r="W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ШС-12-2/M06-10,0-18,9-15</v>
      </c>
      <c r="X8" s="1" t="str">
        <f>TEXT(Таблица13[[#This Row],[Потери]],"0,0") &amp; "-" &amp;Таблица13[[#This Row],[Полная марка кабеля]]</f>
        <v>0,4-ВВГнг(A)-LS-5x6</v>
      </c>
      <c r="Y8" t="s">
        <v>414</v>
      </c>
      <c r="Z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9" spans="1:26" x14ac:dyDescent="0.25">
      <c r="A9" s="1" t="s">
        <v>12</v>
      </c>
      <c r="B9" s="1">
        <v>8</v>
      </c>
      <c r="C9" s="4">
        <v>7</v>
      </c>
      <c r="D9" s="4" t="str">
        <f>"Acti9 iC60N C"&amp;Таблица13[[#This Row],[Номинал АВ]]&amp; " " &amp; Таблица13[[#This Row],[Число фаз]] &amp; "P"</f>
        <v>Acti9 iC60N C32 3P</v>
      </c>
      <c r="E9" s="1">
        <v>32</v>
      </c>
      <c r="F9" s="13" t="s">
        <v>347</v>
      </c>
      <c r="G9" s="1" t="s">
        <v>83</v>
      </c>
      <c r="H9" s="1" t="s">
        <v>81</v>
      </c>
      <c r="I9" s="1" t="s">
        <v>96</v>
      </c>
      <c r="J9" s="16">
        <v>7</v>
      </c>
      <c r="K9" s="1">
        <v>3</v>
      </c>
      <c r="L9" s="15">
        <v>0.8</v>
      </c>
      <c r="M9" s="1">
        <v>1</v>
      </c>
      <c r="N9" s="2">
        <f>Таблица13[[#This Row],[Pуст, кВт]]*Таблица13[[#This Row],[Kи]]</f>
        <v>7</v>
      </c>
      <c r="O9" s="2">
        <f>IF(Таблица13[[#This Row],[Число фаз]]=1,J9/220/L9*M9*1000,J9/3/220/L9*M9*1000)</f>
        <v>13.257575757575758</v>
      </c>
      <c r="P9" s="2" t="str">
        <f>Таблица13[[#This Row],[Коды щитков]] &amp; "/M" &amp; TEXT( Таблица13[[#This Row],[Номер АВ]], "00")</f>
        <v>ШС-12-2/M07</v>
      </c>
      <c r="Q9" s="1" t="s">
        <v>63</v>
      </c>
      <c r="R9" s="1">
        <v>5</v>
      </c>
      <c r="S9" s="1">
        <v>6</v>
      </c>
      <c r="T9" s="1">
        <f>Таблица13[[#This Row],[Сечение фазного]]</f>
        <v>6</v>
      </c>
      <c r="U9" s="1">
        <v>15</v>
      </c>
      <c r="V9" s="2">
        <f>IF(Таблица13[[#This Row],[Число фаз]]=1,2*O9*(22.5/S9*L9+0.08*SIN(ACOS(L9)))*(U9/1000)*(100/220),SQRT(3)*O9*(22.5/S9*L9+0.08*SIN(ACOS(L9)))*(U9/1000)*(100/380))</f>
        <v>0.27627867845611215</v>
      </c>
      <c r="W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ШС-12-2/M07-7,0-13,3-15</v>
      </c>
      <c r="X9" s="1" t="str">
        <f>TEXT(Таблица13[[#This Row],[Потери]],"0,0") &amp; "-" &amp;Таблица13[[#This Row],[Полная марка кабеля]]</f>
        <v>0,3-ВВГнг(A)-LS-5x6</v>
      </c>
      <c r="Y9" t="s">
        <v>414</v>
      </c>
      <c r="Z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10" spans="1:26" x14ac:dyDescent="0.25">
      <c r="A10" s="1" t="s">
        <v>12</v>
      </c>
      <c r="B10" s="1">
        <v>9</v>
      </c>
      <c r="C10" s="4">
        <v>8</v>
      </c>
      <c r="D10" s="4" t="str">
        <f>"Acti9 iC60N C"&amp;Таблица13[[#This Row],[Номинал АВ]]&amp; " " &amp; Таблица13[[#This Row],[Число фаз]] &amp; "P"</f>
        <v>Acti9 iC60N C32 3P</v>
      </c>
      <c r="E10" s="1">
        <v>32</v>
      </c>
      <c r="F10" s="13" t="s">
        <v>348</v>
      </c>
      <c r="G10" s="1" t="s">
        <v>86</v>
      </c>
      <c r="H10" s="1" t="s">
        <v>81</v>
      </c>
      <c r="I10" s="1" t="s">
        <v>96</v>
      </c>
      <c r="J10" s="16">
        <v>2.2999999999999998</v>
      </c>
      <c r="K10" s="1">
        <v>3</v>
      </c>
      <c r="L10" s="15">
        <v>0.8</v>
      </c>
      <c r="M10" s="1">
        <v>1</v>
      </c>
      <c r="N10" s="2">
        <f>Таблица13[[#This Row],[Pуст, кВт]]*Таблица13[[#This Row],[Kи]]</f>
        <v>2.2999999999999998</v>
      </c>
      <c r="O10" s="2">
        <f>IF(Таблица13[[#This Row],[Число фаз]]=1,J10/220/L10*M10*1000,J10/3/220/L10*M10*1000)</f>
        <v>4.3560606060606055</v>
      </c>
      <c r="P10" s="2" t="str">
        <f>Таблица13[[#This Row],[Коды щитков]] &amp; "/M" &amp; TEXT( Таблица13[[#This Row],[Номер АВ]], "00")</f>
        <v>ШС-12-2/M08</v>
      </c>
      <c r="Q10" s="1" t="s">
        <v>63</v>
      </c>
      <c r="R10" s="1">
        <v>5</v>
      </c>
      <c r="S10" s="1">
        <v>6</v>
      </c>
      <c r="T10" s="1">
        <f>Таблица13[[#This Row],[Сечение фазного]]</f>
        <v>6</v>
      </c>
      <c r="U10" s="1">
        <v>15</v>
      </c>
      <c r="V10" s="2">
        <f>IF(Таблица13[[#This Row],[Число фаз]]=1,2*O10*(22.5/S10*L10+0.08*SIN(ACOS(L10)))*(U10/1000)*(100/220),SQRT(3)*O10*(22.5/S10*L10+0.08*SIN(ACOS(L10)))*(U10/1000)*(100/380))</f>
        <v>9.0777280064151131E-2</v>
      </c>
      <c r="W1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ШС-12-2/M08-2,3-4,4-15</v>
      </c>
      <c r="X10" s="1" t="str">
        <f>TEXT(Таблица13[[#This Row],[Потери]],"0,0") &amp; "-" &amp;Таблица13[[#This Row],[Полная марка кабеля]]</f>
        <v>0,1-ВВГнг(A)-LS-5x6</v>
      </c>
      <c r="Y10" t="s">
        <v>414</v>
      </c>
      <c r="Z1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11" spans="1:26" x14ac:dyDescent="0.25">
      <c r="A11" s="1" t="s">
        <v>12</v>
      </c>
      <c r="B11" s="1">
        <v>10</v>
      </c>
      <c r="C11" s="4">
        <v>9</v>
      </c>
      <c r="D11" s="4" t="str">
        <f>"Acti9 iC60N C"&amp;Таблица13[[#This Row],[Номинал АВ]]&amp; " " &amp; Таблица13[[#This Row],[Число фаз]] &amp; "P"</f>
        <v>Acti9 iC60N C32 3P</v>
      </c>
      <c r="E11" s="1">
        <v>32</v>
      </c>
      <c r="F11" s="9" t="s">
        <v>317</v>
      </c>
      <c r="G11" s="1"/>
      <c r="H11" s="9" t="s">
        <v>457</v>
      </c>
      <c r="I11" s="1" t="s">
        <v>96</v>
      </c>
      <c r="J11" s="18">
        <v>19</v>
      </c>
      <c r="K11" s="1">
        <v>3</v>
      </c>
      <c r="L11" s="15">
        <v>1</v>
      </c>
      <c r="M11" s="1">
        <v>1</v>
      </c>
      <c r="N11" s="2">
        <f>Таблица13[[#This Row],[Pуст, кВт]]*Таблица13[[#This Row],[Kи]]</f>
        <v>19</v>
      </c>
      <c r="O11" s="2">
        <f>IF(Таблица13[[#This Row],[Число фаз]]=1,J11/220/L11*M11*1000,J11/3/220/L11*M11*1000)</f>
        <v>28.787878787878785</v>
      </c>
      <c r="P11" s="2" t="str">
        <f>Таблица13[[#This Row],[Коды щитков]] &amp; "/M" &amp; TEXT( Таблица13[[#This Row],[Номер АВ]], "00")</f>
        <v>ШС-12-2/M09</v>
      </c>
      <c r="Q11" s="1" t="s">
        <v>63</v>
      </c>
      <c r="R11" s="1">
        <v>5</v>
      </c>
      <c r="S11" s="1">
        <v>6</v>
      </c>
      <c r="T11" s="1">
        <f>Таблица13[[#This Row],[Сечение фазного]]</f>
        <v>6</v>
      </c>
      <c r="U11" s="1">
        <v>15</v>
      </c>
      <c r="V11" s="2">
        <f>IF(Таблица13[[#This Row],[Число фаз]]=1,2*O11*(22.5/S11*L11+0.08*SIN(ACOS(L11)))*(U11/1000)*(100/220),SQRT(3)*O11*(22.5/S11*L11+0.08*SIN(ACOS(L11)))*(U11/1000)*(100/380))</f>
        <v>0.73808983277082818</v>
      </c>
      <c r="W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ШС-12-2/M09-19,0-28,8-15</v>
      </c>
      <c r="X11" s="1" t="str">
        <f>TEXT(Таблица13[[#This Row],[Потери]],"0,0") &amp; "-" &amp;Таблица13[[#This Row],[Полная марка кабеля]]</f>
        <v>0,7-ВВГнг(A)-LS-5x6</v>
      </c>
      <c r="Y11" t="s">
        <v>414</v>
      </c>
      <c r="Z1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12" spans="1:26" x14ac:dyDescent="0.25">
      <c r="A12" s="1" t="s">
        <v>12</v>
      </c>
      <c r="B12" s="1">
        <v>11</v>
      </c>
      <c r="C12" s="4">
        <v>10</v>
      </c>
      <c r="D12" s="4" t="str">
        <f>"Acti9 DPN N Vigi C" &amp; Таблица13[[#This Row],[Номинал АВ]]&amp; " 1P+N 30 мА"</f>
        <v>Acti9 DPN N Vigi C16 1P+N 30 мА</v>
      </c>
      <c r="E12" s="1">
        <v>16</v>
      </c>
      <c r="F12" s="9"/>
      <c r="G12" s="1"/>
      <c r="H12" s="1" t="s">
        <v>72</v>
      </c>
      <c r="I12" s="1" t="s">
        <v>96</v>
      </c>
      <c r="J12" s="16">
        <v>2</v>
      </c>
      <c r="K12" s="1">
        <v>1</v>
      </c>
      <c r="L12" s="15">
        <v>0.9</v>
      </c>
      <c r="M12" s="1">
        <v>1</v>
      </c>
      <c r="N12" s="2">
        <f>Таблица13[[#This Row],[Pуст, кВт]]*Таблица13[[#This Row],[Kи]]</f>
        <v>2</v>
      </c>
      <c r="O12" s="2">
        <f>IF(Таблица13[[#This Row],[Число фаз]]=1,J12/220/L12*M12*1000,J12/3/220/L12*M12*1000)</f>
        <v>10.1010101010101</v>
      </c>
      <c r="P12" s="2" t="str">
        <f>Таблица13[[#This Row],[Коды щитков]] &amp; "/M" &amp; TEXT( Таблица13[[#This Row],[Номер АВ]], "00")</f>
        <v>ШС-12-2/M10</v>
      </c>
      <c r="Q12" s="1" t="s">
        <v>63</v>
      </c>
      <c r="R12" s="1">
        <v>3</v>
      </c>
      <c r="S12" s="1">
        <v>2.5</v>
      </c>
      <c r="T12" s="1">
        <f>Таблица13[[#This Row],[Сечение фазного]]</f>
        <v>2.5</v>
      </c>
      <c r="U12" s="1">
        <v>10</v>
      </c>
      <c r="V12" s="2">
        <f>IF(Таблица13[[#This Row],[Число фаз]]=1,2*O12*(22.5/S12*L12+0.08*SIN(ACOS(L12)))*(U12/1000)*(100/220),SQRT(3)*O12*(22.5/S12*L12+0.08*SIN(ACOS(L12)))*(U12/1000)*(100/380))</f>
        <v>0.74700378251132449</v>
      </c>
      <c r="W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ШС-12-2/M10-2,0-10,1-10</v>
      </c>
      <c r="X12" s="1" t="str">
        <f>TEXT(Таблица13[[#This Row],[Потери]],"0,0") &amp; "-" &amp;Таблица13[[#This Row],[Полная марка кабеля]]</f>
        <v>0,7-ВВГнг(A)-LS-3x2,5</v>
      </c>
      <c r="Y12" t="s">
        <v>414</v>
      </c>
      <c r="Z1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3" spans="1:26" x14ac:dyDescent="0.25">
      <c r="A13" s="1" t="s">
        <v>12</v>
      </c>
      <c r="B13" s="1">
        <v>12</v>
      </c>
      <c r="C13" s="4">
        <v>11</v>
      </c>
      <c r="D13" s="4" t="str">
        <f>"Acti9 iC60N C"&amp;Таблица13[[#This Row],[Номинал АВ]]&amp; " " &amp; Таблица13[[#This Row],[Число фаз]] &amp; "P"</f>
        <v>Acti9 iC60N C16 1P</v>
      </c>
      <c r="E13" s="1">
        <v>16</v>
      </c>
      <c r="F13" s="9"/>
      <c r="G13" s="1"/>
      <c r="H13" s="1" t="s">
        <v>73</v>
      </c>
      <c r="I13" s="1" t="s">
        <v>96</v>
      </c>
      <c r="J13" s="16">
        <f>7*4*0.022*2</f>
        <v>1.232</v>
      </c>
      <c r="K13" s="1">
        <v>1</v>
      </c>
      <c r="L13" s="15">
        <v>0.96</v>
      </c>
      <c r="M13" s="1">
        <v>1</v>
      </c>
      <c r="N13" s="2">
        <f>Таблица13[[#This Row],[Pуст, кВт]]*Таблица13[[#This Row],[Kи]]</f>
        <v>1.232</v>
      </c>
      <c r="O13" s="2">
        <f>IF(Таблица13[[#This Row],[Число фаз]]=1,J13/220/L13*M13*1000,J13/3/220/L13*M13*1000)</f>
        <v>5.8333333333333339</v>
      </c>
      <c r="P13" s="2" t="str">
        <f>Таблица13[[#This Row],[Коды щитков]] &amp; "/M" &amp; TEXT( Таблица13[[#This Row],[Номер АВ]], "00")</f>
        <v>ШС-12-2/M11</v>
      </c>
      <c r="Q13" s="1" t="s">
        <v>63</v>
      </c>
      <c r="R13" s="1">
        <v>3</v>
      </c>
      <c r="S13" s="1">
        <v>2.5</v>
      </c>
      <c r="T13" s="1">
        <f>Таблица13[[#This Row],[Сечение фазного]]</f>
        <v>2.5</v>
      </c>
      <c r="U13" s="1">
        <v>120</v>
      </c>
      <c r="V13" s="2">
        <f>IF(Таблица13[[#This Row],[Число фаз]]=1,2*O13*(22.5/S13*L13+0.08*SIN(ACOS(L13)))*(U13/1000)*(100/220),SQRT(3)*O13*(22.5/S13*L13+0.08*SIN(ACOS(L13)))*(U13/1000)*(100/380))</f>
        <v>5.5124363636363629</v>
      </c>
      <c r="W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ШС-12-2/M11-1,2-5,8-120</v>
      </c>
      <c r="X13" s="1" t="str">
        <f>TEXT(Таблица13[[#This Row],[Потери]],"0,0") &amp; "-" &amp;Таблица13[[#This Row],[Полная марка кабеля]]</f>
        <v>5,5-ВВГнг(A)-LS-3x2,5</v>
      </c>
      <c r="Y13" t="s">
        <v>414</v>
      </c>
      <c r="Z1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4" spans="1:26" x14ac:dyDescent="0.25">
      <c r="A14" s="1" t="s">
        <v>13</v>
      </c>
      <c r="B14" s="1">
        <v>13</v>
      </c>
      <c r="C14" s="4">
        <v>0</v>
      </c>
      <c r="D14" s="4" t="str">
        <f>"ВА57-35 "&amp; Таблица13[[#This Row],[Число фаз]] &amp; "P " &amp;Таблица13[[#This Row],[Номинал АВ]] &amp; " А"</f>
        <v>ВА57-35 3P 125 А</v>
      </c>
      <c r="E14" s="1">
        <v>125</v>
      </c>
      <c r="F14" s="9"/>
      <c r="G14" s="1"/>
      <c r="H14" s="1"/>
      <c r="I14" s="1"/>
      <c r="K14" s="1">
        <v>3</v>
      </c>
      <c r="N14" s="2">
        <f>Таблица13[[#This Row],[Pуст, кВт]]*Таблица13[[#This Row],[Kи]]</f>
        <v>0</v>
      </c>
      <c r="O14" s="2" t="e">
        <f>IF(Таблица13[[#This Row],[Число фаз]]=1,J14/220/L14*M14*1000,J14/3/220/L14*M14*1000)</f>
        <v>#DIV/0!</v>
      </c>
      <c r="P14" s="2" t="str">
        <f>Таблица13[[#This Row],[Коды щитков]] &amp; "/M" &amp; TEXT( Таблица13[[#This Row],[Номер АВ]], "00")</f>
        <v>/M00</v>
      </c>
      <c r="Q14" s="1"/>
      <c r="R14" s="1"/>
      <c r="S14" s="1"/>
      <c r="T14" s="25">
        <f>Таблица13[[#This Row],[Сечение фазного]]</f>
        <v>0</v>
      </c>
      <c r="U14" s="1"/>
      <c r="V14" s="2" t="e">
        <f>IF(Таблица13[[#This Row],[Число фаз]]=1,2*O14*(22.5/S14*L14+0.08*SIN(ACOS(L14)))*(U14/1000)*(100/220),SQRT(3)*O14*(22.5/S14*L14+0.08*SIN(ACOS(L14)))*(U14/1000)*(100/380))</f>
        <v>#DIV/0!</v>
      </c>
      <c r="W14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4" s="25" t="e">
        <f>TEXT(Таблица13[[#This Row],[Потери]],"0,0") &amp; "-" &amp;Таблица13[[#This Row],[Полная марка кабеля]]</f>
        <v>#DIV/0!</v>
      </c>
      <c r="Y14" s="1"/>
      <c r="Z14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5" spans="1:26" x14ac:dyDescent="0.25">
      <c r="A15" s="1" t="s">
        <v>13</v>
      </c>
      <c r="B15" s="1">
        <v>14</v>
      </c>
      <c r="C15" s="4">
        <v>1</v>
      </c>
      <c r="D15" s="4" t="str">
        <f>"Acti9 iC60N C"&amp;Таблица13[[#This Row],[Номинал АВ]]&amp; " " &amp; Таблица13[[#This Row],[Число фаз]] &amp; "P"</f>
        <v>Acti9 iC60N C40 3P</v>
      </c>
      <c r="E15" s="1">
        <v>40</v>
      </c>
      <c r="F15" s="13" t="s">
        <v>366</v>
      </c>
      <c r="G15" s="1" t="s">
        <v>87</v>
      </c>
      <c r="H15" s="1" t="s">
        <v>66</v>
      </c>
      <c r="I15" s="1" t="s">
        <v>95</v>
      </c>
      <c r="J15" s="16">
        <v>24</v>
      </c>
      <c r="K15" s="1">
        <v>3</v>
      </c>
      <c r="L15" s="15">
        <v>1</v>
      </c>
      <c r="M15" s="1">
        <v>1</v>
      </c>
      <c r="N15" s="2">
        <f>Таблица13[[#This Row],[Pуст, кВт]]*Таблица13[[#This Row],[Kи]]</f>
        <v>24</v>
      </c>
      <c r="O15" s="2">
        <f>IF(Таблица13[[#This Row],[Число фаз]]=1,J15/220/L15*M15*1000,J15/3/220/L15*M15*1000)</f>
        <v>36.36363636363636</v>
      </c>
      <c r="P15" s="2" t="str">
        <f>Таблица13[[#This Row],[Коды щитков]] &amp; "/M" &amp; TEXT( Таблица13[[#This Row],[Номер АВ]], "00")</f>
        <v>ШС-12-1/M01</v>
      </c>
      <c r="Q15" s="1" t="s">
        <v>63</v>
      </c>
      <c r="R15" s="1">
        <v>5</v>
      </c>
      <c r="S15" s="1">
        <v>10</v>
      </c>
      <c r="T15" s="1">
        <f>Таблица13[[#This Row],[Сечение фазного]]</f>
        <v>10</v>
      </c>
      <c r="U15" s="1">
        <v>10</v>
      </c>
      <c r="V15" s="2">
        <f>IF(Таблица13[[#This Row],[Число фаз]]=1,2*O15*(22.5/S15*L15+0.08*SIN(ACOS(L15)))*(U15/1000)*(100/220),SQRT(3)*O15*(22.5/S15*L15+0.08*SIN(ACOS(L15)))*(U15/1000)*(100/380))</f>
        <v>0.37292959971578693</v>
      </c>
      <c r="W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ШС-12-1/M01-24,0-36,4-10</v>
      </c>
      <c r="X15" s="1" t="str">
        <f>TEXT(Таблица13[[#This Row],[Потери]],"0,0") &amp; "-" &amp;Таблица13[[#This Row],[Полная марка кабеля]]</f>
        <v>0,4-ВВГнг(A)-LS-5x10</v>
      </c>
      <c r="Y15" t="s">
        <v>415</v>
      </c>
      <c r="Z1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6" spans="1:26" x14ac:dyDescent="0.25">
      <c r="A16" s="1" t="s">
        <v>13</v>
      </c>
      <c r="B16" s="1">
        <v>15</v>
      </c>
      <c r="C16" s="4">
        <v>2</v>
      </c>
      <c r="D16" s="4" t="str">
        <f>"Acti9 iC60N C"&amp;Таблица13[[#This Row],[Номинал АВ]]&amp; " " &amp; Таблица13[[#This Row],[Число фаз]] &amp; "P"</f>
        <v>Acti9 iC60N C25 3P</v>
      </c>
      <c r="E16" s="1">
        <v>25</v>
      </c>
      <c r="F16" s="13" t="s">
        <v>362</v>
      </c>
      <c r="G16" s="1" t="s">
        <v>88</v>
      </c>
      <c r="H16" s="1" t="s">
        <v>67</v>
      </c>
      <c r="I16" s="1" t="s">
        <v>95</v>
      </c>
      <c r="J16" s="16">
        <v>12</v>
      </c>
      <c r="K16" s="1">
        <v>3</v>
      </c>
      <c r="L16" s="15">
        <v>1</v>
      </c>
      <c r="M16" s="1">
        <v>1</v>
      </c>
      <c r="N16" s="2">
        <f>Таблица13[[#This Row],[Pуст, кВт]]*Таблица13[[#This Row],[Kи]]</f>
        <v>12</v>
      </c>
      <c r="O16" s="2">
        <f>IF(Таблица13[[#This Row],[Число фаз]]=1,J16/220/L16*M16*1000,J16/3/220/L16*M16*1000)</f>
        <v>18.18181818181818</v>
      </c>
      <c r="P16" s="2" t="str">
        <f>Таблица13[[#This Row],[Коды щитков]] &amp; "/M" &amp; TEXT( Таблица13[[#This Row],[Номер АВ]], "00")</f>
        <v>ШС-12-1/M02</v>
      </c>
      <c r="Q16" s="1" t="s">
        <v>63</v>
      </c>
      <c r="R16" s="1">
        <v>5</v>
      </c>
      <c r="S16" s="1">
        <v>4</v>
      </c>
      <c r="T16" s="1">
        <f>Таблица13[[#This Row],[Сечение фазного]]</f>
        <v>4</v>
      </c>
      <c r="U16" s="1">
        <v>10</v>
      </c>
      <c r="V16" s="2">
        <f>IF(Таблица13[[#This Row],[Число фаз]]=1,2*O16*(22.5/S16*L16+0.08*SIN(ACOS(L16)))*(U16/1000)*(100/220),SQRT(3)*O16*(22.5/S16*L16+0.08*SIN(ACOS(L16)))*(U16/1000)*(100/380))</f>
        <v>0.46616199964473359</v>
      </c>
      <c r="W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ШС-12-1/M02-12,0-18,2-10</v>
      </c>
      <c r="X16" s="1" t="str">
        <f>TEXT(Таблица13[[#This Row],[Потери]],"0,0") &amp; "-" &amp;Таблица13[[#This Row],[Полная марка кабеля]]</f>
        <v>0,5-ВВГнг(A)-LS-5x4</v>
      </c>
      <c r="Y16" t="s">
        <v>415</v>
      </c>
      <c r="Z1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7" spans="1:26" x14ac:dyDescent="0.25">
      <c r="A17" s="1" t="s">
        <v>13</v>
      </c>
      <c r="B17" s="1">
        <v>16</v>
      </c>
      <c r="C17" s="4">
        <v>3</v>
      </c>
      <c r="D17" s="4" t="str">
        <f>"Acti9 iC60N C"&amp;Таблица13[[#This Row],[Номинал АВ]]&amp; " " &amp; Таблица13[[#This Row],[Число фаз]] &amp; "P"</f>
        <v>Acti9 iC60N C25 3P</v>
      </c>
      <c r="E17" s="1">
        <v>25</v>
      </c>
      <c r="F17" s="13" t="s">
        <v>363</v>
      </c>
      <c r="G17" s="1" t="s">
        <v>88</v>
      </c>
      <c r="H17" s="1" t="s">
        <v>67</v>
      </c>
      <c r="I17" s="1" t="s">
        <v>95</v>
      </c>
      <c r="J17" s="16">
        <v>12</v>
      </c>
      <c r="K17" s="1">
        <v>3</v>
      </c>
      <c r="L17" s="15">
        <v>1</v>
      </c>
      <c r="M17" s="1">
        <v>1</v>
      </c>
      <c r="N17" s="2">
        <f>Таблица13[[#This Row],[Pуст, кВт]]*Таблица13[[#This Row],[Kи]]</f>
        <v>12</v>
      </c>
      <c r="O17" s="2">
        <f>IF(Таблица13[[#This Row],[Число фаз]]=1,J17/220/L17*M17*1000,J17/3/220/L17*M17*1000)</f>
        <v>18.18181818181818</v>
      </c>
      <c r="P17" s="2" t="str">
        <f>Таблица13[[#This Row],[Коды щитков]] &amp; "/M" &amp; TEXT( Таблица13[[#This Row],[Номер АВ]], "00")</f>
        <v>ШС-12-1/M03</v>
      </c>
      <c r="Q17" s="1" t="s">
        <v>63</v>
      </c>
      <c r="R17" s="1">
        <v>5</v>
      </c>
      <c r="S17" s="1">
        <v>4</v>
      </c>
      <c r="T17" s="1">
        <f>Таблица13[[#This Row],[Сечение фазного]]</f>
        <v>4</v>
      </c>
      <c r="U17" s="1">
        <v>10</v>
      </c>
      <c r="V17" s="2">
        <f>IF(Таблица13[[#This Row],[Число фаз]]=1,2*O17*(22.5/S17*L17+0.08*SIN(ACOS(L17)))*(U17/1000)*(100/220),SQRT(3)*O17*(22.5/S17*L17+0.08*SIN(ACOS(L17)))*(U17/1000)*(100/380))</f>
        <v>0.46616199964473359</v>
      </c>
      <c r="W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ШС-12-1/M03-12,0-18,2-10</v>
      </c>
      <c r="X17" s="1" t="str">
        <f>TEXT(Таблица13[[#This Row],[Потери]],"0,0") &amp; "-" &amp;Таблица13[[#This Row],[Полная марка кабеля]]</f>
        <v>0,5-ВВГнг(A)-LS-5x4</v>
      </c>
      <c r="Y17" t="s">
        <v>415</v>
      </c>
      <c r="Z1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8" spans="1:26" x14ac:dyDescent="0.25">
      <c r="A18" s="1" t="s">
        <v>13</v>
      </c>
      <c r="B18" s="1">
        <v>17</v>
      </c>
      <c r="C18" s="4">
        <v>4</v>
      </c>
      <c r="D18" s="4" t="str">
        <f>"Acti9 iC60N C"&amp;Таблица13[[#This Row],[Номинал АВ]]&amp; " " &amp; Таблица13[[#This Row],[Число фаз]] &amp; "P"</f>
        <v>Acti9 iC60N C25 3P</v>
      </c>
      <c r="E18" s="1">
        <v>25</v>
      </c>
      <c r="F18" s="13" t="s">
        <v>375</v>
      </c>
      <c r="G18" s="1" t="s">
        <v>89</v>
      </c>
      <c r="H18" s="1" t="s">
        <v>68</v>
      </c>
      <c r="I18" s="1" t="s">
        <v>95</v>
      </c>
      <c r="J18" s="16">
        <v>5.5</v>
      </c>
      <c r="K18" s="1">
        <v>3</v>
      </c>
      <c r="L18" s="15">
        <v>0.8</v>
      </c>
      <c r="M18" s="1">
        <v>1</v>
      </c>
      <c r="N18" s="2">
        <f>Таблица13[[#This Row],[Pуст, кВт]]*Таблица13[[#This Row],[Kи]]</f>
        <v>5.5</v>
      </c>
      <c r="O18" s="2">
        <f>IF(Таблица13[[#This Row],[Число фаз]]=1,J18/220/L18*M18*1000,J18/3/220/L18*M18*1000)</f>
        <v>10.416666666666666</v>
      </c>
      <c r="P18" s="2" t="str">
        <f>Таблица13[[#This Row],[Коды щитков]] &amp; "/M" &amp; TEXT( Таблица13[[#This Row],[Номер АВ]], "00")</f>
        <v>ШС-12-1/M04</v>
      </c>
      <c r="Q18" s="1" t="s">
        <v>63</v>
      </c>
      <c r="R18" s="1">
        <v>5</v>
      </c>
      <c r="S18" s="1">
        <v>4</v>
      </c>
      <c r="T18" s="1">
        <f>Таблица13[[#This Row],[Сечение фазного]]</f>
        <v>4</v>
      </c>
      <c r="U18" s="1">
        <v>15</v>
      </c>
      <c r="V18" s="2">
        <f>IF(Таблица13[[#This Row],[Число фаз]]=1,2*O18*(22.5/S18*L18+0.08*SIN(ACOS(L18)))*(U18/1000)*(100/220),SQRT(3)*O18*(22.5/S18*L18+0.08*SIN(ACOS(L18)))*(U18/1000)*(100/380))</f>
        <v>0.32390489608648243</v>
      </c>
      <c r="W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ШС-12-1/M04-5,5-10,4-15</v>
      </c>
      <c r="X18" s="1" t="str">
        <f>TEXT(Таблица13[[#This Row],[Потери]],"0,0") &amp; "-" &amp;Таблица13[[#This Row],[Полная марка кабеля]]</f>
        <v>0,3-ВВГнг(A)-LS-5x4</v>
      </c>
      <c r="Y18" t="s">
        <v>415</v>
      </c>
      <c r="Z1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9" spans="1:26" x14ac:dyDescent="0.25">
      <c r="A19" s="1" t="s">
        <v>13</v>
      </c>
      <c r="B19" s="1">
        <v>18</v>
      </c>
      <c r="C19" s="4">
        <v>5</v>
      </c>
      <c r="D19" s="4" t="str">
        <f>"Acti9 iC60N C"&amp;Таблица13[[#This Row],[Номинал АВ]]&amp; " " &amp; Таблица13[[#This Row],[Число фаз]] &amp; "P"</f>
        <v>Acti9 iC60N C16 3P</v>
      </c>
      <c r="E19" s="1">
        <v>16</v>
      </c>
      <c r="F19" s="13" t="s">
        <v>320</v>
      </c>
      <c r="G19" s="1"/>
      <c r="H19" s="1" t="s">
        <v>279</v>
      </c>
      <c r="I19" s="1" t="s">
        <v>95</v>
      </c>
      <c r="J19" s="16">
        <v>4</v>
      </c>
      <c r="K19" s="1">
        <v>3</v>
      </c>
      <c r="L19" s="15">
        <v>0.8</v>
      </c>
      <c r="M19" s="1">
        <v>1</v>
      </c>
      <c r="N19" s="2">
        <f>Таблица13[[#This Row],[Pуст, кВт]]*Таблица13[[#This Row],[Kи]]</f>
        <v>4</v>
      </c>
      <c r="O19" s="2">
        <f>IF(Таблица13[[#This Row],[Число фаз]]=1,J19/220/L19*M19*1000,J19/3/220/L19*M19*1000)</f>
        <v>7.5757575757575752</v>
      </c>
      <c r="P19" s="2" t="str">
        <f>Таблица13[[#This Row],[Коды щитков]] &amp; "/M" &amp; TEXT( Таблица13[[#This Row],[Номер АВ]], "00")</f>
        <v>ШС-12-1/M05</v>
      </c>
      <c r="Q19" s="1" t="s">
        <v>63</v>
      </c>
      <c r="R19" s="1">
        <v>5</v>
      </c>
      <c r="S19" s="1">
        <v>2.5</v>
      </c>
      <c r="T19" s="1">
        <f>Таблица13[[#This Row],[Сечение фазного]]</f>
        <v>2.5</v>
      </c>
      <c r="U19" s="1">
        <v>15</v>
      </c>
      <c r="V19" s="2">
        <f>IF(Таблица13[[#This Row],[Число фаз]]=1,2*O19*(22.5/S19*L19+0.08*SIN(ACOS(L19)))*(U19/1000)*(100/220),SQRT(3)*O19*(22.5/S19*L19+0.08*SIN(ACOS(L19)))*(U19/1000)*(100/380))</f>
        <v>0.3754157970472255</v>
      </c>
      <c r="W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ШС-12-1/M05-4,0-7,6-15</v>
      </c>
      <c r="X19" s="1" t="str">
        <f>TEXT(Таблица13[[#This Row],[Потери]],"0,0") &amp; "-" &amp;Таблица13[[#This Row],[Полная марка кабеля]]</f>
        <v>0,4-ВВГнг(A)-LS-5x2,5</v>
      </c>
      <c r="Y19" t="s">
        <v>415</v>
      </c>
      <c r="Z1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0" spans="1:26" x14ac:dyDescent="0.25">
      <c r="A20" s="1" t="s">
        <v>13</v>
      </c>
      <c r="B20" s="1">
        <v>19</v>
      </c>
      <c r="C20" s="4">
        <v>6</v>
      </c>
      <c r="D20" s="4" t="str">
        <f>"Acti9 iC60N C"&amp;Таблица13[[#This Row],[Номинал АВ]]&amp; " " &amp; Таблица13[[#This Row],[Число фаз]] &amp; "P"</f>
        <v>Acti9 iC60N C10 3P</v>
      </c>
      <c r="E20" s="1">
        <v>10</v>
      </c>
      <c r="F20" s="13" t="s">
        <v>351</v>
      </c>
      <c r="G20" s="1" t="s">
        <v>93</v>
      </c>
      <c r="H20" s="1" t="s">
        <v>74</v>
      </c>
      <c r="I20" s="1" t="s">
        <v>95</v>
      </c>
      <c r="J20" s="16">
        <v>1.1000000000000001</v>
      </c>
      <c r="K20" s="1">
        <v>3</v>
      </c>
      <c r="L20" s="15">
        <v>0.8</v>
      </c>
      <c r="M20" s="1">
        <v>1</v>
      </c>
      <c r="N20" s="2">
        <f>Таблица13[[#This Row],[Pуст, кВт]]*Таблица13[[#This Row],[Kи]]</f>
        <v>1.1000000000000001</v>
      </c>
      <c r="O20" s="2">
        <f>IF(Таблица13[[#This Row],[Число фаз]]=1,J20/220/L20*M20*1000,J20/3/220/L20*M20*1000)</f>
        <v>2.0833333333333335</v>
      </c>
      <c r="P20" s="2" t="str">
        <f>Таблица13[[#This Row],[Коды щитков]] &amp; "/M" &amp; TEXT( Таблица13[[#This Row],[Номер АВ]], "00")</f>
        <v>ШС-12-1/M06</v>
      </c>
      <c r="Q20" s="1" t="s">
        <v>63</v>
      </c>
      <c r="R20" s="1">
        <v>5</v>
      </c>
      <c r="S20" s="1">
        <v>2.5</v>
      </c>
      <c r="T20" s="1">
        <f>Таблица13[[#This Row],[Сечение фазного]]</f>
        <v>2.5</v>
      </c>
      <c r="U20" s="1">
        <v>15</v>
      </c>
      <c r="V20" s="2">
        <f>IF(Таблица13[[#This Row],[Число фаз]]=1,2*O20*(22.5/S20*L20+0.08*SIN(ACOS(L20)))*(U20/1000)*(100/220),SQRT(3)*O20*(22.5/S20*L20+0.08*SIN(ACOS(L20)))*(U20/1000)*(100/380))</f>
        <v>0.10323934418798703</v>
      </c>
      <c r="W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ШС-12-1/M06-1,1-2,1-15</v>
      </c>
      <c r="X20" s="1" t="str">
        <f>TEXT(Таблица13[[#This Row],[Потери]],"0,0") &amp; "-" &amp;Таблица13[[#This Row],[Полная марка кабеля]]</f>
        <v>0,1-ВВГнг(A)-LS-5x2,5</v>
      </c>
      <c r="Y20" t="s">
        <v>415</v>
      </c>
      <c r="Z2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1" spans="1:26" x14ac:dyDescent="0.25">
      <c r="A21" s="1" t="s">
        <v>13</v>
      </c>
      <c r="B21" s="1">
        <v>20</v>
      </c>
      <c r="C21" s="4">
        <v>7</v>
      </c>
      <c r="D21" s="4" t="str">
        <f>"Acti9 iC60N C"&amp;Таблица13[[#This Row],[Номинал АВ]]&amp; " " &amp; Таблица13[[#This Row],[Число фаз]] &amp; "P"</f>
        <v>Acti9 iC60N C10 3P</v>
      </c>
      <c r="E21" s="1">
        <v>10</v>
      </c>
      <c r="F21" s="9" t="s">
        <v>390</v>
      </c>
      <c r="G21" s="1" t="s">
        <v>91</v>
      </c>
      <c r="H21" s="1" t="s">
        <v>69</v>
      </c>
      <c r="I21" s="1" t="s">
        <v>95</v>
      </c>
      <c r="J21" s="16">
        <v>0.9</v>
      </c>
      <c r="K21" s="1">
        <v>3</v>
      </c>
      <c r="L21" s="15">
        <v>0.8</v>
      </c>
      <c r="M21" s="1">
        <v>1</v>
      </c>
      <c r="N21" s="2">
        <f>Таблица13[[#This Row],[Pуст, кВт]]*Таблица13[[#This Row],[Kи]]</f>
        <v>0.9</v>
      </c>
      <c r="O21" s="2">
        <f>IF(Таблица13[[#This Row],[Число фаз]]=1,J21/220/L21*M21*1000,J21/3/220/L21*M21*1000)</f>
        <v>1.7045454545454541</v>
      </c>
      <c r="P21" s="2" t="str">
        <f>Таблица13[[#This Row],[Коды щитков]] &amp; "/M" &amp; TEXT( Таблица13[[#This Row],[Номер АВ]], "00")</f>
        <v>ШС-12-1/M07</v>
      </c>
      <c r="Q21" s="1" t="s">
        <v>63</v>
      </c>
      <c r="R21" s="1">
        <v>5</v>
      </c>
      <c r="S21" s="1">
        <v>2.5</v>
      </c>
      <c r="T21" s="1">
        <f>Таблица13[[#This Row],[Сечение фазного]]</f>
        <v>2.5</v>
      </c>
      <c r="U21" s="1">
        <v>15</v>
      </c>
      <c r="V21" s="2">
        <f>IF(Таблица13[[#This Row],[Число фаз]]=1,2*O21*(22.5/S21*L21+0.08*SIN(ACOS(L21)))*(U21/1000)*(100/220),SQRT(3)*O21*(22.5/S21*L21+0.08*SIN(ACOS(L21)))*(U21/1000)*(100/380))</f>
        <v>8.4468554335625709E-2</v>
      </c>
      <c r="W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ШС-12-1/M07-0,9-1,7-15</v>
      </c>
      <c r="X21" s="1" t="str">
        <f>TEXT(Таблица13[[#This Row],[Потери]],"0,0") &amp; "-" &amp;Таблица13[[#This Row],[Полная марка кабеля]]</f>
        <v>0,1-ВВГнг(A)-LS-5x2,5</v>
      </c>
      <c r="Y21" t="s">
        <v>415</v>
      </c>
      <c r="Z2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2" spans="1:26" x14ac:dyDescent="0.25">
      <c r="A22" s="1" t="s">
        <v>13</v>
      </c>
      <c r="B22" s="1">
        <v>21</v>
      </c>
      <c r="C22" s="4">
        <v>8</v>
      </c>
      <c r="D22" s="4" t="str">
        <f>"Acti9 iC60N C"&amp;Таблица13[[#This Row],[Номинал АВ]]&amp; " " &amp; Таблица13[[#This Row],[Число фаз]] &amp; "P"</f>
        <v>Acti9 iC60N C25 1P</v>
      </c>
      <c r="E22" s="1">
        <v>25</v>
      </c>
      <c r="F22" s="9" t="s">
        <v>391</v>
      </c>
      <c r="G22" s="1" t="s">
        <v>92</v>
      </c>
      <c r="H22" s="1" t="s">
        <v>70</v>
      </c>
      <c r="I22" s="1" t="s">
        <v>95</v>
      </c>
      <c r="J22" s="16">
        <v>1.2</v>
      </c>
      <c r="K22" s="1">
        <v>1</v>
      </c>
      <c r="L22" s="15">
        <v>0.8</v>
      </c>
      <c r="M22" s="1">
        <v>1</v>
      </c>
      <c r="N22" s="2">
        <f>Таблица13[[#This Row],[Pуст, кВт]]*Таблица13[[#This Row],[Kи]]</f>
        <v>1.2</v>
      </c>
      <c r="O22" s="2">
        <f>IF(Таблица13[[#This Row],[Число фаз]]=1,J22/220/L22*M22*1000,J22/3/220/L22*M22*1000)</f>
        <v>6.8181818181818166</v>
      </c>
      <c r="P22" s="2" t="str">
        <f>Таблица13[[#This Row],[Коды щитков]] &amp; "/M" &amp; TEXT( Таблица13[[#This Row],[Номер АВ]], "00")</f>
        <v>ШС-12-1/M08</v>
      </c>
      <c r="Q22" s="1" t="s">
        <v>63</v>
      </c>
      <c r="R22" s="1">
        <v>3</v>
      </c>
      <c r="S22" s="1">
        <v>2.5</v>
      </c>
      <c r="T22" s="1">
        <f>Таблица13[[#This Row],[Сечение фазного]]</f>
        <v>2.5</v>
      </c>
      <c r="U22" s="1">
        <v>10</v>
      </c>
      <c r="V22" s="2">
        <f>IF(Таблица13[[#This Row],[Число фаз]]=1,2*O22*(22.5/S22*L22+0.08*SIN(ACOS(L22)))*(U22/1000)*(100/220),SQRT(3)*O22*(22.5/S22*L22+0.08*SIN(ACOS(L22)))*(U22/1000)*(100/380))</f>
        <v>0.44925619834710734</v>
      </c>
      <c r="W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ШС-12-1/M08-1,2-6,8-10</v>
      </c>
      <c r="X22" s="1" t="str">
        <f>TEXT(Таблица13[[#This Row],[Потери]],"0,0") &amp; "-" &amp;Таблица13[[#This Row],[Полная марка кабеля]]</f>
        <v>0,4-ВВГнг(A)-LS-3x2,5</v>
      </c>
      <c r="Y22" t="s">
        <v>415</v>
      </c>
      <c r="Z2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3" spans="1:26" x14ac:dyDescent="0.25">
      <c r="A23" s="1" t="s">
        <v>13</v>
      </c>
      <c r="B23" s="1">
        <v>22</v>
      </c>
      <c r="C23" s="4">
        <v>9</v>
      </c>
      <c r="D23" s="4" t="str">
        <f>"Acti9 DPN N Vigi C" &amp; Таблица13[[#This Row],[Номинал АВ]]&amp; " 1P+N 30 мА"</f>
        <v>Acti9 DPN N Vigi C16 1P+N 30 мА</v>
      </c>
      <c r="E23" s="1">
        <v>16</v>
      </c>
      <c r="F23" s="9"/>
      <c r="G23" s="1"/>
      <c r="H23" s="1" t="s">
        <v>72</v>
      </c>
      <c r="I23" s="1" t="s">
        <v>95</v>
      </c>
      <c r="J23" s="16">
        <v>2</v>
      </c>
      <c r="K23" s="1">
        <v>1</v>
      </c>
      <c r="L23" s="15">
        <v>0.9</v>
      </c>
      <c r="M23" s="1">
        <v>1</v>
      </c>
      <c r="N23" s="2">
        <f>Таблица13[[#This Row],[Pуст, кВт]]*Таблица13[[#This Row],[Kи]]</f>
        <v>2</v>
      </c>
      <c r="O23" s="2">
        <f>IF(Таблица13[[#This Row],[Число фаз]]=1,J23/220/L23*M23*1000,J23/3/220/L23*M23*1000)</f>
        <v>10.1010101010101</v>
      </c>
      <c r="P23" s="2" t="str">
        <f>Таблица13[[#This Row],[Коды щитков]] &amp; "/M" &amp; TEXT( Таблица13[[#This Row],[Номер АВ]], "00")</f>
        <v>ШС-12-1/M09</v>
      </c>
      <c r="Q23" s="1" t="s">
        <v>63</v>
      </c>
      <c r="R23" s="1">
        <v>3</v>
      </c>
      <c r="S23" s="1">
        <v>2.5</v>
      </c>
      <c r="T23" s="1">
        <f>Таблица13[[#This Row],[Сечение фазного]]</f>
        <v>2.5</v>
      </c>
      <c r="U23" s="1">
        <v>10</v>
      </c>
      <c r="V23" s="2">
        <f>IF(Таблица13[[#This Row],[Число фаз]]=1,2*O23*(22.5/S23*L23+0.08*SIN(ACOS(L23)))*(U23/1000)*(100/220),SQRT(3)*O23*(22.5/S23*L23+0.08*SIN(ACOS(L23)))*(U23/1000)*(100/380))</f>
        <v>0.74700378251132449</v>
      </c>
      <c r="W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ШС-12-1/M09-2,0-10,1-10</v>
      </c>
      <c r="X23" s="1" t="str">
        <f>TEXT(Таблица13[[#This Row],[Потери]],"0,0") &amp; "-" &amp;Таблица13[[#This Row],[Полная марка кабеля]]</f>
        <v>0,7-ВВГнг(A)-LS-3x2,5</v>
      </c>
      <c r="Y23" t="s">
        <v>415</v>
      </c>
      <c r="Z2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4" spans="1:26" x14ac:dyDescent="0.25">
      <c r="A24" s="1" t="s">
        <v>13</v>
      </c>
      <c r="B24" s="1">
        <v>23</v>
      </c>
      <c r="C24" s="4">
        <v>10</v>
      </c>
      <c r="D24" s="4" t="str">
        <f>"Acti9 DPN N Vigi C" &amp; Таблица13[[#This Row],[Номинал АВ]]&amp; " 1P+N 30 мА"</f>
        <v>Acti9 DPN N Vigi C10 1P+N 30 мА</v>
      </c>
      <c r="E24" s="1">
        <v>10</v>
      </c>
      <c r="F24" s="9"/>
      <c r="G24" s="1"/>
      <c r="H24" s="1" t="s">
        <v>72</v>
      </c>
      <c r="I24" s="1" t="s">
        <v>95</v>
      </c>
      <c r="J24" s="16">
        <v>2</v>
      </c>
      <c r="K24" s="1">
        <v>1</v>
      </c>
      <c r="L24" s="15">
        <v>0.9</v>
      </c>
      <c r="M24" s="1">
        <v>1</v>
      </c>
      <c r="N24" s="2">
        <f>Таблица13[[#This Row],[Pуст, кВт]]*Таблица13[[#This Row],[Kи]]</f>
        <v>2</v>
      </c>
      <c r="O24" s="2">
        <f>IF(Таблица13[[#This Row],[Число фаз]]=1,J24/220/L24*M24*1000,J24/3/220/L24*M24*1000)</f>
        <v>10.1010101010101</v>
      </c>
      <c r="P24" s="2" t="str">
        <f>Таблица13[[#This Row],[Коды щитков]] &amp; "/M" &amp; TEXT( Таблица13[[#This Row],[Номер АВ]], "00")</f>
        <v>ШС-12-1/M10</v>
      </c>
      <c r="Q24" s="1" t="s">
        <v>63</v>
      </c>
      <c r="R24" s="1">
        <v>3</v>
      </c>
      <c r="S24" s="1">
        <v>2.5</v>
      </c>
      <c r="T24" s="1">
        <f>Таблица13[[#This Row],[Сечение фазного]]</f>
        <v>2.5</v>
      </c>
      <c r="U24" s="1">
        <v>10</v>
      </c>
      <c r="V24" s="2">
        <f>IF(Таблица13[[#This Row],[Число фаз]]=1,2*O24*(22.5/S24*L24+0.08*SIN(ACOS(L24)))*(U24/1000)*(100/220),SQRT(3)*O24*(22.5/S24*L24+0.08*SIN(ACOS(L24)))*(U24/1000)*(100/380))</f>
        <v>0.74700378251132449</v>
      </c>
      <c r="W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ШС-12-1/M10-2,0-10,1-10</v>
      </c>
      <c r="X24" s="1" t="str">
        <f>TEXT(Таблица13[[#This Row],[Потери]],"0,0") &amp; "-" &amp;Таблица13[[#This Row],[Полная марка кабеля]]</f>
        <v>0,7-ВВГнг(A)-LS-3x2,5</v>
      </c>
      <c r="Y24" t="s">
        <v>415</v>
      </c>
      <c r="Z2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5" spans="1:26" x14ac:dyDescent="0.25">
      <c r="A25" s="1" t="s">
        <v>13</v>
      </c>
      <c r="B25" s="1">
        <v>24</v>
      </c>
      <c r="C25" s="4">
        <v>11</v>
      </c>
      <c r="D25" s="4" t="str">
        <f>"Acti9 iC60N C"&amp;Таблица13[[#This Row],[Номинал АВ]]&amp; " " &amp; Таблица13[[#This Row],[Число фаз]] &amp; "P"</f>
        <v>Acti9 iC60N C10 1P</v>
      </c>
      <c r="E25" s="1">
        <v>10</v>
      </c>
      <c r="F25" s="9"/>
      <c r="G25" s="1"/>
      <c r="H25" s="1" t="s">
        <v>71</v>
      </c>
      <c r="I25" s="1" t="s">
        <v>95</v>
      </c>
      <c r="J25" s="16">
        <v>0.5</v>
      </c>
      <c r="K25" s="1">
        <v>1</v>
      </c>
      <c r="L25" s="15">
        <v>0.9</v>
      </c>
      <c r="M25" s="1">
        <v>1</v>
      </c>
      <c r="N25" s="2">
        <f>Таблица13[[#This Row],[Pуст, кВт]]*Таблица13[[#This Row],[Kи]]</f>
        <v>0.5</v>
      </c>
      <c r="O25" s="2">
        <f>IF(Таблица13[[#This Row],[Число фаз]]=1,J25/220/L25*M25*1000,J25/3/220/L25*M25*1000)</f>
        <v>2.5252525252525251</v>
      </c>
      <c r="P25" s="2" t="str">
        <f>Таблица13[[#This Row],[Коды щитков]] &amp; "/M" &amp; TEXT( Таблица13[[#This Row],[Номер АВ]], "00")</f>
        <v>ШС-12-1/M11</v>
      </c>
      <c r="Q25" s="1" t="s">
        <v>63</v>
      </c>
      <c r="R25" s="1">
        <v>3</v>
      </c>
      <c r="S25" s="1">
        <v>2.5</v>
      </c>
      <c r="T25" s="1">
        <f>Таблица13[[#This Row],[Сечение фазного]]</f>
        <v>2.5</v>
      </c>
      <c r="U25" s="1">
        <v>10</v>
      </c>
      <c r="V25" s="2">
        <f>IF(Таблица13[[#This Row],[Число фаз]]=1,2*O25*(22.5/S25*L25+0.08*SIN(ACOS(L25)))*(U25/1000)*(100/220),SQRT(3)*O25*(22.5/S25*L25+0.08*SIN(ACOS(L25)))*(U25/1000)*(100/380))</f>
        <v>0.18675094562783112</v>
      </c>
      <c r="W2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ШС-12-1/M11-0,5-2,5-10</v>
      </c>
      <c r="X25" s="1" t="str">
        <f>TEXT(Таблица13[[#This Row],[Потери]],"0,0") &amp; "-" &amp;Таблица13[[#This Row],[Полная марка кабеля]]</f>
        <v>0,2-ВВГнг(A)-LS-3x2,5</v>
      </c>
      <c r="Y25" t="s">
        <v>415</v>
      </c>
      <c r="Z2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6" spans="1:26" x14ac:dyDescent="0.25">
      <c r="A26" s="1" t="s">
        <v>13</v>
      </c>
      <c r="B26" s="1">
        <v>25</v>
      </c>
      <c r="C26" s="4">
        <v>12</v>
      </c>
      <c r="D26" s="4" t="str">
        <f>"Acti9 DPN N Vigi C" &amp; Таблица13[[#This Row],[Номинал АВ]]&amp; " 1P+N 30 мА"</f>
        <v>Acti9 DPN N Vigi C10 1P+N 30 мА</v>
      </c>
      <c r="E26" s="1">
        <v>10</v>
      </c>
      <c r="F26" s="9"/>
      <c r="G26" s="1"/>
      <c r="H26" s="1" t="s">
        <v>72</v>
      </c>
      <c r="I26" s="1" t="s">
        <v>95</v>
      </c>
      <c r="J26" s="16">
        <v>2</v>
      </c>
      <c r="K26" s="1">
        <v>1</v>
      </c>
      <c r="L26" s="15">
        <v>0.9</v>
      </c>
      <c r="M26" s="1">
        <v>1</v>
      </c>
      <c r="N26" s="2">
        <f>Таблица13[[#This Row],[Pуст, кВт]]*Таблица13[[#This Row],[Kи]]</f>
        <v>2</v>
      </c>
      <c r="O26" s="2">
        <f>IF(Таблица13[[#This Row],[Число фаз]]=1,J26/220/L26*M26*1000,J26/3/220/L26*M26*1000)</f>
        <v>10.1010101010101</v>
      </c>
      <c r="P26" s="2" t="str">
        <f>Таблица13[[#This Row],[Коды щитков]] &amp; "/M" &amp; TEXT( Таблица13[[#This Row],[Номер АВ]], "00")</f>
        <v>ШС-12-1/M12</v>
      </c>
      <c r="Q26" s="1" t="s">
        <v>63</v>
      </c>
      <c r="R26" s="1">
        <v>3</v>
      </c>
      <c r="S26" s="1">
        <v>2.5</v>
      </c>
      <c r="T26" s="1">
        <f>Таблица13[[#This Row],[Сечение фазного]]</f>
        <v>2.5</v>
      </c>
      <c r="U26" s="1">
        <v>10</v>
      </c>
      <c r="V26" s="2">
        <f>IF(Таблица13[[#This Row],[Число фаз]]=1,2*O26*(22.5/S26*L26+0.08*SIN(ACOS(L26)))*(U26/1000)*(100/220),SQRT(3)*O26*(22.5/S26*L26+0.08*SIN(ACOS(L26)))*(U26/1000)*(100/380))</f>
        <v>0.74700378251132449</v>
      </c>
      <c r="W2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ШС-12-1/M12-2,0-10,1-10</v>
      </c>
      <c r="X26" s="1" t="str">
        <f>TEXT(Таблица13[[#This Row],[Потери]],"0,0") &amp; "-" &amp;Таблица13[[#This Row],[Полная марка кабеля]]</f>
        <v>0,7-ВВГнг(A)-LS-3x2,5</v>
      </c>
      <c r="Y26" t="s">
        <v>415</v>
      </c>
      <c r="Z2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7" spans="1:26" x14ac:dyDescent="0.25">
      <c r="A27" s="1" t="s">
        <v>13</v>
      </c>
      <c r="B27" s="1">
        <v>26</v>
      </c>
      <c r="C27" s="4">
        <v>13</v>
      </c>
      <c r="D27" s="4" t="str">
        <f>"Acti9 iC60N C"&amp;Таблица13[[#This Row],[Номинал АВ]]&amp; " " &amp; Таблица13[[#This Row],[Число фаз]] &amp; "P"</f>
        <v>Acti9 iC60N C10 1P</v>
      </c>
      <c r="E27" s="1">
        <v>10</v>
      </c>
      <c r="F27" s="9"/>
      <c r="G27" s="1"/>
      <c r="H27" s="1" t="s">
        <v>73</v>
      </c>
      <c r="I27" s="1" t="s">
        <v>95</v>
      </c>
      <c r="J27" s="16">
        <f>12*0.038</f>
        <v>0.45599999999999996</v>
      </c>
      <c r="K27" s="1">
        <v>1</v>
      </c>
      <c r="L27" s="15">
        <v>0.96</v>
      </c>
      <c r="M27" s="1">
        <v>1</v>
      </c>
      <c r="N27" s="2">
        <f>Таблица13[[#This Row],[Pуст, кВт]]*Таблица13[[#This Row],[Kи]]</f>
        <v>0.45599999999999996</v>
      </c>
      <c r="O27" s="2">
        <f>IF(Таблица13[[#This Row],[Число фаз]]=1,J27/220/L27*M27*1000,J27/3/220/L27*M27*1000)</f>
        <v>2.1590909090909092</v>
      </c>
      <c r="P27" s="2" t="str">
        <f>Таблица13[[#This Row],[Коды щитков]] &amp; "/M" &amp; TEXT( Таблица13[[#This Row],[Номер АВ]], "00")</f>
        <v>ШС-12-1/M13</v>
      </c>
      <c r="Q27" s="1" t="s">
        <v>63</v>
      </c>
      <c r="R27" s="1">
        <v>3</v>
      </c>
      <c r="S27" s="1">
        <v>1.5</v>
      </c>
      <c r="T27" s="1">
        <f>Таблица13[[#This Row],[Сечение фазного]]</f>
        <v>1.5</v>
      </c>
      <c r="U27" s="1">
        <v>45</v>
      </c>
      <c r="V27" s="2">
        <f>IF(Таблица13[[#This Row],[Число фаз]]=1,2*O27*(22.5/S27*L27+0.08*SIN(ACOS(L27)))*(U27/1000)*(100/220),SQRT(3)*O27*(22.5/S27*L27+0.08*SIN(ACOS(L27)))*(U27/1000)*(100/380))</f>
        <v>1.2738793388429748</v>
      </c>
      <c r="W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ШС-12-1/M13-0,5-2,2-45</v>
      </c>
      <c r="X27" s="1" t="str">
        <f>TEXT(Таблица13[[#This Row],[Потери]],"0,0") &amp; "-" &amp;Таблица13[[#This Row],[Полная марка кабеля]]</f>
        <v>1,3-ВВГнг(A)-LS-3x1,5</v>
      </c>
      <c r="Y27" t="s">
        <v>415</v>
      </c>
      <c r="Z2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8" spans="1:26" x14ac:dyDescent="0.25">
      <c r="A28" s="1" t="s">
        <v>14</v>
      </c>
      <c r="B28" s="1">
        <v>27</v>
      </c>
      <c r="C28" s="4">
        <v>0</v>
      </c>
      <c r="D28" s="4" t="str">
        <f>"ВА57-35 "&amp; Таблица13[[#This Row],[Число фаз]] &amp; "P " &amp;Таблица13[[#This Row],[Номинал АВ]] &amp; " А"</f>
        <v>ВА57-35 3P 250 А</v>
      </c>
      <c r="E28" s="1">
        <v>250</v>
      </c>
      <c r="F28" s="9"/>
      <c r="G28" s="1"/>
      <c r="H28" s="1"/>
      <c r="I28" s="1"/>
      <c r="K28" s="1">
        <v>3</v>
      </c>
      <c r="N28" s="2">
        <f>Таблица13[[#This Row],[Pуст, кВт]]*Таблица13[[#This Row],[Kи]]</f>
        <v>0</v>
      </c>
      <c r="O28" s="2" t="e">
        <f>IF(Таблица13[[#This Row],[Число фаз]]=1,J28/220/L28*M28*1000,J28/3/220/L28*M28*1000)</f>
        <v>#DIV/0!</v>
      </c>
      <c r="P28" s="2" t="str">
        <f>Таблица13[[#This Row],[Коды щитков]] &amp; "/M" &amp; TEXT( Таблица13[[#This Row],[Номер АВ]], "00")</f>
        <v>/M00</v>
      </c>
      <c r="Q28" s="1"/>
      <c r="R28" s="1"/>
      <c r="S28" s="1"/>
      <c r="T28" s="25">
        <f>Таблица13[[#This Row],[Сечение фазного]]</f>
        <v>0</v>
      </c>
      <c r="U28" s="1"/>
      <c r="V28" s="2" t="e">
        <f>IF(Таблица13[[#This Row],[Число фаз]]=1,2*O28*(22.5/S28*L28+0.08*SIN(ACOS(L28)))*(U28/1000)*(100/220),SQRT(3)*O28*(22.5/S28*L28+0.08*SIN(ACOS(L28)))*(U28/1000)*(100/380))</f>
        <v>#DIV/0!</v>
      </c>
      <c r="W28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8" s="25" t="e">
        <f>TEXT(Таблица13[[#This Row],[Потери]],"0,0") &amp; "-" &amp;Таблица13[[#This Row],[Полная марка кабеля]]</f>
        <v>#DIV/0!</v>
      </c>
      <c r="Y28" s="1"/>
      <c r="Z28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9" spans="1:26" x14ac:dyDescent="0.25">
      <c r="A29" s="1" t="s">
        <v>14</v>
      </c>
      <c r="B29" s="1">
        <v>28</v>
      </c>
      <c r="C29" s="4">
        <v>1</v>
      </c>
      <c r="D29" s="4" t="str">
        <f>"ВА57-35 "&amp; Таблица13[[#This Row],[Число фаз]] &amp; "P " &amp;Таблица13[[#This Row],[Номинал АВ]] &amp; " А"</f>
        <v>ВА57-35 3P 125 А</v>
      </c>
      <c r="E29" s="1">
        <v>125</v>
      </c>
      <c r="F29" s="9" t="s">
        <v>13</v>
      </c>
      <c r="G29" s="1" t="s">
        <v>511</v>
      </c>
      <c r="H29" s="1" t="s">
        <v>263</v>
      </c>
      <c r="I29" s="1" t="s">
        <v>95</v>
      </c>
      <c r="J29" s="2">
        <v>67.656000000000006</v>
      </c>
      <c r="K29" s="1">
        <v>3</v>
      </c>
      <c r="L29" s="15">
        <v>0.94528293099433347</v>
      </c>
      <c r="M29" s="1">
        <v>0.8</v>
      </c>
      <c r="N29" s="2">
        <f>Таблица13[[#This Row],[Pуст, кВт]]*Таблица13[[#This Row],[Kи]]</f>
        <v>54.124800000000008</v>
      </c>
      <c r="O29" s="2">
        <f>IF(Таблица13[[#This Row],[Число фаз]]=1,J29/220/L29*M29*1000,J29/3/220/L29*M29*1000)</f>
        <v>86.75420875420879</v>
      </c>
      <c r="P29" s="2" t="str">
        <f>Таблица13[[#This Row],[Коды щитков]] &amp; "/M" &amp; TEXT( Таблица13[[#This Row],[Номер АВ]], "00")</f>
        <v>ШС-12/M01</v>
      </c>
      <c r="Q29" s="1" t="s">
        <v>7</v>
      </c>
      <c r="R29" s="1">
        <v>4</v>
      </c>
      <c r="S29" s="1">
        <v>70</v>
      </c>
      <c r="T29" s="1">
        <v>25</v>
      </c>
      <c r="U29" s="1">
        <v>50</v>
      </c>
      <c r="V29" s="2">
        <f>IF(Таблица13[[#This Row],[Число фаз]]=1,2*O29*(22.5/S29*L29+0.08*SIN(ACOS(L29)))*(U29/1000)*(100/220),SQRT(3)*O29*(22.5/S29*L29+0.08*SIN(ACOS(L29)))*(U29/1000)*(100/380))</f>
        <v>0.6523399541544691</v>
      </c>
      <c r="W2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ШС-12/M01-67,7-86,8-50</v>
      </c>
      <c r="X29" s="1" t="str">
        <f>TEXT(Таблица13[[#This Row],[Потери]],"0,0") &amp; "-" &amp;Таблица13[[#This Row],[Полная марка кабеля]]</f>
        <v>0,7-КГ-3x70+1x25</v>
      </c>
      <c r="Y29" t="s">
        <v>416</v>
      </c>
      <c r="Z2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КГ-3x70+1x25</v>
      </c>
    </row>
    <row r="30" spans="1:26" x14ac:dyDescent="0.25">
      <c r="A30" s="1" t="s">
        <v>14</v>
      </c>
      <c r="B30" s="1">
        <v>29</v>
      </c>
      <c r="C30" s="4">
        <v>2</v>
      </c>
      <c r="D30" s="4" t="str">
        <f>"ВА57-35 "&amp; Таблица13[[#This Row],[Число фаз]] &amp; "P " &amp;Таблица13[[#This Row],[Номинал АВ]] &amp; " А"</f>
        <v>ВА57-35 3P 250 А</v>
      </c>
      <c r="E30" s="1">
        <v>250</v>
      </c>
      <c r="F30" s="13" t="s">
        <v>297</v>
      </c>
      <c r="G30" s="1" t="s">
        <v>84</v>
      </c>
      <c r="H30" s="1" t="s">
        <v>94</v>
      </c>
      <c r="I30" s="1" t="s">
        <v>96</v>
      </c>
      <c r="J30" s="16">
        <v>76</v>
      </c>
      <c r="K30" s="1">
        <v>3</v>
      </c>
      <c r="L30" s="15">
        <v>0.8</v>
      </c>
      <c r="M30" s="1">
        <v>1</v>
      </c>
      <c r="N30" s="2">
        <f>Таблица13[[#This Row],[Pуст, кВт]]*Таблица13[[#This Row],[Kи]]</f>
        <v>76</v>
      </c>
      <c r="O30" s="2">
        <f>IF(Таблица13[[#This Row],[Число фаз]]=1,J30/220/L30*M30*1000,J30/3/220/L30*M30*1000)</f>
        <v>143.93939393939391</v>
      </c>
      <c r="P30" s="2" t="str">
        <f>Таблица13[[#This Row],[Коды щитков]] &amp; "/M" &amp; TEXT( Таблица13[[#This Row],[Номер АВ]], "00")</f>
        <v>ШС-12/M02</v>
      </c>
      <c r="Q30" s="1" t="s">
        <v>63</v>
      </c>
      <c r="R30" s="1">
        <v>5</v>
      </c>
      <c r="S30" s="1">
        <v>95</v>
      </c>
      <c r="T30" s="1">
        <f>Таблица13[[#This Row],[Сечение фазного]]</f>
        <v>95</v>
      </c>
      <c r="U30" s="1">
        <v>100</v>
      </c>
      <c r="V30" s="2">
        <f>IF(Таблица13[[#This Row],[Число фаз]]=1,2*O30*(22.5/S30*L30+0.08*SIN(ACOS(L30)))*(U30/1000)*(100/220),SQRT(3)*O30*(22.5/S30*L30+0.08*SIN(ACOS(L30)))*(U30/1000)*(100/380))</f>
        <v>1.5580169943681763</v>
      </c>
      <c r="W3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ШС-12/M02-76,0-143,9-100</v>
      </c>
      <c r="X30" s="1" t="str">
        <f>TEXT(Таблица13[[#This Row],[Потери]],"0,0") &amp; "-" &amp;Таблица13[[#This Row],[Полная марка кабеля]]</f>
        <v>1,6-ВВГнг(A)-LS-5x95</v>
      </c>
      <c r="Y30" t="s">
        <v>416</v>
      </c>
      <c r="Z3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ВВГнг(A)-LS-5x95</v>
      </c>
    </row>
    <row r="31" spans="1:26" x14ac:dyDescent="0.25">
      <c r="A31" s="1" t="s">
        <v>14</v>
      </c>
      <c r="B31" s="1">
        <v>30</v>
      </c>
      <c r="C31" s="4">
        <v>3</v>
      </c>
      <c r="D31" s="4" t="str">
        <f>"Acti9 iC60N C"&amp;Таблица13[[#This Row],[Номинал АВ]]&amp; " " &amp; Таблица13[[#This Row],[Число фаз]] &amp; "P"</f>
        <v>Acti9 iC60N C25 3P</v>
      </c>
      <c r="E31" s="1">
        <v>25</v>
      </c>
      <c r="F31" s="13" t="s">
        <v>298</v>
      </c>
      <c r="G31" s="1" t="s">
        <v>90</v>
      </c>
      <c r="H31" s="1" t="s">
        <v>94</v>
      </c>
      <c r="I31" s="1" t="s">
        <v>95</v>
      </c>
      <c r="J31" s="16">
        <v>4</v>
      </c>
      <c r="K31" s="1">
        <v>3</v>
      </c>
      <c r="L31" s="15">
        <v>0.8</v>
      </c>
      <c r="M31" s="1">
        <v>1</v>
      </c>
      <c r="N31" s="2">
        <f>Таблица13[[#This Row],[Pуст, кВт]]*Таблица13[[#This Row],[Kи]]</f>
        <v>4</v>
      </c>
      <c r="O31" s="2">
        <f>IF(Таблица13[[#This Row],[Число фаз]]=1,J31/220/L31*M31*1000,J31/3/220/L31*M31*1000)</f>
        <v>7.5757575757575752</v>
      </c>
      <c r="P31" s="2" t="str">
        <f>Таблица13[[#This Row],[Коды щитков]] &amp; "/M" &amp; TEXT( Таблица13[[#This Row],[Номер АВ]], "00")</f>
        <v>ШС-12/M03</v>
      </c>
      <c r="Q31" s="1" t="s">
        <v>63</v>
      </c>
      <c r="R31" s="1">
        <v>5</v>
      </c>
      <c r="S31" s="1">
        <v>6</v>
      </c>
      <c r="T31" s="1">
        <f>Таблица13[[#This Row],[Сечение фазного]]</f>
        <v>6</v>
      </c>
      <c r="U31" s="1">
        <v>20</v>
      </c>
      <c r="V31" s="2">
        <f>IF(Таблица13[[#This Row],[Число фаз]]=1,2*O31*(22.5/S31*L31+0.08*SIN(ACOS(L31)))*(U31/1000)*(100/220),SQRT(3)*O31*(22.5/S31*L31+0.08*SIN(ACOS(L31)))*(U31/1000)*(100/380))</f>
        <v>0.2104980407284664</v>
      </c>
      <c r="W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ШС-12/M03-4,0-7,6-20</v>
      </c>
      <c r="X31" s="1" t="str">
        <f>TEXT(Таблица13[[#This Row],[Потери]],"0,0") &amp; "-" &amp;Таблица13[[#This Row],[Полная марка кабеля]]</f>
        <v>0,2-ВВГнг(A)-LS-5x6</v>
      </c>
      <c r="Y31" t="s">
        <v>416</v>
      </c>
      <c r="Z3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32" spans="1:26" x14ac:dyDescent="0.25">
      <c r="A32" s="1" t="s">
        <v>14</v>
      </c>
      <c r="B32" s="1">
        <v>31</v>
      </c>
      <c r="C32" s="4">
        <v>4</v>
      </c>
      <c r="D32" s="4" t="str">
        <f>"ВА57-35 "&amp; Таблица13[[#This Row],[Число фаз]] &amp; "P " &amp;Таблица13[[#This Row],[Номинал АВ]] &amp; " А"</f>
        <v>ВА57-35 3P 250 А</v>
      </c>
      <c r="E32" s="1">
        <v>250</v>
      </c>
      <c r="F32" s="9" t="s">
        <v>12</v>
      </c>
      <c r="G32" s="1" t="s">
        <v>511</v>
      </c>
      <c r="H32" s="1" t="s">
        <v>263</v>
      </c>
      <c r="I32" s="1" t="s">
        <v>96</v>
      </c>
      <c r="J32" s="2">
        <v>114.532</v>
      </c>
      <c r="K32" s="1">
        <v>3</v>
      </c>
      <c r="L32" s="15">
        <v>0.830660998851663</v>
      </c>
      <c r="M32" s="1">
        <v>0.8</v>
      </c>
      <c r="N32" s="2">
        <f>Таблица13[[#This Row],[Pуст, кВт]]*Таблица13[[#This Row],[Kи]]</f>
        <v>91.625600000000006</v>
      </c>
      <c r="O32" s="2">
        <f>IF(Таблица13[[#This Row],[Число фаз]]=1,J32/220/L32*M32*1000,J32/3/220/L32*M32*1000)</f>
        <v>167.12794612794613</v>
      </c>
      <c r="P32" s="2" t="str">
        <f>Таблица13[[#This Row],[Коды щитков]] &amp; "/M" &amp; TEXT( Таблица13[[#This Row],[Номер АВ]], "00")</f>
        <v>ШС-12/M04</v>
      </c>
      <c r="Q32" s="1" t="s">
        <v>7</v>
      </c>
      <c r="R32" s="1">
        <v>4</v>
      </c>
      <c r="S32" s="1">
        <v>95</v>
      </c>
      <c r="T32" s="1">
        <v>35</v>
      </c>
      <c r="U32" s="1">
        <v>50</v>
      </c>
      <c r="V32" s="2">
        <f>IF(Таблица13[[#This Row],[Число фаз]]=1,2*O32*(22.5/S32*L32+0.08*SIN(ACOS(L32)))*(U32/1000)*(100/220),SQRT(3)*O32*(22.5/S32*L32+0.08*SIN(ACOS(L32)))*(U32/1000)*(100/380))</f>
        <v>0.9189956164099673</v>
      </c>
      <c r="W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ШС-12/M04-114,5-167,1-50</v>
      </c>
      <c r="X32" s="1" t="str">
        <f>TEXT(Таблица13[[#This Row],[Потери]],"0,0") &amp; "-" &amp;Таблица13[[#This Row],[Полная марка кабеля]]</f>
        <v>0,9-КГ-3x95+1x35</v>
      </c>
      <c r="Y32" t="s">
        <v>416</v>
      </c>
      <c r="Z3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33" spans="1:26" x14ac:dyDescent="0.25">
      <c r="A33" s="1" t="s">
        <v>15</v>
      </c>
      <c r="B33" s="1">
        <v>32</v>
      </c>
      <c r="C33" s="4">
        <v>0</v>
      </c>
      <c r="D33" s="4" t="str">
        <f>"ВА57-35 "&amp; Таблица13[[#This Row],[Число фаз]] &amp; "P " &amp;Таблица13[[#This Row],[Номинал АВ]] &amp; " А"</f>
        <v>ВА57-35 3P 250 А</v>
      </c>
      <c r="E33" s="1">
        <v>250</v>
      </c>
      <c r="F33" s="9"/>
      <c r="G33" s="1"/>
      <c r="H33" s="1"/>
      <c r="I33" s="1"/>
      <c r="K33" s="1">
        <v>3</v>
      </c>
      <c r="N33" s="2">
        <f>Таблица13[[#This Row],[Pуст, кВт]]*Таблица13[[#This Row],[Kи]]</f>
        <v>0</v>
      </c>
      <c r="O33" s="2" t="e">
        <f>IF(Таблица13[[#This Row],[Число фаз]]=1,J33/220/L33*M33*1000,J33/3/220/L33*M33*1000)</f>
        <v>#DIV/0!</v>
      </c>
      <c r="P33" s="2" t="str">
        <f>Таблица13[[#This Row],[Коды щитков]] &amp; "/M" &amp; TEXT( Таблица13[[#This Row],[Номер АВ]], "00")</f>
        <v>/M00</v>
      </c>
      <c r="Q33" s="1"/>
      <c r="R33" s="1"/>
      <c r="S33" s="1"/>
      <c r="T33" s="25">
        <f>Таблица13[[#This Row],[Сечение фазного]]</f>
        <v>0</v>
      </c>
      <c r="U33" s="1"/>
      <c r="V33" s="2" t="e">
        <f>IF(Таблица13[[#This Row],[Число фаз]]=1,2*O33*(22.5/S33*L33+0.08*SIN(ACOS(L33)))*(U33/1000)*(100/220),SQRT(3)*O33*(22.5/S33*L33+0.08*SIN(ACOS(L33)))*(U33/1000)*(100/380))</f>
        <v>#DIV/0!</v>
      </c>
      <c r="W3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33" s="25" t="e">
        <f>TEXT(Таблица13[[#This Row],[Потери]],"0,0") &amp; "-" &amp;Таблица13[[#This Row],[Полная марка кабеля]]</f>
        <v>#DIV/0!</v>
      </c>
      <c r="Y33" s="1"/>
      <c r="Z33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34" spans="1:26" x14ac:dyDescent="0.25">
      <c r="A34" s="1" t="s">
        <v>15</v>
      </c>
      <c r="B34" s="1">
        <v>33</v>
      </c>
      <c r="C34" s="4">
        <v>1</v>
      </c>
      <c r="D34" s="4" t="str">
        <f>"Acti9 iC60N C"&amp;Таблица13[[#This Row],[Номинал АВ]]&amp; " " &amp; Таблица13[[#This Row],[Число фаз]] &amp; "P"</f>
        <v>Acti9 iC60N C63 3P</v>
      </c>
      <c r="E34" s="1">
        <v>63</v>
      </c>
      <c r="F34" s="19" t="s">
        <v>286</v>
      </c>
      <c r="G34" s="1" t="s">
        <v>99</v>
      </c>
      <c r="H34" s="1" t="s">
        <v>94</v>
      </c>
      <c r="I34" s="1" t="s">
        <v>98</v>
      </c>
      <c r="J34" s="16">
        <v>27</v>
      </c>
      <c r="K34" s="1">
        <v>3</v>
      </c>
      <c r="L34" s="15">
        <v>0.8</v>
      </c>
      <c r="M34" s="1">
        <v>1</v>
      </c>
      <c r="N34" s="2">
        <f>Таблица13[[#This Row],[Pуст, кВт]]*Таблица13[[#This Row],[Kи]]</f>
        <v>27</v>
      </c>
      <c r="O34" s="2">
        <f>IF(Таблица13[[#This Row],[Число фаз]]=1,J34/220/L34*M34*1000,J34/3/220/L34*M34*1000)</f>
        <v>51.136363636363633</v>
      </c>
      <c r="P34" s="2" t="str">
        <f>Таблица13[[#This Row],[Коды щитков]] &amp; "/M" &amp; TEXT( Таблица13[[#This Row],[Номер АВ]], "00")</f>
        <v>ШС-7-2/M01</v>
      </c>
      <c r="Q34" s="1" t="s">
        <v>63</v>
      </c>
      <c r="R34" s="1">
        <v>5</v>
      </c>
      <c r="S34" s="1">
        <v>16</v>
      </c>
      <c r="T34" s="1">
        <f>Таблица13[[#This Row],[Сечение фазного]]</f>
        <v>16</v>
      </c>
      <c r="U34" s="1">
        <v>40</v>
      </c>
      <c r="V34" s="2">
        <f>IF(Таблица13[[#This Row],[Число фаз]]=1,2*O34*(22.5/S34*L34+0.08*SIN(ACOS(L34)))*(U34/1000)*(100/220),SQRT(3)*O34*(22.5/S34*L34+0.08*SIN(ACOS(L34)))*(U34/1000)*(100/380))</f>
        <v>1.0936160511665451</v>
      </c>
      <c r="W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ШС-7-2/M01-27,0-51,1-40</v>
      </c>
      <c r="X34" s="1" t="str">
        <f>TEXT(Таблица13[[#This Row],[Потери]],"0,0") &amp; "-" &amp;Таблица13[[#This Row],[Полная марка кабеля]]</f>
        <v>1,1-ВВГнг(A)-LS-5x16</v>
      </c>
      <c r="Y34" t="s">
        <v>417</v>
      </c>
      <c r="Z3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35" spans="1:26" x14ac:dyDescent="0.25">
      <c r="A35" s="1" t="s">
        <v>15</v>
      </c>
      <c r="B35" s="1">
        <v>34</v>
      </c>
      <c r="C35" s="4">
        <v>2</v>
      </c>
      <c r="D35" s="4" t="str">
        <f>"Acti9 iC60N C"&amp;Таблица13[[#This Row],[Номинал АВ]]&amp; " " &amp; Таблица13[[#This Row],[Число фаз]] &amp; "P"</f>
        <v>Acti9 iC60N C63 3P</v>
      </c>
      <c r="E35" s="1">
        <v>63</v>
      </c>
      <c r="F35" s="13" t="s">
        <v>315</v>
      </c>
      <c r="G35" s="1"/>
      <c r="H35" s="1" t="s">
        <v>97</v>
      </c>
      <c r="I35" s="1" t="s">
        <v>98</v>
      </c>
      <c r="J35" s="16">
        <v>19</v>
      </c>
      <c r="K35" s="1">
        <v>3</v>
      </c>
      <c r="L35" s="15">
        <v>1</v>
      </c>
      <c r="M35" s="1">
        <v>1</v>
      </c>
      <c r="N35" s="2">
        <f>Таблица13[[#This Row],[Pуст, кВт]]*Таблица13[[#This Row],[Kи]]</f>
        <v>19</v>
      </c>
      <c r="O35" s="2">
        <f>IF(Таблица13[[#This Row],[Число фаз]]=1,J35/220/L35*M35*1000,J35/3/220/L35*M35*1000)</f>
        <v>28.787878787878785</v>
      </c>
      <c r="P35" s="2" t="str">
        <f>Таблица13[[#This Row],[Коды щитков]] &amp; "/M" &amp; TEXT( Таблица13[[#This Row],[Номер АВ]], "00")</f>
        <v>ШС-7-2/M02</v>
      </c>
      <c r="Q35" s="1" t="s">
        <v>63</v>
      </c>
      <c r="R35" s="1">
        <v>5</v>
      </c>
      <c r="S35" s="1">
        <v>16</v>
      </c>
      <c r="T35" s="1">
        <f>Таблица13[[#This Row],[Сечение фазного]]</f>
        <v>16</v>
      </c>
      <c r="U35" s="1">
        <v>20</v>
      </c>
      <c r="V35" s="2">
        <f>IF(Таблица13[[#This Row],[Число фаз]]=1,2*O35*(22.5/S35*L35+0.08*SIN(ACOS(L35)))*(U35/1000)*(100/220),SQRT(3)*O35*(22.5/S35*L35+0.08*SIN(ACOS(L35)))*(U35/1000)*(100/380))</f>
        <v>0.36904491638541415</v>
      </c>
      <c r="W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ШС-7-2/M02-19,0-28,8-20</v>
      </c>
      <c r="X35" s="1" t="str">
        <f>TEXT(Таблица13[[#This Row],[Потери]],"0,0") &amp; "-" &amp;Таблица13[[#This Row],[Полная марка кабеля]]</f>
        <v>0,4-ВВГнг(A)-LS-5x16</v>
      </c>
      <c r="Y35" t="s">
        <v>417</v>
      </c>
      <c r="Z3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36" spans="1:26" x14ac:dyDescent="0.25">
      <c r="A36" s="1" t="s">
        <v>15</v>
      </c>
      <c r="B36" s="1">
        <v>35</v>
      </c>
      <c r="C36" s="4">
        <v>3</v>
      </c>
      <c r="D36" s="4" t="str">
        <f>"Acti9 iC60N C"&amp;Таблица13[[#This Row],[Номинал АВ]]&amp; " " &amp; Таблица13[[#This Row],[Число фаз]] &amp; "P"</f>
        <v>Acti9 iC60N C63 3P</v>
      </c>
      <c r="E36" s="1">
        <v>63</v>
      </c>
      <c r="F36" s="13" t="s">
        <v>285</v>
      </c>
      <c r="G36" s="1" t="s">
        <v>100</v>
      </c>
      <c r="H36" s="1" t="s">
        <v>94</v>
      </c>
      <c r="I36" s="1" t="s">
        <v>101</v>
      </c>
      <c r="J36" s="16">
        <v>19</v>
      </c>
      <c r="K36" s="1">
        <v>3</v>
      </c>
      <c r="L36" s="15">
        <v>0.8</v>
      </c>
      <c r="M36" s="1">
        <v>1</v>
      </c>
      <c r="N36" s="2">
        <f>Таблица13[[#This Row],[Pуст, кВт]]*Таблица13[[#This Row],[Kи]]</f>
        <v>19</v>
      </c>
      <c r="O36" s="2">
        <f>IF(Таблица13[[#This Row],[Число фаз]]=1,J36/220/L36*M36*1000,J36/3/220/L36*M36*1000)</f>
        <v>35.984848484848477</v>
      </c>
      <c r="P36" s="2" t="str">
        <f>Таблица13[[#This Row],[Коды щитков]] &amp; "/M" &amp; TEXT( Таблица13[[#This Row],[Номер АВ]], "00")</f>
        <v>ШС-7-2/M03</v>
      </c>
      <c r="Q36" s="1" t="s">
        <v>63</v>
      </c>
      <c r="R36" s="1">
        <v>5</v>
      </c>
      <c r="S36" s="1">
        <v>16</v>
      </c>
      <c r="T36" s="1">
        <f>Таблица13[[#This Row],[Сечение фазного]]</f>
        <v>16</v>
      </c>
      <c r="U36" s="1">
        <v>30</v>
      </c>
      <c r="V36" s="2">
        <f>IF(Таблица13[[#This Row],[Число фаз]]=1,2*O36*(22.5/S36*L36+0.08*SIN(ACOS(L36)))*(U36/1000)*(100/220),SQRT(3)*O36*(22.5/S36*L36+0.08*SIN(ACOS(L36)))*(U36/1000)*(100/380))</f>
        <v>0.57718624922678763</v>
      </c>
      <c r="W3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ШС-7-2/M03-19,0-36,0-30</v>
      </c>
      <c r="X36" s="1" t="str">
        <f>TEXT(Таблица13[[#This Row],[Потери]],"0,0") &amp; "-" &amp;Таблица13[[#This Row],[Полная марка кабеля]]</f>
        <v>0,6-ВВГнг(A)-LS-5x16</v>
      </c>
      <c r="Y36" t="s">
        <v>417</v>
      </c>
      <c r="Z3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37" spans="1:26" x14ac:dyDescent="0.25">
      <c r="A37" s="1" t="s">
        <v>15</v>
      </c>
      <c r="B37" s="1">
        <v>36</v>
      </c>
      <c r="C37" s="4">
        <v>4</v>
      </c>
      <c r="D37" s="4" t="str">
        <f>"Acti9 iC60N C"&amp;Таблица13[[#This Row],[Номинал АВ]]&amp; " " &amp; Таблица13[[#This Row],[Число фаз]] &amp; "P"</f>
        <v>Acti9 iC60N C63 3P</v>
      </c>
      <c r="E37" s="1">
        <v>63</v>
      </c>
      <c r="F37" s="13" t="s">
        <v>314</v>
      </c>
      <c r="G37" s="1"/>
      <c r="H37" s="1" t="s">
        <v>97</v>
      </c>
      <c r="I37" s="1" t="s">
        <v>101</v>
      </c>
      <c r="J37" s="16">
        <v>19</v>
      </c>
      <c r="K37" s="1">
        <v>3</v>
      </c>
      <c r="L37" s="15">
        <v>1</v>
      </c>
      <c r="M37" s="1">
        <v>1</v>
      </c>
      <c r="N37" s="2">
        <f>Таблица13[[#This Row],[Pуст, кВт]]*Таблица13[[#This Row],[Kи]]</f>
        <v>19</v>
      </c>
      <c r="O37" s="2">
        <f>IF(Таблица13[[#This Row],[Число фаз]]=1,J37/220/L37*M37*1000,J37/3/220/L37*M37*1000)</f>
        <v>28.787878787878785</v>
      </c>
      <c r="P37" s="2" t="str">
        <f>Таблица13[[#This Row],[Коды щитков]] &amp; "/M" &amp; TEXT( Таблица13[[#This Row],[Номер АВ]], "00")</f>
        <v>ШС-7-2/M04</v>
      </c>
      <c r="Q37" s="1" t="s">
        <v>63</v>
      </c>
      <c r="R37" s="1">
        <v>5</v>
      </c>
      <c r="S37" s="1">
        <v>16</v>
      </c>
      <c r="T37" s="1">
        <f>Таблица13[[#This Row],[Сечение фазного]]</f>
        <v>16</v>
      </c>
      <c r="U37" s="1">
        <v>30</v>
      </c>
      <c r="V37" s="2">
        <f>IF(Таблица13[[#This Row],[Число фаз]]=1,2*O37*(22.5/S37*L37+0.08*SIN(ACOS(L37)))*(U37/1000)*(100/220),SQRT(3)*O37*(22.5/S37*L37+0.08*SIN(ACOS(L37)))*(U37/1000)*(100/380))</f>
        <v>0.55356737457812122</v>
      </c>
      <c r="W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ШС-7-2/M04-19,0-28,8-30</v>
      </c>
      <c r="X37" s="1" t="str">
        <f>TEXT(Таблица13[[#This Row],[Потери]],"0,0") &amp; "-" &amp;Таблица13[[#This Row],[Полная марка кабеля]]</f>
        <v>0,6-ВВГнг(A)-LS-5x16</v>
      </c>
      <c r="Y37" t="s">
        <v>417</v>
      </c>
      <c r="Z3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38" spans="1:26" x14ac:dyDescent="0.25">
      <c r="A38" s="1" t="s">
        <v>15</v>
      </c>
      <c r="B38" s="1">
        <v>37</v>
      </c>
      <c r="C38" s="4">
        <v>5</v>
      </c>
      <c r="D38" s="4" t="str">
        <f>"Acti9 iC60N C"&amp;Таблица13[[#This Row],[Номинал АВ]]&amp; " " &amp; Таблица13[[#This Row],[Число фаз]] &amp; "P"</f>
        <v>Acti9 iC60N C40 3P</v>
      </c>
      <c r="E38" s="1">
        <v>40</v>
      </c>
      <c r="F38" s="13" t="s">
        <v>394</v>
      </c>
      <c r="G38" s="1"/>
      <c r="H38" s="1" t="s">
        <v>102</v>
      </c>
      <c r="I38" s="1" t="s">
        <v>112</v>
      </c>
      <c r="J38" s="16">
        <v>3</v>
      </c>
      <c r="K38" s="1">
        <v>3</v>
      </c>
      <c r="L38" s="15">
        <v>0.8</v>
      </c>
      <c r="M38" s="1">
        <v>1</v>
      </c>
      <c r="N38" s="2">
        <f>Таблица13[[#This Row],[Pуст, кВт]]*Таблица13[[#This Row],[Kи]]</f>
        <v>3</v>
      </c>
      <c r="O38" s="2">
        <f>IF(Таблица13[[#This Row],[Число фаз]]=1,J38/220/L38*M38*1000,J38/3/220/L38*M38*1000)</f>
        <v>5.6818181818181808</v>
      </c>
      <c r="P38" s="2" t="str">
        <f>Таблица13[[#This Row],[Коды щитков]] &amp; "/M" &amp; TEXT( Таблица13[[#This Row],[Номер АВ]], "00")</f>
        <v>ШС-7-2/M05</v>
      </c>
      <c r="Q38" s="1" t="s">
        <v>63</v>
      </c>
      <c r="R38" s="1">
        <v>5</v>
      </c>
      <c r="S38" s="1">
        <v>10</v>
      </c>
      <c r="T38" s="1">
        <f>Таблица13[[#This Row],[Сечение фазного]]</f>
        <v>10</v>
      </c>
      <c r="U38" s="1">
        <v>20</v>
      </c>
      <c r="V38" s="2">
        <f>IF(Таблица13[[#This Row],[Число фаз]]=1,2*O38*(22.5/S38*L38+0.08*SIN(ACOS(L38)))*(U38/1000)*(100/220),SQRT(3)*O38*(22.5/S38*L38+0.08*SIN(ACOS(L38)))*(U38/1000)*(100/380))</f>
        <v>9.5718597260385299E-2</v>
      </c>
      <c r="W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ШС-7-2/M05-3,0-5,7-20</v>
      </c>
      <c r="X38" s="1" t="str">
        <f>TEXT(Таблица13[[#This Row],[Потери]],"0,0") &amp; "-" &amp;Таблица13[[#This Row],[Полная марка кабеля]]</f>
        <v>0,1-ВВГнг(A)-LS-5x10</v>
      </c>
      <c r="Y38" t="s">
        <v>417</v>
      </c>
      <c r="Z3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39" spans="1:26" x14ac:dyDescent="0.25">
      <c r="A39" s="1" t="s">
        <v>15</v>
      </c>
      <c r="B39" s="1">
        <v>38</v>
      </c>
      <c r="C39" s="4">
        <v>6</v>
      </c>
      <c r="D39" s="4" t="str">
        <f>"Acti9 iC60N C"&amp;Таблица13[[#This Row],[Номинал АВ]]&amp; " " &amp; Таблица13[[#This Row],[Число фаз]] &amp; "P"</f>
        <v>Acti9 iC60N C10 1P</v>
      </c>
      <c r="E39" s="1">
        <v>10</v>
      </c>
      <c r="F39" s="9"/>
      <c r="G39" s="1"/>
      <c r="H39" s="1" t="s">
        <v>73</v>
      </c>
      <c r="I39" s="1"/>
      <c r="J39" s="16">
        <f>6*0.038</f>
        <v>0.22799999999999998</v>
      </c>
      <c r="K39" s="1">
        <v>1</v>
      </c>
      <c r="L39" s="15">
        <v>0.96</v>
      </c>
      <c r="M39" s="1">
        <v>1</v>
      </c>
      <c r="N39" s="2">
        <f>Таблица13[[#This Row],[Pуст, кВт]]*Таблица13[[#This Row],[Kи]]</f>
        <v>0.22799999999999998</v>
      </c>
      <c r="O39" s="2">
        <f>IF(Таблица13[[#This Row],[Число фаз]]=1,J39/220/L39*M39*1000,J39/3/220/L39*M39*1000)</f>
        <v>1.0795454545454546</v>
      </c>
      <c r="P39" s="2" t="str">
        <f>Таблица13[[#This Row],[Коды щитков]] &amp; "/M" &amp; TEXT( Таблица13[[#This Row],[Номер АВ]], "00")</f>
        <v>ШС-7-2/M06</v>
      </c>
      <c r="Q39" s="1" t="s">
        <v>63</v>
      </c>
      <c r="R39" s="1">
        <v>3</v>
      </c>
      <c r="S39" s="1">
        <v>1.5</v>
      </c>
      <c r="T39" s="1">
        <f>Таблица13[[#This Row],[Сечение фазного]]</f>
        <v>1.5</v>
      </c>
      <c r="U39" s="1">
        <v>50</v>
      </c>
      <c r="V39" s="2">
        <f>IF(Таблица13[[#This Row],[Число фаз]]=1,2*O39*(22.5/S39*L39+0.08*SIN(ACOS(L39)))*(U39/1000)*(100/220),SQRT(3)*O39*(22.5/S39*L39+0.08*SIN(ACOS(L39)))*(U39/1000)*(100/380))</f>
        <v>0.70771074380165278</v>
      </c>
      <c r="W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ШС-7-2/M06-0,2-1,1-50</v>
      </c>
      <c r="X39" s="1" t="str">
        <f>TEXT(Таблица13[[#This Row],[Потери]],"0,0") &amp; "-" &amp;Таблица13[[#This Row],[Полная марка кабеля]]</f>
        <v>0,7-ВВГнг(A)-LS-3x1,5</v>
      </c>
      <c r="Y39" t="s">
        <v>417</v>
      </c>
      <c r="Z3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40" spans="1:26" x14ac:dyDescent="0.25">
      <c r="A40" s="1" t="s">
        <v>15</v>
      </c>
      <c r="B40" s="1">
        <v>39</v>
      </c>
      <c r="C40" s="4">
        <v>7</v>
      </c>
      <c r="D40" s="4" t="str">
        <f>"Acti9 iC60N C"&amp;Таблица13[[#This Row],[Номинал АВ]]&amp; " " &amp; Таблица13[[#This Row],[Число фаз]] &amp; "P"</f>
        <v>Acti9 iC60N C10 1P</v>
      </c>
      <c r="E40" s="1">
        <v>10</v>
      </c>
      <c r="F40" s="9"/>
      <c r="G40" s="1"/>
      <c r="H40" s="1" t="s">
        <v>73</v>
      </c>
      <c r="I40" s="1"/>
      <c r="J40" s="16">
        <f>10*0.038</f>
        <v>0.38</v>
      </c>
      <c r="K40" s="1">
        <v>1</v>
      </c>
      <c r="L40" s="15">
        <v>0.96</v>
      </c>
      <c r="M40" s="1">
        <v>1</v>
      </c>
      <c r="N40" s="2">
        <f>Таблица13[[#This Row],[Pуст, кВт]]*Таблица13[[#This Row],[Kи]]</f>
        <v>0.38</v>
      </c>
      <c r="O40" s="2">
        <f>IF(Таблица13[[#This Row],[Число фаз]]=1,J40/220/L40*M40*1000,J40/3/220/L40*M40*1000)</f>
        <v>1.7992424242424243</v>
      </c>
      <c r="P40" s="2" t="str">
        <f>Таблица13[[#This Row],[Коды щитков]] &amp; "/M" &amp; TEXT( Таблица13[[#This Row],[Номер АВ]], "00")</f>
        <v>ШС-7-2/M07</v>
      </c>
      <c r="Q40" s="1" t="s">
        <v>63</v>
      </c>
      <c r="R40" s="1">
        <v>3</v>
      </c>
      <c r="S40" s="1">
        <v>1.5</v>
      </c>
      <c r="T40" s="1">
        <f>Таблица13[[#This Row],[Сечение фазного]]</f>
        <v>1.5</v>
      </c>
      <c r="U40" s="1">
        <v>60</v>
      </c>
      <c r="V40" s="2">
        <f>IF(Таблица13[[#This Row],[Число фаз]]=1,2*O40*(22.5/S40*L40+0.08*SIN(ACOS(L40)))*(U40/1000)*(100/220),SQRT(3)*O40*(22.5/S40*L40+0.08*SIN(ACOS(L40)))*(U40/1000)*(100/380))</f>
        <v>1.4154214876033056</v>
      </c>
      <c r="W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ШС-7-2/M07-0,4-1,8-60</v>
      </c>
      <c r="X40" s="1" t="str">
        <f>TEXT(Таблица13[[#This Row],[Потери]],"0,0") &amp; "-" &amp;Таблица13[[#This Row],[Полная марка кабеля]]</f>
        <v>1,4-ВВГнг(A)-LS-3x1,5</v>
      </c>
      <c r="Y40" t="s">
        <v>417</v>
      </c>
      <c r="Z4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41" spans="1:26" x14ac:dyDescent="0.25">
      <c r="A41" s="1" t="s">
        <v>15</v>
      </c>
      <c r="B41" s="1">
        <v>40</v>
      </c>
      <c r="C41" s="4">
        <v>8</v>
      </c>
      <c r="D41" s="4" t="str">
        <f>"Acti9 iC60N C"&amp;Таблица13[[#This Row],[Номинал АВ]]&amp; " " &amp; Таблица13[[#This Row],[Число фаз]] &amp; "P"</f>
        <v>Acti9 iC60N C25 1P</v>
      </c>
      <c r="E41" s="1">
        <v>25</v>
      </c>
      <c r="F41" s="9"/>
      <c r="G41" s="1"/>
      <c r="H41" s="1" t="s">
        <v>103</v>
      </c>
      <c r="I41" s="1"/>
      <c r="J41" s="16">
        <v>2</v>
      </c>
      <c r="K41" s="1">
        <v>1</v>
      </c>
      <c r="L41" s="15">
        <v>0.9</v>
      </c>
      <c r="M41" s="1">
        <v>1</v>
      </c>
      <c r="N41" s="2">
        <f>Таблица13[[#This Row],[Pуст, кВт]]*Таблица13[[#This Row],[Kи]]</f>
        <v>2</v>
      </c>
      <c r="O41" s="2">
        <f>IF(Таблица13[[#This Row],[Число фаз]]=1,J41/220/L41*M41*1000,J41/3/220/L41*M41*1000)</f>
        <v>10.1010101010101</v>
      </c>
      <c r="P41" s="2" t="str">
        <f>Таблица13[[#This Row],[Коды щитков]] &amp; "/M" &amp; TEXT( Таблица13[[#This Row],[Номер АВ]], "00")</f>
        <v>ШС-7-2/M08</v>
      </c>
      <c r="Q41" s="1" t="s">
        <v>63</v>
      </c>
      <c r="R41" s="1">
        <v>3</v>
      </c>
      <c r="S41" s="1">
        <v>2.5</v>
      </c>
      <c r="T41" s="1">
        <f>Таблица13[[#This Row],[Сечение фазного]]</f>
        <v>2.5</v>
      </c>
      <c r="U41" s="1">
        <v>25</v>
      </c>
      <c r="V41" s="2">
        <f>IF(Таблица13[[#This Row],[Число фаз]]=1,2*O41*(22.5/S41*L41+0.08*SIN(ACOS(L41)))*(U41/1000)*(100/220),SQRT(3)*O41*(22.5/S41*L41+0.08*SIN(ACOS(L41)))*(U41/1000)*(100/380))</f>
        <v>1.8675094562783117</v>
      </c>
      <c r="W4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ШС-7-2/M08-2,0-10,1-25</v>
      </c>
      <c r="X41" s="1" t="str">
        <f>TEXT(Таблица13[[#This Row],[Потери]],"0,0") &amp; "-" &amp;Таблица13[[#This Row],[Полная марка кабеля]]</f>
        <v>1,9-ВВГнг(A)-LS-3x2,5</v>
      </c>
      <c r="Y41" t="s">
        <v>417</v>
      </c>
      <c r="Z4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42" spans="1:26" x14ac:dyDescent="0.25">
      <c r="A42" s="1" t="s">
        <v>16</v>
      </c>
      <c r="B42" s="1">
        <v>41</v>
      </c>
      <c r="C42" s="4">
        <v>1</v>
      </c>
      <c r="D42" s="4" t="str">
        <f>"Acti9 iC60N C"&amp;Таблица13[[#This Row],[Номинал АВ]]&amp; " " &amp; Таблица13[[#This Row],[Число фаз]] &amp; "P"</f>
        <v>Acti9 iC60N C40 3P</v>
      </c>
      <c r="E42" s="1">
        <v>40</v>
      </c>
      <c r="F42" s="13" t="s">
        <v>352</v>
      </c>
      <c r="G42" s="1" t="s">
        <v>105</v>
      </c>
      <c r="H42" s="1" t="s">
        <v>104</v>
      </c>
      <c r="I42" s="1" t="s">
        <v>393</v>
      </c>
      <c r="J42" s="16">
        <v>10</v>
      </c>
      <c r="K42" s="1">
        <v>3</v>
      </c>
      <c r="L42" s="15">
        <v>0.8</v>
      </c>
      <c r="M42" s="1">
        <v>1</v>
      </c>
      <c r="N42" s="2">
        <f>Таблица13[[#This Row],[Pуст, кВт]]*Таблица13[[#This Row],[Kи]]</f>
        <v>10</v>
      </c>
      <c r="O42" s="2">
        <f>IF(Таблица13[[#This Row],[Число фаз]]=1,J42/220/L42*M42*1000,J42/3/220/L42*M42*1000)</f>
        <v>18.939393939393941</v>
      </c>
      <c r="P42" s="2" t="str">
        <f>Таблица13[[#This Row],[Коды щитков]] &amp; "/M" &amp; TEXT( Таблица13[[#This Row],[Номер АВ]], "00")</f>
        <v>ШС-7-1/M01</v>
      </c>
      <c r="Q42" s="1" t="s">
        <v>63</v>
      </c>
      <c r="R42" s="1">
        <v>5</v>
      </c>
      <c r="S42" s="1">
        <v>16</v>
      </c>
      <c r="T42" s="1">
        <f>Таблица13[[#This Row],[Сечение фазного]]</f>
        <v>16</v>
      </c>
      <c r="U42" s="1">
        <v>30</v>
      </c>
      <c r="V42" s="2">
        <f>IF(Таблица13[[#This Row],[Число фаз]]=1,2*O42*(22.5/S42*L42+0.08*SIN(ACOS(L42)))*(U42/1000)*(100/220),SQRT(3)*O42*(22.5/S42*L42+0.08*SIN(ACOS(L42)))*(U42/1000)*(100/380))</f>
        <v>0.3037822364351514</v>
      </c>
      <c r="W4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ШС-7-1/M01-10,0-18,9-30</v>
      </c>
      <c r="X42" s="1" t="str">
        <f>TEXT(Таблица13[[#This Row],[Потери]],"0,0") &amp; "-" &amp;Таблица13[[#This Row],[Полная марка кабеля]]</f>
        <v>0,3-ВВГнг(A)-LS-5x16</v>
      </c>
      <c r="Y42" t="s">
        <v>418</v>
      </c>
      <c r="Z4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43" spans="1:26" x14ac:dyDescent="0.25">
      <c r="A43" s="1" t="s">
        <v>16</v>
      </c>
      <c r="B43" s="1">
        <v>42</v>
      </c>
      <c r="C43" s="4">
        <v>2</v>
      </c>
      <c r="D43" s="4" t="str">
        <f>"Acti9 iC60N C"&amp;Таблица13[[#This Row],[Номинал АВ]]&amp; " " &amp; Таблица13[[#This Row],[Число фаз]] &amp; "P"</f>
        <v>Acti9 iC60N C40 3P</v>
      </c>
      <c r="E43" s="1">
        <v>40</v>
      </c>
      <c r="F43" s="13" t="s">
        <v>353</v>
      </c>
      <c r="G43" s="1" t="s">
        <v>105</v>
      </c>
      <c r="H43" s="1" t="s">
        <v>104</v>
      </c>
      <c r="I43" s="1" t="s">
        <v>393</v>
      </c>
      <c r="J43" s="16">
        <v>10</v>
      </c>
      <c r="K43" s="1">
        <v>3</v>
      </c>
      <c r="L43" s="15">
        <v>0.8</v>
      </c>
      <c r="M43" s="1">
        <v>1</v>
      </c>
      <c r="N43" s="2">
        <f>Таблица13[[#This Row],[Pуст, кВт]]*Таблица13[[#This Row],[Kи]]</f>
        <v>10</v>
      </c>
      <c r="O43" s="2">
        <f>IF(Таблица13[[#This Row],[Число фаз]]=1,J43/220/L43*M43*1000,J43/3/220/L43*M43*1000)</f>
        <v>18.939393939393941</v>
      </c>
      <c r="P43" s="2" t="str">
        <f>Таблица13[[#This Row],[Коды щитков]] &amp; "/M" &amp; TEXT( Таблица13[[#This Row],[Номер АВ]], "00")</f>
        <v>ШС-7-1/M02</v>
      </c>
      <c r="Q43" s="1" t="s">
        <v>63</v>
      </c>
      <c r="R43" s="1">
        <v>5</v>
      </c>
      <c r="S43" s="1">
        <v>16</v>
      </c>
      <c r="T43" s="1">
        <f>Таблица13[[#This Row],[Сечение фазного]]</f>
        <v>16</v>
      </c>
      <c r="U43" s="1">
        <v>35</v>
      </c>
      <c r="V43" s="2">
        <f>IF(Таблица13[[#This Row],[Число фаз]]=1,2*O43*(22.5/S43*L43+0.08*SIN(ACOS(L43)))*(U43/1000)*(100/220),SQRT(3)*O43*(22.5/S43*L43+0.08*SIN(ACOS(L43)))*(U43/1000)*(100/380))</f>
        <v>0.35441260917434342</v>
      </c>
      <c r="W4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ШС-7-1/M02-10,0-18,9-35</v>
      </c>
      <c r="X43" s="1" t="str">
        <f>TEXT(Таблица13[[#This Row],[Потери]],"0,0") &amp; "-" &amp;Таблица13[[#This Row],[Полная марка кабеля]]</f>
        <v>0,4-ВВГнг(A)-LS-5x16</v>
      </c>
      <c r="Y43" t="s">
        <v>418</v>
      </c>
      <c r="Z4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44" spans="1:26" x14ac:dyDescent="0.25">
      <c r="A44" s="1" t="s">
        <v>16</v>
      </c>
      <c r="B44" s="1">
        <v>43</v>
      </c>
      <c r="C44" s="4">
        <v>3</v>
      </c>
      <c r="D44" s="4" t="str">
        <f>"Acti9 iC60N C"&amp;Таблица13[[#This Row],[Номинал АВ]]&amp; " " &amp; Таблица13[[#This Row],[Число фаз]] &amp; "P"</f>
        <v>Acti9 iC60N C40 3P</v>
      </c>
      <c r="E44" s="1">
        <v>40</v>
      </c>
      <c r="F44" s="13" t="s">
        <v>354</v>
      </c>
      <c r="G44" s="1" t="s">
        <v>105</v>
      </c>
      <c r="H44" s="1" t="s">
        <v>104</v>
      </c>
      <c r="I44" s="1" t="s">
        <v>393</v>
      </c>
      <c r="J44" s="16">
        <v>10</v>
      </c>
      <c r="K44" s="1">
        <v>3</v>
      </c>
      <c r="L44" s="15">
        <v>0.8</v>
      </c>
      <c r="M44" s="1">
        <v>1</v>
      </c>
      <c r="N44" s="2">
        <f>Таблица13[[#This Row],[Pуст, кВт]]*Таблица13[[#This Row],[Kи]]</f>
        <v>10</v>
      </c>
      <c r="O44" s="2">
        <f>IF(Таблица13[[#This Row],[Число фаз]]=1,J44/220/L44*M44*1000,J44/3/220/L44*M44*1000)</f>
        <v>18.939393939393941</v>
      </c>
      <c r="P44" s="2" t="str">
        <f>Таблица13[[#This Row],[Коды щитков]] &amp; "/M" &amp; TEXT( Таблица13[[#This Row],[Номер АВ]], "00")</f>
        <v>ШС-7-1/M03</v>
      </c>
      <c r="Q44" s="1" t="s">
        <v>63</v>
      </c>
      <c r="R44" s="1">
        <v>5</v>
      </c>
      <c r="S44" s="1">
        <v>16</v>
      </c>
      <c r="T44" s="1">
        <f>Таблица13[[#This Row],[Сечение фазного]]</f>
        <v>16</v>
      </c>
      <c r="U44" s="1">
        <v>40</v>
      </c>
      <c r="V44" s="2">
        <f>IF(Таблица13[[#This Row],[Число фаз]]=1,2*O44*(22.5/S44*L44+0.08*SIN(ACOS(L44)))*(U44/1000)*(100/220),SQRT(3)*O44*(22.5/S44*L44+0.08*SIN(ACOS(L44)))*(U44/1000)*(100/380))</f>
        <v>0.40504298191353527</v>
      </c>
      <c r="W4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ШС-7-1/M03-10,0-18,9-40</v>
      </c>
      <c r="X44" s="1" t="str">
        <f>TEXT(Таблица13[[#This Row],[Потери]],"0,0") &amp; "-" &amp;Таблица13[[#This Row],[Полная марка кабеля]]</f>
        <v>0,4-ВВГнг(A)-LS-5x16</v>
      </c>
      <c r="Y44" t="s">
        <v>418</v>
      </c>
      <c r="Z4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45" spans="1:26" x14ac:dyDescent="0.25">
      <c r="A45" s="1" t="s">
        <v>16</v>
      </c>
      <c r="B45" s="1">
        <v>44</v>
      </c>
      <c r="C45" s="4">
        <v>4</v>
      </c>
      <c r="D45" s="4" t="str">
        <f>"Acti9 iC60N C"&amp;Таблица13[[#This Row],[Номинал АВ]]&amp; " " &amp; Таблица13[[#This Row],[Число фаз]] &amp; "P"</f>
        <v>Acti9 iC60N C40 3P</v>
      </c>
      <c r="E45" s="1">
        <v>40</v>
      </c>
      <c r="F45" s="13" t="s">
        <v>355</v>
      </c>
      <c r="G45" s="1" t="s">
        <v>105</v>
      </c>
      <c r="H45" s="1" t="s">
        <v>104</v>
      </c>
      <c r="I45" s="1" t="s">
        <v>393</v>
      </c>
      <c r="J45" s="16">
        <v>10</v>
      </c>
      <c r="K45" s="1">
        <v>3</v>
      </c>
      <c r="L45" s="15">
        <v>0.8</v>
      </c>
      <c r="M45" s="1">
        <v>1</v>
      </c>
      <c r="N45" s="2">
        <f>Таблица13[[#This Row],[Pуст, кВт]]*Таблица13[[#This Row],[Kи]]</f>
        <v>10</v>
      </c>
      <c r="O45" s="2">
        <f>IF(Таблица13[[#This Row],[Число фаз]]=1,J45/220/L45*M45*1000,J45/3/220/L45*M45*1000)</f>
        <v>18.939393939393941</v>
      </c>
      <c r="P45" s="2" t="str">
        <f>Таблица13[[#This Row],[Коды щитков]] &amp; "/M" &amp; TEXT( Таблица13[[#This Row],[Номер АВ]], "00")</f>
        <v>ШС-7-1/M04</v>
      </c>
      <c r="Q45" s="1" t="s">
        <v>63</v>
      </c>
      <c r="R45" s="1">
        <v>5</v>
      </c>
      <c r="S45" s="1">
        <v>16</v>
      </c>
      <c r="T45" s="1">
        <f>Таблица13[[#This Row],[Сечение фазного]]</f>
        <v>16</v>
      </c>
      <c r="U45" s="1">
        <v>45</v>
      </c>
      <c r="V45" s="2">
        <f>IF(Таблица13[[#This Row],[Число фаз]]=1,2*O45*(22.5/S45*L45+0.08*SIN(ACOS(L45)))*(U45/1000)*(100/220),SQRT(3)*O45*(22.5/S45*L45+0.08*SIN(ACOS(L45)))*(U45/1000)*(100/380))</f>
        <v>0.45567335465272718</v>
      </c>
      <c r="W4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ШС-7-1/M04-10,0-18,9-45</v>
      </c>
      <c r="X45" s="1" t="str">
        <f>TEXT(Таблица13[[#This Row],[Потери]],"0,0") &amp; "-" &amp;Таблица13[[#This Row],[Полная марка кабеля]]</f>
        <v>0,5-ВВГнг(A)-LS-5x16</v>
      </c>
      <c r="Y45" t="s">
        <v>418</v>
      </c>
      <c r="Z4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46" spans="1:26" x14ac:dyDescent="0.25">
      <c r="A46" s="1" t="s">
        <v>17</v>
      </c>
      <c r="B46" s="1">
        <v>45</v>
      </c>
      <c r="C46" s="4">
        <v>1</v>
      </c>
      <c r="D46" s="4" t="str">
        <f>"ВА57-35 "&amp; Таблица13[[#This Row],[Число фаз]] &amp; "P " &amp;Таблица13[[#This Row],[Номинал АВ]] &amp; " А"</f>
        <v>ВА57-35 3P 100 А</v>
      </c>
      <c r="E46" s="1">
        <v>100</v>
      </c>
      <c r="F46" s="9" t="s">
        <v>16</v>
      </c>
      <c r="G46" s="1" t="s">
        <v>512</v>
      </c>
      <c r="H46" s="1" t="s">
        <v>263</v>
      </c>
      <c r="I46" s="1" t="s">
        <v>502</v>
      </c>
      <c r="J46" s="2">
        <v>40</v>
      </c>
      <c r="K46" s="1">
        <v>3</v>
      </c>
      <c r="L46" s="15">
        <v>0.8</v>
      </c>
      <c r="M46" s="1">
        <v>0.8</v>
      </c>
      <c r="N46" s="2">
        <f>Таблица13[[#This Row],[Pуст, кВт]]*Таблица13[[#This Row],[Kи]]</f>
        <v>32</v>
      </c>
      <c r="O46" s="2">
        <f>IF(Таблица13[[#This Row],[Число фаз]]=1,J46/220/L46*M46*1000,J46/3/220/L46*M46*1000)</f>
        <v>60.606060606060609</v>
      </c>
      <c r="P46" s="2" t="str">
        <f>Таблица13[[#This Row],[Коды щитков]] &amp; "/M" &amp; TEXT( Таблица13[[#This Row],[Номер АВ]], "00")</f>
        <v>ШС-7/M01</v>
      </c>
      <c r="Q46" s="1" t="s">
        <v>7</v>
      </c>
      <c r="R46" s="1">
        <v>4</v>
      </c>
      <c r="S46" s="1">
        <v>35</v>
      </c>
      <c r="T46" s="1">
        <v>10</v>
      </c>
      <c r="U46" s="1">
        <v>30</v>
      </c>
      <c r="V46" s="2">
        <f>IF(Таблица13[[#This Row],[Число фаз]]=1,2*O46*(22.5/S46*L46+0.08*SIN(ACOS(L46)))*(U46/1000)*(100/220),SQRT(3)*O46*(22.5/S46*L46+0.08*SIN(ACOS(L46)))*(U46/1000)*(100/380))</f>
        <v>0.46598441412105951</v>
      </c>
      <c r="W4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ШС-7/M01-40,0-60,6-30</v>
      </c>
      <c r="X46" s="1" t="str">
        <f>TEXT(Таблица13[[#This Row],[Потери]],"0,0") &amp; "-" &amp;Таблица13[[#This Row],[Полная марка кабеля]]</f>
        <v>0,5-КГ-3x35+1x10</v>
      </c>
      <c r="Y46" t="s">
        <v>419</v>
      </c>
      <c r="Z4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КГ-3x35+1x10</v>
      </c>
    </row>
    <row r="47" spans="1:26" x14ac:dyDescent="0.25">
      <c r="A47" s="1" t="s">
        <v>17</v>
      </c>
      <c r="B47" s="1">
        <v>46</v>
      </c>
      <c r="C47" s="4">
        <v>0</v>
      </c>
      <c r="D47" s="4" t="str">
        <f>"ВА57-35 "&amp; Таблица13[[#This Row],[Число фаз]] &amp; "P " &amp;Таблица13[[#This Row],[Номинал АВ]] &amp; " А"</f>
        <v>ВА57-35 3P 250 А</v>
      </c>
      <c r="E47" s="1">
        <v>250</v>
      </c>
      <c r="F47" s="9" t="s">
        <v>15</v>
      </c>
      <c r="G47" s="1" t="s">
        <v>511</v>
      </c>
      <c r="H47" s="1" t="s">
        <v>263</v>
      </c>
      <c r="I47" s="1" t="s">
        <v>503</v>
      </c>
      <c r="J47" s="2">
        <v>51.607999999999997</v>
      </c>
      <c r="K47" s="1">
        <v>3</v>
      </c>
      <c r="L47" s="15">
        <v>0.80504723112921406</v>
      </c>
      <c r="M47" s="1">
        <v>0.8</v>
      </c>
      <c r="N47" s="2">
        <f>Таблица13[[#This Row],[Pуст, кВт]]*Таблица13[[#This Row],[Kи]]</f>
        <v>41.2864</v>
      </c>
      <c r="O47" s="2">
        <f>IF(Таблица13[[#This Row],[Число фаз]]=1,J47/220/L47*M47*1000,J47/3/220/L47*M47*1000)</f>
        <v>77.703703703703695</v>
      </c>
      <c r="P47" s="2" t="str">
        <f>Таблица13[[#This Row],[Коды щитков]] &amp; "/M" &amp; TEXT( Таблица13[[#This Row],[Номер АВ]], "00")</f>
        <v>ШС-7/M00</v>
      </c>
      <c r="Q47" s="1" t="s">
        <v>7</v>
      </c>
      <c r="R47" s="1">
        <v>4</v>
      </c>
      <c r="S47" s="1">
        <v>95</v>
      </c>
      <c r="T47" s="1">
        <v>35</v>
      </c>
      <c r="U47" s="1">
        <v>20</v>
      </c>
      <c r="V47" s="2">
        <f>IF(Таблица13[[#This Row],[Число фаз]]=1,2*O47*(22.5/S47*L47+0.08*SIN(ACOS(L47)))*(U47/1000)*(100/220),SQRT(3)*O47*(22.5/S47*L47+0.08*SIN(ACOS(L47)))*(U47/1000)*(100/380))</f>
        <v>0.16867683782449311</v>
      </c>
      <c r="W4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ШС-7/M00-51,6-77,7-20</v>
      </c>
      <c r="X47" s="1" t="str">
        <f>TEXT(Таблица13[[#This Row],[Потери]],"0,0") &amp; "-" &amp;Таблица13[[#This Row],[Полная марка кабеля]]</f>
        <v>0,2-КГ-3x95+1x35</v>
      </c>
      <c r="Y47" t="s">
        <v>419</v>
      </c>
      <c r="Z4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48" spans="1:26" x14ac:dyDescent="0.25">
      <c r="A48" s="1" t="s">
        <v>17</v>
      </c>
      <c r="B48" s="1">
        <v>47</v>
      </c>
      <c r="C48" s="4">
        <v>2</v>
      </c>
      <c r="D48" s="4" t="str">
        <f>"ВА57-35 "&amp; Таблица13[[#This Row],[Число фаз]] &amp; "P " &amp;Таблица13[[#This Row],[Номинал АВ]] &amp; " А"</f>
        <v>ВА57-35 3P 100 А</v>
      </c>
      <c r="E48" s="1">
        <v>100</v>
      </c>
      <c r="F48" s="13" t="s">
        <v>287</v>
      </c>
      <c r="G48" s="1" t="s">
        <v>100</v>
      </c>
      <c r="H48" s="1" t="s">
        <v>94</v>
      </c>
      <c r="I48" s="1" t="s">
        <v>98</v>
      </c>
      <c r="J48" s="16">
        <v>19</v>
      </c>
      <c r="K48" s="1">
        <v>3</v>
      </c>
      <c r="L48" s="15">
        <v>0.8</v>
      </c>
      <c r="M48" s="1">
        <v>1</v>
      </c>
      <c r="N48" s="2">
        <f>Таблица13[[#This Row],[Pуст, кВт]]*Таблица13[[#This Row],[Kи]]</f>
        <v>19</v>
      </c>
      <c r="O48" s="2">
        <f>IF(Таблица13[[#This Row],[Число фаз]]=1,J48/220/L48*M48*1000,J48/3/220/L48*M48*1000)</f>
        <v>35.984848484848477</v>
      </c>
      <c r="P48" s="2" t="str">
        <f>Таблица13[[#This Row],[Коды щитков]] &amp; "/M" &amp; TEXT( Таблица13[[#This Row],[Номер АВ]], "00")</f>
        <v>ШС-7/M02</v>
      </c>
      <c r="Q48" s="1" t="s">
        <v>63</v>
      </c>
      <c r="R48" s="1">
        <v>5</v>
      </c>
      <c r="S48" s="1">
        <v>35</v>
      </c>
      <c r="T48" s="1">
        <f>Таблица13[[#This Row],[Сечение фазного]]</f>
        <v>35</v>
      </c>
      <c r="U48" s="1">
        <v>10</v>
      </c>
      <c r="V48" s="2">
        <f>IF(Таблица13[[#This Row],[Число фаз]]=1,2*O48*(22.5/S48*L48+0.08*SIN(ACOS(L48)))*(U48/1000)*(100/220),SQRT(3)*O48*(22.5/S48*L48+0.08*SIN(ACOS(L48)))*(U48/1000)*(100/380))</f>
        <v>9.2226081961459677E-2</v>
      </c>
      <c r="W4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ШС-7/M02-19,0-36,0-10</v>
      </c>
      <c r="X48" s="1" t="str">
        <f>TEXT(Таблица13[[#This Row],[Потери]],"0,0") &amp; "-" &amp;Таблица13[[#This Row],[Полная марка кабеля]]</f>
        <v>0,1-ВВГнг(A)-LS-5x35</v>
      </c>
      <c r="Y48" t="s">
        <v>419</v>
      </c>
      <c r="Z4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ВВГнг(A)-LS-5x35</v>
      </c>
    </row>
    <row r="49" spans="1:26" x14ac:dyDescent="0.25">
      <c r="A49" s="1" t="s">
        <v>17</v>
      </c>
      <c r="B49" s="1">
        <v>48</v>
      </c>
      <c r="C49" s="4">
        <v>3</v>
      </c>
      <c r="D49" s="4" t="str">
        <f>"Acti9 iC60N C"&amp;Таблица13[[#This Row],[Номинал АВ]]&amp; " " &amp; Таблица13[[#This Row],[Число фаз]] &amp; "P"</f>
        <v>Acti9 iC60N C63 3P</v>
      </c>
      <c r="E49" s="1">
        <v>63</v>
      </c>
      <c r="F49" s="9"/>
      <c r="G49" s="1"/>
      <c r="H49" s="1" t="s">
        <v>498</v>
      </c>
      <c r="I49" s="1"/>
      <c r="K49" s="1">
        <v>3</v>
      </c>
      <c r="N49" s="2">
        <f>Таблица13[[#This Row],[Pуст, кВт]]*Таблица13[[#This Row],[Kи]]</f>
        <v>0</v>
      </c>
      <c r="O49" s="2" t="e">
        <f>IF(Таблица13[[#This Row],[Число фаз]]=1,J49/220/L49*M49*1000,J49/3/220/L49*M49*1000)</f>
        <v>#DIV/0!</v>
      </c>
      <c r="P49" s="2" t="str">
        <f>Таблица13[[#This Row],[Коды щитков]] &amp; "/M" &amp; TEXT( Таблица13[[#This Row],[Номер АВ]], "00")</f>
        <v>/M03</v>
      </c>
      <c r="Q49" s="1"/>
      <c r="R49" s="1"/>
      <c r="S49" s="1"/>
      <c r="T49" s="25">
        <f>Таблица13[[#This Row],[Сечение фазного]]</f>
        <v>0</v>
      </c>
      <c r="U49" s="1"/>
      <c r="V49" s="2" t="e">
        <f>IF(Таблица13[[#This Row],[Число фаз]]=1,2*O49*(22.5/S49*L49+0.08*SIN(ACOS(L49)))*(U49/1000)*(100/220),SQRT(3)*O49*(22.5/S49*L49+0.08*SIN(ACOS(L49)))*(U49/1000)*(100/380))</f>
        <v>#DIV/0!</v>
      </c>
      <c r="W49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49" s="25" t="e">
        <f>TEXT(Таблица13[[#This Row],[Потери]],"0,0") &amp; "-" &amp;Таблица13[[#This Row],[Полная марка кабеля]]</f>
        <v>#DIV/0!</v>
      </c>
      <c r="Y49" s="1"/>
      <c r="Z49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50" spans="1:26" x14ac:dyDescent="0.25">
      <c r="A50" s="1" t="s">
        <v>18</v>
      </c>
      <c r="B50" s="1">
        <v>49</v>
      </c>
      <c r="C50" s="4">
        <v>1</v>
      </c>
      <c r="D50" s="4" t="str">
        <f>"ВА57-35 "&amp; Таблица13[[#This Row],[Число фаз]] &amp; "P " &amp;Таблица13[[#This Row],[Номинал АВ]] &amp; " А"</f>
        <v>ВА57-35 3P 80 А</v>
      </c>
      <c r="E50" s="1">
        <v>80</v>
      </c>
      <c r="F50" s="13" t="s">
        <v>307</v>
      </c>
      <c r="G50" s="1" t="s">
        <v>108</v>
      </c>
      <c r="H50" s="1" t="s">
        <v>94</v>
      </c>
      <c r="I50" s="1" t="s">
        <v>106</v>
      </c>
      <c r="J50" s="16">
        <v>33</v>
      </c>
      <c r="K50" s="1">
        <v>3</v>
      </c>
      <c r="L50" s="15">
        <v>0.8</v>
      </c>
      <c r="M50" s="1">
        <v>1</v>
      </c>
      <c r="N50" s="2">
        <f>Таблица13[[#This Row],[Pуст, кВт]]*Таблица13[[#This Row],[Kи]]</f>
        <v>33</v>
      </c>
      <c r="O50" s="2">
        <f>IF(Таблица13[[#This Row],[Число фаз]]=1,J50/220/L50*M50*1000,J50/3/220/L50*M50*1000)</f>
        <v>62.5</v>
      </c>
      <c r="P50" s="2" t="str">
        <f>Таблица13[[#This Row],[Коды щитков]] &amp; "/M" &amp; TEXT( Таблица13[[#This Row],[Номер АВ]], "00")</f>
        <v>ШС-3-1/M01</v>
      </c>
      <c r="Q50" s="1" t="s">
        <v>63</v>
      </c>
      <c r="R50" s="1">
        <v>5</v>
      </c>
      <c r="S50" s="1">
        <v>25</v>
      </c>
      <c r="T50" s="1">
        <f>Таблица13[[#This Row],[Сечение фазного]]</f>
        <v>25</v>
      </c>
      <c r="U50" s="1">
        <v>10</v>
      </c>
      <c r="V50" s="2">
        <f>IF(Таблица13[[#This Row],[Число фаз]]=1,2*O50*(22.5/S50*L50+0.08*SIN(ACOS(L50)))*(U50/1000)*(100/220),SQRT(3)*O50*(22.5/S50*L50+0.08*SIN(ACOS(L50)))*(U50/1000)*(100/380))</f>
        <v>0.21878536516659502</v>
      </c>
      <c r="W5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ШС-3-1/M01-33,0-62,5-10</v>
      </c>
      <c r="X50" s="1" t="str">
        <f>TEXT(Таблица13[[#This Row],[Потери]],"0,0") &amp; "-" &amp;Таблица13[[#This Row],[Полная марка кабеля]]</f>
        <v>0,2-ВВГнг(A)-LS-5x25</v>
      </c>
      <c r="Y50" t="s">
        <v>420</v>
      </c>
      <c r="Z5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51" spans="1:26" x14ac:dyDescent="0.25">
      <c r="A51" s="1" t="s">
        <v>18</v>
      </c>
      <c r="B51" s="1">
        <v>50</v>
      </c>
      <c r="C51" s="4">
        <v>2</v>
      </c>
      <c r="D51" s="4" t="str">
        <f>"ВА57-35 "&amp; Таблица13[[#This Row],[Число фаз]] &amp; "P " &amp;Таблица13[[#This Row],[Номинал АВ]] &amp; " А"</f>
        <v>ВА57-35 3P 80 А</v>
      </c>
      <c r="E51" s="1">
        <v>80</v>
      </c>
      <c r="F51" s="13" t="s">
        <v>308</v>
      </c>
      <c r="G51" s="1" t="s">
        <v>108</v>
      </c>
      <c r="H51" s="1" t="s">
        <v>94</v>
      </c>
      <c r="I51" s="1" t="s">
        <v>106</v>
      </c>
      <c r="J51" s="16">
        <v>33</v>
      </c>
      <c r="K51" s="1">
        <v>3</v>
      </c>
      <c r="L51" s="15">
        <v>0.8</v>
      </c>
      <c r="M51" s="1">
        <v>1</v>
      </c>
      <c r="N51" s="2">
        <f>Таблица13[[#This Row],[Pуст, кВт]]*Таблица13[[#This Row],[Kи]]</f>
        <v>33</v>
      </c>
      <c r="O51" s="2">
        <f>IF(Таблица13[[#This Row],[Число фаз]]=1,J51/220/L51*M51*1000,J51/3/220/L51*M51*1000)</f>
        <v>62.5</v>
      </c>
      <c r="P51" s="2" t="str">
        <f>Таблица13[[#This Row],[Коды щитков]] &amp; "/M" &amp; TEXT( Таблица13[[#This Row],[Номер АВ]], "00")</f>
        <v>ШС-3-1/M02</v>
      </c>
      <c r="Q51" s="1" t="s">
        <v>63</v>
      </c>
      <c r="R51" s="1">
        <v>5</v>
      </c>
      <c r="S51" s="1">
        <v>25</v>
      </c>
      <c r="T51" s="1">
        <f>Таблица13[[#This Row],[Сечение фазного]]</f>
        <v>25</v>
      </c>
      <c r="U51" s="1">
        <v>10</v>
      </c>
      <c r="V51" s="2">
        <f>IF(Таблица13[[#This Row],[Число фаз]]=1,2*O51*(22.5/S51*L51+0.08*SIN(ACOS(L51)))*(U51/1000)*(100/220),SQRT(3)*O51*(22.5/S51*L51+0.08*SIN(ACOS(L51)))*(U51/1000)*(100/380))</f>
        <v>0.21878536516659502</v>
      </c>
      <c r="W5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ШС-3-1/M02-33,0-62,5-10</v>
      </c>
      <c r="X51" s="1" t="str">
        <f>TEXT(Таблица13[[#This Row],[Потери]],"0,0") &amp; "-" &amp;Таблица13[[#This Row],[Полная марка кабеля]]</f>
        <v>0,2-ВВГнг(A)-LS-5x25</v>
      </c>
      <c r="Y51" t="s">
        <v>420</v>
      </c>
      <c r="Z5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52" spans="1:26" x14ac:dyDescent="0.25">
      <c r="A52" s="1" t="s">
        <v>18</v>
      </c>
      <c r="B52" s="1">
        <v>51</v>
      </c>
      <c r="C52" s="4">
        <v>3</v>
      </c>
      <c r="D52" s="4" t="str">
        <f>"Acti9 iC60N C"&amp;Таблица13[[#This Row],[Номинал АВ]]&amp; " " &amp; Таблица13[[#This Row],[Число фаз]] &amp; "P"</f>
        <v>Acti9 iC60N C63 3P</v>
      </c>
      <c r="E52" s="1">
        <v>63</v>
      </c>
      <c r="F52" s="13" t="s">
        <v>299</v>
      </c>
      <c r="G52" s="1" t="s">
        <v>109</v>
      </c>
      <c r="H52" s="1" t="s">
        <v>94</v>
      </c>
      <c r="I52" s="1" t="s">
        <v>107</v>
      </c>
      <c r="J52" s="16">
        <v>22</v>
      </c>
      <c r="K52" s="1">
        <v>3</v>
      </c>
      <c r="L52" s="15">
        <v>0.8</v>
      </c>
      <c r="M52" s="1">
        <v>1</v>
      </c>
      <c r="N52" s="2">
        <f>Таблица13[[#This Row],[Pуст, кВт]]*Таблица13[[#This Row],[Kи]]</f>
        <v>22</v>
      </c>
      <c r="O52" s="2">
        <f>IF(Таблица13[[#This Row],[Число фаз]]=1,J52/220/L52*M52*1000,J52/3/220/L52*M52*1000)</f>
        <v>41.666666666666664</v>
      </c>
      <c r="P52" s="2" t="str">
        <f>Таблица13[[#This Row],[Коды щитков]] &amp; "/M" &amp; TEXT( Таблица13[[#This Row],[Номер АВ]], "00")</f>
        <v>ШС-3-1/M03</v>
      </c>
      <c r="Q52" s="1" t="s">
        <v>63</v>
      </c>
      <c r="R52" s="1">
        <v>5</v>
      </c>
      <c r="S52" s="1">
        <v>16</v>
      </c>
      <c r="T52" s="1">
        <f>Таблица13[[#This Row],[Сечение фазного]]</f>
        <v>16</v>
      </c>
      <c r="U52" s="1">
        <v>10</v>
      </c>
      <c r="V52" s="2">
        <f>IF(Таблица13[[#This Row],[Число фаз]]=1,2*O52*(22.5/S52*L52+0.08*SIN(ACOS(L52)))*(U52/1000)*(100/220),SQRT(3)*O52*(22.5/S52*L52+0.08*SIN(ACOS(L52)))*(U52/1000)*(100/380))</f>
        <v>0.2227736400524444</v>
      </c>
      <c r="W5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ШС-3-1/M03-22,0-41,7-10</v>
      </c>
      <c r="X52" s="1" t="str">
        <f>TEXT(Таблица13[[#This Row],[Потери]],"0,0") &amp; "-" &amp;Таблица13[[#This Row],[Полная марка кабеля]]</f>
        <v>0,2-ВВГнг(A)-LS-5x16</v>
      </c>
      <c r="Y52" t="s">
        <v>420</v>
      </c>
      <c r="Z5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53" spans="1:26" x14ac:dyDescent="0.25">
      <c r="A53" s="1" t="s">
        <v>18</v>
      </c>
      <c r="B53" s="1">
        <v>52</v>
      </c>
      <c r="C53" s="4">
        <v>4</v>
      </c>
      <c r="D53" s="4" t="str">
        <f>"Acti9 iC60N C"&amp;Таблица13[[#This Row],[Номинал АВ]]&amp; " " &amp; Таблица13[[#This Row],[Число фаз]] &amp; "P"</f>
        <v>Acti9 iC60N C63 3P</v>
      </c>
      <c r="E53" s="1">
        <v>63</v>
      </c>
      <c r="F53" s="13" t="s">
        <v>300</v>
      </c>
      <c r="G53" s="1" t="s">
        <v>109</v>
      </c>
      <c r="H53" s="1" t="s">
        <v>94</v>
      </c>
      <c r="I53" s="1" t="s">
        <v>107</v>
      </c>
      <c r="J53" s="16">
        <v>22</v>
      </c>
      <c r="K53" s="1">
        <v>3</v>
      </c>
      <c r="L53" s="15">
        <v>0.8</v>
      </c>
      <c r="M53" s="1">
        <v>1</v>
      </c>
      <c r="N53" s="2">
        <f>Таблица13[[#This Row],[Pуст, кВт]]*Таблица13[[#This Row],[Kи]]</f>
        <v>22</v>
      </c>
      <c r="O53" s="2">
        <f>IF(Таблица13[[#This Row],[Число фаз]]=1,J53/220/L53*M53*1000,J53/3/220/L53*M53*1000)</f>
        <v>41.666666666666664</v>
      </c>
      <c r="P53" s="2" t="str">
        <f>Таблица13[[#This Row],[Коды щитков]] &amp; "/M" &amp; TEXT( Таблица13[[#This Row],[Номер АВ]], "00")</f>
        <v>ШС-3-1/M04</v>
      </c>
      <c r="Q53" s="1" t="s">
        <v>63</v>
      </c>
      <c r="R53" s="1">
        <v>5</v>
      </c>
      <c r="S53" s="1">
        <v>16</v>
      </c>
      <c r="T53" s="1">
        <f>Таблица13[[#This Row],[Сечение фазного]]</f>
        <v>16</v>
      </c>
      <c r="U53" s="1">
        <v>10</v>
      </c>
      <c r="V53" s="2">
        <f>IF(Таблица13[[#This Row],[Число фаз]]=1,2*O53*(22.5/S53*L53+0.08*SIN(ACOS(L53)))*(U53/1000)*(100/220),SQRT(3)*O53*(22.5/S53*L53+0.08*SIN(ACOS(L53)))*(U53/1000)*(100/380))</f>
        <v>0.2227736400524444</v>
      </c>
      <c r="W5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ШС-3-1/M04-22,0-41,7-10</v>
      </c>
      <c r="X53" s="1" t="str">
        <f>TEXT(Таблица13[[#This Row],[Потери]],"0,0") &amp; "-" &amp;Таблица13[[#This Row],[Полная марка кабеля]]</f>
        <v>0,2-ВВГнг(A)-LS-5x16</v>
      </c>
      <c r="Y53" t="s">
        <v>420</v>
      </c>
      <c r="Z5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54" spans="1:26" x14ac:dyDescent="0.25">
      <c r="A54" s="1" t="s">
        <v>18</v>
      </c>
      <c r="B54" s="1">
        <v>53</v>
      </c>
      <c r="C54" s="4">
        <v>5</v>
      </c>
      <c r="D54" s="4" t="str">
        <f>"Acti9 iC60N C"&amp;Таблица13[[#This Row],[Номинал АВ]]&amp; " " &amp; Таблица13[[#This Row],[Число фаз]] &amp; "P"</f>
        <v>Acti9 iC60N C63 3P</v>
      </c>
      <c r="E54" s="1">
        <v>63</v>
      </c>
      <c r="F54" s="13" t="s">
        <v>318</v>
      </c>
      <c r="G54" s="1"/>
      <c r="H54" s="1" t="s">
        <v>97</v>
      </c>
      <c r="I54" s="1" t="s">
        <v>98</v>
      </c>
      <c r="J54" s="16">
        <v>27</v>
      </c>
      <c r="K54" s="1">
        <v>3</v>
      </c>
      <c r="L54" s="15">
        <v>1</v>
      </c>
      <c r="M54" s="1">
        <v>1</v>
      </c>
      <c r="N54" s="2">
        <f>Таблица13[[#This Row],[Pуст, кВт]]*Таблица13[[#This Row],[Kи]]</f>
        <v>27</v>
      </c>
      <c r="O54" s="2">
        <f>IF(Таблица13[[#This Row],[Число фаз]]=1,J54/220/L54*M54*1000,J54/3/220/L54*M54*1000)</f>
        <v>40.909090909090907</v>
      </c>
      <c r="P54" s="2" t="str">
        <f>Таблица13[[#This Row],[Коды щитков]] &amp; "/M" &amp; TEXT( Таблица13[[#This Row],[Номер АВ]], "00")</f>
        <v>ШС-3-1/M05</v>
      </c>
      <c r="Q54" s="1" t="s">
        <v>63</v>
      </c>
      <c r="R54" s="1">
        <v>5</v>
      </c>
      <c r="S54" s="1">
        <v>16</v>
      </c>
      <c r="T54" s="1">
        <f>Таблица13[[#This Row],[Сечение фазного]]</f>
        <v>16</v>
      </c>
      <c r="U54" s="1">
        <v>10</v>
      </c>
      <c r="V54" s="2">
        <f>IF(Таблица13[[#This Row],[Число фаз]]=1,2*O54*(22.5/S54*L54+0.08*SIN(ACOS(L54)))*(U54/1000)*(100/220),SQRT(3)*O54*(22.5/S54*L54+0.08*SIN(ACOS(L54)))*(U54/1000)*(100/380))</f>
        <v>0.26221612480016271</v>
      </c>
      <c r="W5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ШС-3-1/M05-27,0-40,9-10</v>
      </c>
      <c r="X54" s="1" t="str">
        <f>TEXT(Таблица13[[#This Row],[Потери]],"0,0") &amp; "-" &amp;Таблица13[[#This Row],[Полная марка кабеля]]</f>
        <v>0,3-ВВГнг(A)-LS-5x16</v>
      </c>
      <c r="Y54" t="s">
        <v>420</v>
      </c>
      <c r="Z5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55" spans="1:26" x14ac:dyDescent="0.25">
      <c r="A55" s="1" t="s">
        <v>18</v>
      </c>
      <c r="B55" s="1">
        <v>54</v>
      </c>
      <c r="C55" s="4">
        <v>6</v>
      </c>
      <c r="D55" s="4" t="str">
        <f>"Acti9 DPN N Vigi C" &amp; Таблица13[[#This Row],[Номинал АВ]]&amp; " 1P+N 30 мА"</f>
        <v>Acti9 DPN N Vigi C10 1P+N 30 мА</v>
      </c>
      <c r="E55" s="1">
        <v>10</v>
      </c>
      <c r="F55" s="9"/>
      <c r="G55" s="1"/>
      <c r="H55" s="1" t="s">
        <v>72</v>
      </c>
      <c r="I55" s="1"/>
      <c r="J55" s="16">
        <v>2</v>
      </c>
      <c r="K55" s="1">
        <v>1</v>
      </c>
      <c r="L55" s="15">
        <v>0.9</v>
      </c>
      <c r="M55" s="1">
        <v>1</v>
      </c>
      <c r="N55" s="2">
        <f>Таблица13[[#This Row],[Pуст, кВт]]*Таблица13[[#This Row],[Kи]]</f>
        <v>2</v>
      </c>
      <c r="O55" s="2">
        <f>IF(Таблица13[[#This Row],[Число фаз]]=1,J55/220/L55*M55*1000,J55/3/220/L55*M55*1000)</f>
        <v>10.1010101010101</v>
      </c>
      <c r="P55" s="2" t="str">
        <f>Таблица13[[#This Row],[Коды щитков]] &amp; "/M" &amp; TEXT( Таблица13[[#This Row],[Номер АВ]], "00")</f>
        <v>ШС-3-1/M06</v>
      </c>
      <c r="Q55" s="1" t="s">
        <v>63</v>
      </c>
      <c r="R55" s="1">
        <v>3</v>
      </c>
      <c r="S55" s="1">
        <v>2.5</v>
      </c>
      <c r="T55" s="1">
        <f>Таблица13[[#This Row],[Сечение фазного]]</f>
        <v>2.5</v>
      </c>
      <c r="U55" s="1">
        <v>10</v>
      </c>
      <c r="V55" s="2">
        <f>IF(Таблица13[[#This Row],[Число фаз]]=1,2*O55*(22.5/S55*L55+0.08*SIN(ACOS(L55)))*(U55/1000)*(100/220),SQRT(3)*O55*(22.5/S55*L55+0.08*SIN(ACOS(L55)))*(U55/1000)*(100/380))</f>
        <v>0.74700378251132449</v>
      </c>
      <c r="W5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ШС-3-1/M06-2,0-10,1-10</v>
      </c>
      <c r="X55" s="1" t="str">
        <f>TEXT(Таблица13[[#This Row],[Потери]],"0,0") &amp; "-" &amp;Таблица13[[#This Row],[Полная марка кабеля]]</f>
        <v>0,7-ВВГнг(A)-LS-3x2,5</v>
      </c>
      <c r="Y55" t="s">
        <v>420</v>
      </c>
      <c r="Z5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56" spans="1:26" x14ac:dyDescent="0.25">
      <c r="A56" s="1" t="s">
        <v>18</v>
      </c>
      <c r="B56" s="1">
        <v>55</v>
      </c>
      <c r="C56" s="4">
        <v>7</v>
      </c>
      <c r="D56" s="4" t="str">
        <f>"ВА57-35 "&amp; Таблица13[[#This Row],[Число фаз]] &amp; "P " &amp;Таблица13[[#This Row],[Номинал АВ]] &amp; " А"</f>
        <v>ВА57-35 3P 100 А</v>
      </c>
      <c r="E56" s="1">
        <v>100</v>
      </c>
      <c r="F56" s="13" t="s">
        <v>294</v>
      </c>
      <c r="G56" s="1" t="s">
        <v>111</v>
      </c>
      <c r="H56" s="1" t="s">
        <v>94</v>
      </c>
      <c r="I56" s="1" t="s">
        <v>110</v>
      </c>
      <c r="J56" s="16">
        <v>27</v>
      </c>
      <c r="K56" s="1">
        <v>3</v>
      </c>
      <c r="L56" s="15">
        <v>0.8</v>
      </c>
      <c r="M56" s="1">
        <v>1</v>
      </c>
      <c r="N56" s="2">
        <f>Таблица13[[#This Row],[Pуст, кВт]]*Таблица13[[#This Row],[Kи]]</f>
        <v>27</v>
      </c>
      <c r="O56" s="2">
        <f>IF(Таблица13[[#This Row],[Число фаз]]=1,J56/220/L56*M56*1000,J56/3/220/L56*M56*1000)</f>
        <v>51.136363636363633</v>
      </c>
      <c r="P56" s="2" t="str">
        <f>Таблица13[[#This Row],[Коды щитков]] &amp; "/M" &amp; TEXT( Таблица13[[#This Row],[Номер АВ]], "00")</f>
        <v>ШС-3-1/M07</v>
      </c>
      <c r="Q56" s="1" t="s">
        <v>63</v>
      </c>
      <c r="R56" s="1">
        <v>5</v>
      </c>
      <c r="S56" s="1">
        <v>35</v>
      </c>
      <c r="T56" s="1">
        <f>Таблица13[[#This Row],[Сечение фазного]]</f>
        <v>35</v>
      </c>
      <c r="U56" s="1">
        <v>40</v>
      </c>
      <c r="V56" s="2">
        <f>IF(Таблица13[[#This Row],[Число фаз]]=1,2*O56*(22.5/S56*L56+0.08*SIN(ACOS(L56)))*(U56/1000)*(100/220),SQRT(3)*O56*(22.5/S56*L56+0.08*SIN(ACOS(L56)))*(U56/1000)*(100/380))</f>
        <v>0.52423246588619188</v>
      </c>
      <c r="W5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ШС-3-1/M07-27,0-51,1-40</v>
      </c>
      <c r="X56" s="1" t="str">
        <f>TEXT(Таблица13[[#This Row],[Потери]],"0,0") &amp; "-" &amp;Таблица13[[#This Row],[Полная марка кабеля]]</f>
        <v>0,5-ВВГнг(A)-LS-5x35</v>
      </c>
      <c r="Y56" t="s">
        <v>420</v>
      </c>
      <c r="Z5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ВВГнг(A)-LS-5x35</v>
      </c>
    </row>
    <row r="57" spans="1:26" x14ac:dyDescent="0.25">
      <c r="A57" s="1" t="s">
        <v>19</v>
      </c>
      <c r="B57" s="1">
        <v>56</v>
      </c>
      <c r="C57" s="4">
        <v>1</v>
      </c>
      <c r="D57" s="4" t="str">
        <f>"RBK-2 "&amp; Таблица13[[#This Row],[Число фаз]] &amp; "P ППН-" &amp;Таблица13[[#This Row],[Номинал АВ]] &amp; " А"</f>
        <v>RBK-2 3P ППН-250 А</v>
      </c>
      <c r="E57" s="1">
        <v>250</v>
      </c>
      <c r="F57" s="13" t="s">
        <v>335</v>
      </c>
      <c r="G57" s="1" t="s">
        <v>114</v>
      </c>
      <c r="H57" s="1" t="s">
        <v>407</v>
      </c>
      <c r="I57" s="1" t="s">
        <v>112</v>
      </c>
      <c r="J57" s="16">
        <v>116</v>
      </c>
      <c r="K57" s="1">
        <v>3</v>
      </c>
      <c r="L57" s="15">
        <v>1</v>
      </c>
      <c r="M57" s="1">
        <v>1</v>
      </c>
      <c r="N57" s="2">
        <f>Таблица13[[#This Row],[Pуст, кВт]]*Таблица13[[#This Row],[Kи]]</f>
        <v>116</v>
      </c>
      <c r="O57" s="2">
        <f>IF(Таблица13[[#This Row],[Число фаз]]=1,J57/220/L57*M57*1000,J57/3/220/L57*M57*1000)</f>
        <v>175.75757575757575</v>
      </c>
      <c r="P57" s="2" t="str">
        <f>Таблица13[[#This Row],[Коды щитков]] &amp; "/M" &amp; TEXT( Таблица13[[#This Row],[Номер АВ]], "00")</f>
        <v>ТП-3721/M01</v>
      </c>
      <c r="Q57" s="1" t="s">
        <v>7</v>
      </c>
      <c r="R57" s="1">
        <v>4</v>
      </c>
      <c r="S57" s="1">
        <v>95</v>
      </c>
      <c r="T57" s="1">
        <v>35</v>
      </c>
      <c r="U57" s="1">
        <v>100</v>
      </c>
      <c r="V57" s="2">
        <f>IF(Таблица13[[#This Row],[Число фаз]]=1,2*O57*(22.5/S57*L57+0.08*SIN(ACOS(L57)))*(U57/1000)*(100/220),SQRT(3)*O57*(22.5/S57*L57+0.08*SIN(ACOS(L57)))*(U57/1000)*(100/380))</f>
        <v>1.8973611213610213</v>
      </c>
      <c r="W5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ТП-3721/M01-116,0-175,8-100</v>
      </c>
      <c r="X57" s="1" t="str">
        <f>TEXT(Таблица13[[#This Row],[Потери]],"0,0") &amp; "-" &amp;Таблица13[[#This Row],[Полная марка кабеля]]</f>
        <v>1,9-КГ-3x95+1x35</v>
      </c>
      <c r="Y57" t="s">
        <v>494</v>
      </c>
      <c r="Z5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58" spans="1:26" x14ac:dyDescent="0.25">
      <c r="A58" s="1" t="s">
        <v>19</v>
      </c>
      <c r="B58" s="1">
        <v>57</v>
      </c>
      <c r="C58" s="4">
        <v>2</v>
      </c>
      <c r="D58" s="4" t="str">
        <f>"RBK-2 "&amp; Таблица13[[#This Row],[Число фаз]] &amp; "P ППН-" &amp;Таблица13[[#This Row],[Номинал АВ]] &amp; " А"</f>
        <v>RBK-2 3P ППН-250 А</v>
      </c>
      <c r="E58" s="1">
        <v>250</v>
      </c>
      <c r="F58" s="13" t="s">
        <v>336</v>
      </c>
      <c r="G58" s="1" t="s">
        <v>114</v>
      </c>
      <c r="H58" s="1" t="s">
        <v>407</v>
      </c>
      <c r="I58" s="1" t="s">
        <v>112</v>
      </c>
      <c r="J58" s="16">
        <v>116</v>
      </c>
      <c r="K58" s="1">
        <v>3</v>
      </c>
      <c r="L58" s="15">
        <v>1</v>
      </c>
      <c r="M58" s="1">
        <v>1</v>
      </c>
      <c r="N58" s="2">
        <f>Таблица13[[#This Row],[Pуст, кВт]]*Таблица13[[#This Row],[Kи]]</f>
        <v>116</v>
      </c>
      <c r="O58" s="2">
        <f>IF(Таблица13[[#This Row],[Число фаз]]=1,J58/220/L58*M58*1000,J58/3/220/L58*M58*1000)</f>
        <v>175.75757575757575</v>
      </c>
      <c r="P58" s="2" t="str">
        <f>Таблица13[[#This Row],[Коды щитков]] &amp; "/M" &amp; TEXT( Таблица13[[#This Row],[Номер АВ]], "00")</f>
        <v>ТП-3721/M02</v>
      </c>
      <c r="Q58" s="1" t="s">
        <v>7</v>
      </c>
      <c r="R58" s="1">
        <v>4</v>
      </c>
      <c r="S58" s="1">
        <v>95</v>
      </c>
      <c r="T58" s="1">
        <v>35</v>
      </c>
      <c r="U58" s="1">
        <v>100</v>
      </c>
      <c r="V58" s="2">
        <f>IF(Таблица13[[#This Row],[Число фаз]]=1,2*O58*(22.5/S58*L58+0.08*SIN(ACOS(L58)))*(U58/1000)*(100/220),SQRT(3)*O58*(22.5/S58*L58+0.08*SIN(ACOS(L58)))*(U58/1000)*(100/380))</f>
        <v>1.8973611213610213</v>
      </c>
      <c r="W5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ТП-3721/M02-116,0-175,8-100</v>
      </c>
      <c r="X58" s="1" t="str">
        <f>TEXT(Таблица13[[#This Row],[Потери]],"0,0") &amp; "-" &amp;Таблица13[[#This Row],[Полная марка кабеля]]</f>
        <v>1,9-КГ-3x95+1x35</v>
      </c>
      <c r="Y58" t="s">
        <v>494</v>
      </c>
      <c r="Z5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59" spans="1:26" x14ac:dyDescent="0.25">
      <c r="A59" s="1" t="s">
        <v>19</v>
      </c>
      <c r="B59" s="1">
        <v>58</v>
      </c>
      <c r="C59" s="4">
        <v>3</v>
      </c>
      <c r="D59" s="4" t="str">
        <f>"RBK-2 "&amp; Таблица13[[#This Row],[Число фаз]] &amp; "P ППН-" &amp;Таблица13[[#This Row],[Номинал АВ]] &amp; " А"</f>
        <v>RBK-2 3P ППН-250 А</v>
      </c>
      <c r="E59" s="1">
        <v>250</v>
      </c>
      <c r="F59" s="9" t="s">
        <v>18</v>
      </c>
      <c r="G59" s="1" t="s">
        <v>512</v>
      </c>
      <c r="H59" s="1" t="s">
        <v>263</v>
      </c>
      <c r="I59" s="1" t="s">
        <v>507</v>
      </c>
      <c r="J59" s="2">
        <v>166</v>
      </c>
      <c r="K59" s="1">
        <v>3</v>
      </c>
      <c r="L59" s="15">
        <v>0.82804489400027714</v>
      </c>
      <c r="M59" s="1">
        <v>0.8</v>
      </c>
      <c r="N59" s="2">
        <f>Таблица13[[#This Row],[Pуст, кВт]]*Таблица13[[#This Row],[Kи]]</f>
        <v>132.80000000000001</v>
      </c>
      <c r="O59" s="2">
        <f>IF(Таблица13[[#This Row],[Число фаз]]=1,J59/220/L59*M59*1000,J59/3/220/L59*M59*1000)</f>
        <v>242.99663299663302</v>
      </c>
      <c r="P59" s="2" t="str">
        <f>Таблица13[[#This Row],[Коды щитков]] &amp; "/M" &amp; TEXT( Таблица13[[#This Row],[Номер АВ]], "00")</f>
        <v>ТП-3721/M03</v>
      </c>
      <c r="Q59" s="1" t="s">
        <v>7</v>
      </c>
      <c r="R59" s="1">
        <v>4</v>
      </c>
      <c r="S59" s="1">
        <v>95</v>
      </c>
      <c r="T59" s="1">
        <v>35</v>
      </c>
      <c r="U59" s="1">
        <v>130</v>
      </c>
      <c r="V59" s="2">
        <f>IF(Таблица13[[#This Row],[Число фаз]]=1,2*O59*(22.5/S59*L59+0.08*SIN(ACOS(L59)))*(U59/1000)*(100/220),SQRT(3)*O59*(22.5/S59*L59+0.08*SIN(ACOS(L59)))*(U59/1000)*(100/380))</f>
        <v>3.4696169108338242</v>
      </c>
      <c r="W5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ТП-3721/M03-166,0-243,0-130</v>
      </c>
      <c r="X59" s="1" t="str">
        <f>TEXT(Таблица13[[#This Row],[Потери]],"0,0") &amp; "-" &amp;Таблица13[[#This Row],[Полная марка кабеля]]</f>
        <v>3,5-КГ-3x95+1x35</v>
      </c>
      <c r="Y59" t="s">
        <v>494</v>
      </c>
      <c r="Z5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60" spans="1:26" x14ac:dyDescent="0.25">
      <c r="A60" s="1" t="s">
        <v>19</v>
      </c>
      <c r="B60" s="1">
        <v>59</v>
      </c>
      <c r="C60" s="4">
        <v>4</v>
      </c>
      <c r="D60" s="4" t="str">
        <f>"RBK-2 "&amp; Таблица13[[#This Row],[Число фаз]] &amp; "P ППН-" &amp;Таблица13[[#This Row],[Номинал АВ]] &amp; " А"</f>
        <v>RBK-2 3P ППН-250 А</v>
      </c>
      <c r="E60" s="1">
        <v>250</v>
      </c>
      <c r="F60" s="13" t="s">
        <v>334</v>
      </c>
      <c r="G60" s="1" t="s">
        <v>114</v>
      </c>
      <c r="H60" s="1" t="s">
        <v>407</v>
      </c>
      <c r="I60" s="1" t="s">
        <v>112</v>
      </c>
      <c r="J60" s="16">
        <v>116</v>
      </c>
      <c r="K60" s="1">
        <v>3</v>
      </c>
      <c r="L60" s="15">
        <v>1</v>
      </c>
      <c r="M60" s="1">
        <v>1</v>
      </c>
      <c r="N60" s="2">
        <f>Таблица13[[#This Row],[Pуст, кВт]]*Таблица13[[#This Row],[Kи]]</f>
        <v>116</v>
      </c>
      <c r="O60" s="2">
        <f>IF(Таблица13[[#This Row],[Число фаз]]=1,J60/220/L60*M60*1000,J60/3/220/L60*M60*1000)</f>
        <v>175.75757575757575</v>
      </c>
      <c r="P60" s="2" t="str">
        <f>Таблица13[[#This Row],[Коды щитков]] &amp; "/M" &amp; TEXT( Таблица13[[#This Row],[Номер АВ]], "00")</f>
        <v>ТП-3721/M04</v>
      </c>
      <c r="Q60" s="1" t="s">
        <v>7</v>
      </c>
      <c r="R60" s="1">
        <v>4</v>
      </c>
      <c r="S60" s="1">
        <v>95</v>
      </c>
      <c r="T60" s="1">
        <v>35</v>
      </c>
      <c r="U60" s="1">
        <v>100</v>
      </c>
      <c r="V60" s="2">
        <f>IF(Таблица13[[#This Row],[Число фаз]]=1,2*O60*(22.5/S60*L60+0.08*SIN(ACOS(L60)))*(U60/1000)*(100/220),SQRT(3)*O60*(22.5/S60*L60+0.08*SIN(ACOS(L60)))*(U60/1000)*(100/380))</f>
        <v>1.8973611213610213</v>
      </c>
      <c r="W6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ТП-3721/M04-116,0-175,8-100</v>
      </c>
      <c r="X60" s="1" t="str">
        <f>TEXT(Таблица13[[#This Row],[Потери]],"0,0") &amp; "-" &amp;Таблица13[[#This Row],[Полная марка кабеля]]</f>
        <v>1,9-КГ-3x95+1x35</v>
      </c>
      <c r="Y60" t="s">
        <v>494</v>
      </c>
      <c r="Z6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61" spans="1:26" x14ac:dyDescent="0.25">
      <c r="A61" s="1" t="s">
        <v>19</v>
      </c>
      <c r="B61" s="1">
        <v>60</v>
      </c>
      <c r="C61" s="4">
        <v>5</v>
      </c>
      <c r="D61" s="4" t="str">
        <f>"RBK-2 "&amp; Таблица13[[#This Row],[Число фаз]] &amp; "P ППН-" &amp;Таблица13[[#This Row],[Номинал АВ]] &amp; " А"</f>
        <v>RBK-2 3P ППН-250 А</v>
      </c>
      <c r="E61" s="1">
        <v>250</v>
      </c>
      <c r="F61" s="13" t="s">
        <v>328</v>
      </c>
      <c r="G61" s="1" t="s">
        <v>115</v>
      </c>
      <c r="H61" s="1" t="s">
        <v>407</v>
      </c>
      <c r="I61" s="1" t="s">
        <v>112</v>
      </c>
      <c r="J61" s="16">
        <v>90</v>
      </c>
      <c r="K61" s="1">
        <v>3</v>
      </c>
      <c r="L61" s="15">
        <v>1</v>
      </c>
      <c r="M61" s="1">
        <v>1</v>
      </c>
      <c r="N61" s="2">
        <f>Таблица13[[#This Row],[Pуст, кВт]]*Таблица13[[#This Row],[Kи]]</f>
        <v>90</v>
      </c>
      <c r="O61" s="2">
        <f>IF(Таблица13[[#This Row],[Число фаз]]=1,J61/220/L61*M61*1000,J61/3/220/L61*M61*1000)</f>
        <v>136.36363636363635</v>
      </c>
      <c r="P61" s="2" t="str">
        <f>Таблица13[[#This Row],[Коды щитков]] &amp; "/M" &amp; TEXT( Таблица13[[#This Row],[Номер АВ]], "00")</f>
        <v>ТП-3721/M05</v>
      </c>
      <c r="Q61" s="1" t="s">
        <v>7</v>
      </c>
      <c r="R61" s="1">
        <v>4</v>
      </c>
      <c r="S61" s="1">
        <v>95</v>
      </c>
      <c r="T61" s="1">
        <v>35</v>
      </c>
      <c r="U61" s="1">
        <v>100</v>
      </c>
      <c r="V61" s="2">
        <f>IF(Таблица13[[#This Row],[Число фаз]]=1,2*O61*(22.5/S61*L61+0.08*SIN(ACOS(L61)))*(U61/1000)*(100/220),SQRT(3)*O61*(22.5/S61*L61+0.08*SIN(ACOS(L61)))*(U61/1000)*(100/380))</f>
        <v>1.4720905251938958</v>
      </c>
      <c r="W6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ТП-3721/M05-90,0-136,4-100</v>
      </c>
      <c r="X61" s="1" t="str">
        <f>TEXT(Таблица13[[#This Row],[Потери]],"0,0") &amp; "-" &amp;Таблица13[[#This Row],[Полная марка кабеля]]</f>
        <v>1,5-КГ-3x95+1x35</v>
      </c>
      <c r="Y61" t="s">
        <v>494</v>
      </c>
      <c r="Z6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62" spans="1:26" x14ac:dyDescent="0.25">
      <c r="A62" s="1" t="s">
        <v>19</v>
      </c>
      <c r="B62" s="1">
        <v>61</v>
      </c>
      <c r="C62" s="4">
        <v>6</v>
      </c>
      <c r="D62" s="4" t="str">
        <f>"RBK-2 "&amp; Таблица13[[#This Row],[Число фаз]] &amp; "P ППН-" &amp;Таблица13[[#This Row],[Номинал АВ]] &amp; " А"</f>
        <v>RBK-2 3P ППН-320 А</v>
      </c>
      <c r="E62" s="1">
        <v>320</v>
      </c>
      <c r="F62" s="13" t="s">
        <v>365</v>
      </c>
      <c r="G62" s="1" t="s">
        <v>116</v>
      </c>
      <c r="H62" s="1" t="s">
        <v>406</v>
      </c>
      <c r="I62" s="1" t="s">
        <v>404</v>
      </c>
      <c r="J62" s="16">
        <v>110</v>
      </c>
      <c r="K62" s="1">
        <v>3</v>
      </c>
      <c r="L62" s="15">
        <v>1</v>
      </c>
      <c r="M62" s="1">
        <v>1</v>
      </c>
      <c r="N62" s="2">
        <f>Таблица13[[#This Row],[Pуст, кВт]]*Таблица13[[#This Row],[Kи]]</f>
        <v>110</v>
      </c>
      <c r="O62" s="2">
        <f>IF(Таблица13[[#This Row],[Число фаз]]=1,J62/220/L62*M62*1000,J62/3/220/L62*M62*1000)</f>
        <v>166.66666666666666</v>
      </c>
      <c r="P62" s="2" t="str">
        <f>Таблица13[[#This Row],[Коды щитков]] &amp; "/M" &amp; TEXT( Таблица13[[#This Row],[Номер АВ]], "00")</f>
        <v>ТП-3721/M06</v>
      </c>
      <c r="Q62" s="1" t="s">
        <v>7</v>
      </c>
      <c r="R62" s="1">
        <v>4</v>
      </c>
      <c r="S62" s="1">
        <v>95</v>
      </c>
      <c r="T62" s="1">
        <v>35</v>
      </c>
      <c r="U62" s="1">
        <v>50</v>
      </c>
      <c r="V62" s="2">
        <f>IF(Таблица13[[#This Row],[Число фаз]]=1,2*O62*(22.5/S62*L62+0.08*SIN(ACOS(L62)))*(U62/1000)*(100/220),SQRT(3)*O62*(22.5/S62*L62+0.08*SIN(ACOS(L62)))*(U62/1000)*(100/380))</f>
        <v>0.89961087650738059</v>
      </c>
      <c r="W6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ТП-3721/M06-110,0-166,7-50</v>
      </c>
      <c r="X62" s="1" t="str">
        <f>TEXT(Таблица13[[#This Row],[Потери]],"0,0") &amp; "-" &amp;Таблица13[[#This Row],[Полная марка кабеля]]</f>
        <v>0,9-КГ-3x95+1x35</v>
      </c>
      <c r="Y62" t="s">
        <v>494</v>
      </c>
      <c r="Z6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63" spans="1:26" x14ac:dyDescent="0.25">
      <c r="A63" s="1" t="s">
        <v>19</v>
      </c>
      <c r="B63" s="1">
        <v>62</v>
      </c>
      <c r="C63" s="4">
        <v>7</v>
      </c>
      <c r="D63" s="4" t="str">
        <f>"RBK-2 "&amp; Таблица13[[#This Row],[Число фаз]] &amp; "P ППН-" &amp;Таблица13[[#This Row],[Номинал АВ]] &amp; " А"</f>
        <v>RBK-2 3P ППН-250 А</v>
      </c>
      <c r="E63" s="1">
        <v>250</v>
      </c>
      <c r="F63" s="9" t="s">
        <v>17</v>
      </c>
      <c r="G63" s="1" t="s">
        <v>512</v>
      </c>
      <c r="H63" s="1" t="s">
        <v>263</v>
      </c>
      <c r="I63" s="1"/>
      <c r="J63" s="2">
        <v>110.608</v>
      </c>
      <c r="K63" s="1">
        <v>3</v>
      </c>
      <c r="L63" s="15">
        <v>0.80234706214233897</v>
      </c>
      <c r="M63" s="1">
        <v>0.8</v>
      </c>
      <c r="N63" s="2">
        <f>Таблица13[[#This Row],[Pуст, кВт]]*Таблица13[[#This Row],[Kи]]</f>
        <v>88.486400000000003</v>
      </c>
      <c r="O63" s="2">
        <f>IF(Таблица13[[#This Row],[Число фаз]]=1,J63/220/L63*M63*1000,J63/3/220/L63*M63*1000)</f>
        <v>167.09764309764313</v>
      </c>
      <c r="P63" s="2" t="str">
        <f>Таблица13[[#This Row],[Коды щитков]] &amp; "/M" &amp; TEXT( Таблица13[[#This Row],[Номер АВ]], "00")</f>
        <v>ТП-3721/M07</v>
      </c>
      <c r="Q63" s="1" t="s">
        <v>7</v>
      </c>
      <c r="R63" s="1">
        <v>4</v>
      </c>
      <c r="S63" s="1">
        <v>95</v>
      </c>
      <c r="T63" s="1">
        <v>35</v>
      </c>
      <c r="U63" s="1">
        <v>90</v>
      </c>
      <c r="V63" s="2">
        <f>IF(Таблица13[[#This Row],[Число фаз]]=1,2*O63*(22.5/S63*L63+0.08*SIN(ACOS(L63)))*(U63/1000)*(100/220),SQRT(3)*O63*(22.5/S63*L63+0.08*SIN(ACOS(L63)))*(U63/1000)*(100/380))</f>
        <v>1.6299034485007173</v>
      </c>
      <c r="W6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ТП-3721/M07-110,6-167,1-90</v>
      </c>
      <c r="X63" s="1" t="str">
        <f>TEXT(Таблица13[[#This Row],[Потери]],"0,0") &amp; "-" &amp;Таблица13[[#This Row],[Полная марка кабеля]]</f>
        <v>1,6-КГ-3x95+1x35</v>
      </c>
      <c r="Y63" t="s">
        <v>494</v>
      </c>
      <c r="Z6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64" spans="1:26" x14ac:dyDescent="0.25">
      <c r="A64" s="1" t="s">
        <v>19</v>
      </c>
      <c r="B64" s="1">
        <v>63</v>
      </c>
      <c r="C64" s="4">
        <v>8</v>
      </c>
      <c r="D64" s="4" t="str">
        <f>"RBK-2 "&amp; Таблица13[[#This Row],[Число фаз]] &amp; "P ППН-" &amp;Таблица13[[#This Row],[Номинал АВ]] &amp; " А"</f>
        <v>RBK-2 3P ППН-250 А</v>
      </c>
      <c r="E64" s="1">
        <v>250</v>
      </c>
      <c r="F64" s="13" t="s">
        <v>332</v>
      </c>
      <c r="G64" s="1" t="s">
        <v>114</v>
      </c>
      <c r="H64" s="1" t="s">
        <v>407</v>
      </c>
      <c r="I64" s="1" t="s">
        <v>112</v>
      </c>
      <c r="J64" s="16">
        <v>116</v>
      </c>
      <c r="K64" s="1">
        <v>3</v>
      </c>
      <c r="L64" s="15">
        <v>1</v>
      </c>
      <c r="M64" s="1">
        <v>1</v>
      </c>
      <c r="N64" s="2">
        <f>Таблица13[[#This Row],[Pуст, кВт]]*Таблица13[[#This Row],[Kи]]</f>
        <v>116</v>
      </c>
      <c r="O64" s="2">
        <f>IF(Таблица13[[#This Row],[Число фаз]]=1,J64/220/L64*M64*1000,J64/3/220/L64*M64*1000)</f>
        <v>175.75757575757575</v>
      </c>
      <c r="P64" s="2" t="str">
        <f>Таблица13[[#This Row],[Коды щитков]] &amp; "/M" &amp; TEXT( Таблица13[[#This Row],[Номер АВ]], "00")</f>
        <v>ТП-3721/M08</v>
      </c>
      <c r="Q64" s="1" t="s">
        <v>7</v>
      </c>
      <c r="R64" s="1">
        <v>4</v>
      </c>
      <c r="S64" s="1">
        <v>95</v>
      </c>
      <c r="T64" s="1">
        <v>35</v>
      </c>
      <c r="U64" s="1">
        <v>100</v>
      </c>
      <c r="V64" s="2">
        <f>IF(Таблица13[[#This Row],[Число фаз]]=1,2*O64*(22.5/S64*L64+0.08*SIN(ACOS(L64)))*(U64/1000)*(100/220),SQRT(3)*O64*(22.5/S64*L64+0.08*SIN(ACOS(L64)))*(U64/1000)*(100/380))</f>
        <v>1.8973611213610213</v>
      </c>
      <c r="W6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ТП-3721/M08-116,0-175,8-100</v>
      </c>
      <c r="X64" s="1" t="str">
        <f>TEXT(Таблица13[[#This Row],[Потери]],"0,0") &amp; "-" &amp;Таблица13[[#This Row],[Полная марка кабеля]]</f>
        <v>1,9-КГ-3x95+1x35</v>
      </c>
      <c r="Y64" t="s">
        <v>494</v>
      </c>
      <c r="Z6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65" spans="1:26" x14ac:dyDescent="0.25">
      <c r="A65" s="1" t="s">
        <v>19</v>
      </c>
      <c r="B65" s="1">
        <v>64</v>
      </c>
      <c r="C65" s="4">
        <v>9</v>
      </c>
      <c r="D65" s="4" t="str">
        <f>"RBK-2 "&amp; Таблица13[[#This Row],[Число фаз]] &amp; "P ППН-" &amp;Таблица13[[#This Row],[Номинал АВ]] &amp; " А"</f>
        <v>RBK-2 3P ППН-250 А</v>
      </c>
      <c r="E65" s="1">
        <v>250</v>
      </c>
      <c r="F65" s="9"/>
      <c r="G65" s="1"/>
      <c r="H65" s="1"/>
      <c r="I65" s="1"/>
      <c r="K65" s="1">
        <v>3</v>
      </c>
      <c r="N65" s="2">
        <f>Таблица13[[#This Row],[Pуст, кВт]]*Таблица13[[#This Row],[Kи]]</f>
        <v>0</v>
      </c>
      <c r="O65" s="2" t="e">
        <f>IF(Таблица13[[#This Row],[Число фаз]]=1,J65/220/L65*M65*1000,J65/3/220/L65*M65*1000)</f>
        <v>#DIV/0!</v>
      </c>
      <c r="P65" s="2" t="str">
        <f>Таблица13[[#This Row],[Коды щитков]] &amp; "/M" &amp; TEXT( Таблица13[[#This Row],[Номер АВ]], "00")</f>
        <v>/M09</v>
      </c>
      <c r="Q65" s="1"/>
      <c r="R65" s="1"/>
      <c r="S65" s="1"/>
      <c r="T65" s="25">
        <f>Таблица13[[#This Row],[Сечение фазного]]</f>
        <v>0</v>
      </c>
      <c r="U65" s="1"/>
      <c r="V65" s="2" t="e">
        <f>IF(Таблица13[[#This Row],[Число фаз]]=1,2*O65*(22.5/S65*L65+0.08*SIN(ACOS(L65)))*(U65/1000)*(100/220),SQRT(3)*O65*(22.5/S65*L65+0.08*SIN(ACOS(L65)))*(U65/1000)*(100/380))</f>
        <v>#DIV/0!</v>
      </c>
      <c r="W65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65" s="25" t="e">
        <f>TEXT(Таблица13[[#This Row],[Потери]],"0,0") &amp; "-" &amp;Таблица13[[#This Row],[Полная марка кабеля]]</f>
        <v>#DIV/0!</v>
      </c>
      <c r="Y65" s="1"/>
      <c r="Z65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66" spans="1:26" x14ac:dyDescent="0.25">
      <c r="A66" s="1" t="s">
        <v>19</v>
      </c>
      <c r="B66" s="1">
        <v>65</v>
      </c>
      <c r="C66" s="4">
        <v>10</v>
      </c>
      <c r="D66" s="4" t="str">
        <f>"RBK-2 "&amp; Таблица13[[#This Row],[Число фаз]] &amp; "P ППН-" &amp;Таблица13[[#This Row],[Номинал АВ]] &amp; " А"</f>
        <v>RBK-2 3P ППН-250 А</v>
      </c>
      <c r="E66" s="1">
        <v>250</v>
      </c>
      <c r="F66" s="9"/>
      <c r="G66" s="1"/>
      <c r="H66" s="1"/>
      <c r="I66" s="1"/>
      <c r="K66" s="1">
        <v>3</v>
      </c>
      <c r="N66" s="2">
        <f>Таблица13[[#This Row],[Pуст, кВт]]*Таблица13[[#This Row],[Kи]]</f>
        <v>0</v>
      </c>
      <c r="O66" s="2" t="e">
        <f>IF(Таблица13[[#This Row],[Число фаз]]=1,J66/220/L66*M66*1000,J66/3/220/L66*M66*1000)</f>
        <v>#DIV/0!</v>
      </c>
      <c r="P66" s="2" t="str">
        <f>Таблица13[[#This Row],[Коды щитков]] &amp; "/M" &amp; TEXT( Таблица13[[#This Row],[Номер АВ]], "00")</f>
        <v>/M10</v>
      </c>
      <c r="Q66" s="1"/>
      <c r="R66" s="1"/>
      <c r="S66" s="1"/>
      <c r="T66" s="25">
        <f>Таблица13[[#This Row],[Сечение фазного]]</f>
        <v>0</v>
      </c>
      <c r="U66" s="1"/>
      <c r="V66" s="2" t="e">
        <f>IF(Таблица13[[#This Row],[Число фаз]]=1,2*O66*(22.5/S66*L66+0.08*SIN(ACOS(L66)))*(U66/1000)*(100/220),SQRT(3)*O66*(22.5/S66*L66+0.08*SIN(ACOS(L66)))*(U66/1000)*(100/380))</f>
        <v>#DIV/0!</v>
      </c>
      <c r="W6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66" s="25" t="e">
        <f>TEXT(Таблица13[[#This Row],[Потери]],"0,0") &amp; "-" &amp;Таблица13[[#This Row],[Полная марка кабеля]]</f>
        <v>#DIV/0!</v>
      </c>
      <c r="Y66" s="1"/>
      <c r="Z66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67" spans="1:26" x14ac:dyDescent="0.25">
      <c r="A67" s="1" t="s">
        <v>19</v>
      </c>
      <c r="B67" s="1">
        <v>66</v>
      </c>
      <c r="C67" s="4">
        <v>11</v>
      </c>
      <c r="D67" s="4" t="str">
        <f>"RBK-2 "&amp; Таблица13[[#This Row],[Число фаз]] &amp; "P ППН-" &amp;Таблица13[[#This Row],[Номинал АВ]] &amp; " А"</f>
        <v>RBK-2 3P ППН-250 А</v>
      </c>
      <c r="E67" s="1">
        <v>250</v>
      </c>
      <c r="F67" s="9"/>
      <c r="G67" s="1"/>
      <c r="H67" s="1"/>
      <c r="I67" s="1"/>
      <c r="K67" s="1">
        <v>3</v>
      </c>
      <c r="N67" s="2">
        <f>Таблица13[[#This Row],[Pуст, кВт]]*Таблица13[[#This Row],[Kи]]</f>
        <v>0</v>
      </c>
      <c r="O67" s="2" t="e">
        <f>IF(Таблица13[[#This Row],[Число фаз]]=1,J67/220/L67*M67*1000,J67/3/220/L67*M67*1000)</f>
        <v>#DIV/0!</v>
      </c>
      <c r="P67" s="2" t="str">
        <f>Таблица13[[#This Row],[Коды щитков]] &amp; "/M" &amp; TEXT( Таблица13[[#This Row],[Номер АВ]], "00")</f>
        <v>/M11</v>
      </c>
      <c r="Q67" s="1"/>
      <c r="R67" s="1"/>
      <c r="S67" s="1"/>
      <c r="T67" s="25">
        <f>Таблица13[[#This Row],[Сечение фазного]]</f>
        <v>0</v>
      </c>
      <c r="U67" s="1"/>
      <c r="V67" s="2" t="e">
        <f>IF(Таблица13[[#This Row],[Число фаз]]=1,2*O67*(22.5/S67*L67+0.08*SIN(ACOS(L67)))*(U67/1000)*(100/220),SQRT(3)*O67*(22.5/S67*L67+0.08*SIN(ACOS(L67)))*(U67/1000)*(100/380))</f>
        <v>#DIV/0!</v>
      </c>
      <c r="W67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67" s="25" t="e">
        <f>TEXT(Таблица13[[#This Row],[Потери]],"0,0") &amp; "-" &amp;Таблица13[[#This Row],[Полная марка кабеля]]</f>
        <v>#DIV/0!</v>
      </c>
      <c r="Y67" s="1"/>
      <c r="Z67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68" spans="1:26" x14ac:dyDescent="0.25">
      <c r="A68" s="1" t="s">
        <v>19</v>
      </c>
      <c r="B68" s="1">
        <v>67</v>
      </c>
      <c r="C68" s="4">
        <v>12</v>
      </c>
      <c r="D68" s="4" t="str">
        <f>"RBK-2 "&amp; Таблица13[[#This Row],[Число фаз]] &amp; "P ППН-" &amp;Таблица13[[#This Row],[Номинал АВ]] &amp; " А"</f>
        <v>RBK-2 3P ППН-250 А</v>
      </c>
      <c r="E68" s="1">
        <v>250</v>
      </c>
      <c r="F68" s="9" t="s">
        <v>14</v>
      </c>
      <c r="G68" s="1" t="s">
        <v>512</v>
      </c>
      <c r="H68" s="1" t="s">
        <v>263</v>
      </c>
      <c r="I68" s="1" t="s">
        <v>488</v>
      </c>
      <c r="J68" s="2">
        <v>239.18799999999999</v>
      </c>
      <c r="K68" s="1">
        <v>3</v>
      </c>
      <c r="L68" s="15">
        <v>0.83792493407160129</v>
      </c>
      <c r="M68" s="1">
        <v>0.55000000000000004</v>
      </c>
      <c r="N68" s="2">
        <f>Таблица13[[#This Row],[Pуст, кВт]]*Таблица13[[#This Row],[Kи]]</f>
        <v>131.55340000000001</v>
      </c>
      <c r="O68" s="2">
        <f>IF(Таблица13[[#This Row],[Число фаз]]=1,J68/220/L68*M68*1000,J68/3/220/L68*M68*1000)</f>
        <v>237.87731481481489</v>
      </c>
      <c r="P68" s="2" t="str">
        <f>Таблица13[[#This Row],[Коды щитков]] &amp; "/M" &amp; TEXT( Таблица13[[#This Row],[Номер АВ]], "00")</f>
        <v>ТП-3721/M12</v>
      </c>
      <c r="Q68" s="1" t="s">
        <v>7</v>
      </c>
      <c r="R68" s="1">
        <v>4</v>
      </c>
      <c r="S68" s="1">
        <v>120</v>
      </c>
      <c r="T68" s="1">
        <v>50</v>
      </c>
      <c r="U68" s="1">
        <v>140</v>
      </c>
      <c r="V68" s="2">
        <f>IF(Таблица13[[#This Row],[Число фаз]]=1,2*O68*(22.5/S68*L68+0.08*SIN(ACOS(L68)))*(U68/1000)*(100/220),SQRT(3)*O68*(22.5/S68*L68+0.08*SIN(ACOS(L68)))*(U68/1000)*(100/380))</f>
        <v>3.0476497628190855</v>
      </c>
      <c r="W6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ТП-3721/M12-239,2-237,9-140</v>
      </c>
      <c r="X68" s="1" t="str">
        <f>TEXT(Таблица13[[#This Row],[Потери]],"0,0") &amp; "-" &amp;Таблица13[[#This Row],[Полная марка кабеля]]</f>
        <v>3,0-КГ-3x120+1x50</v>
      </c>
      <c r="Y68" t="s">
        <v>494</v>
      </c>
      <c r="Z6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КГ-3x120+1x50</v>
      </c>
    </row>
    <row r="69" spans="1:26" x14ac:dyDescent="0.25">
      <c r="A69" s="1" t="s">
        <v>20</v>
      </c>
      <c r="B69" s="1">
        <v>68</v>
      </c>
      <c r="C69" s="4">
        <v>1</v>
      </c>
      <c r="D69" s="4" t="str">
        <f>"Acti9 iC60N C"&amp;Таблица13[[#This Row],[Номинал АВ]]&amp; " " &amp; Таблица13[[#This Row],[Число фаз]] &amp; "P"</f>
        <v>Acti9 iC60N C63 3P</v>
      </c>
      <c r="E69" s="1">
        <v>63</v>
      </c>
      <c r="F69" s="13" t="s">
        <v>284</v>
      </c>
      <c r="G69" s="1" t="s">
        <v>99</v>
      </c>
      <c r="H69" s="1" t="s">
        <v>94</v>
      </c>
      <c r="I69" s="1" t="s">
        <v>117</v>
      </c>
      <c r="J69" s="16">
        <v>27</v>
      </c>
      <c r="K69" s="1">
        <v>3</v>
      </c>
      <c r="L69" s="15">
        <v>0.8</v>
      </c>
      <c r="M69" s="1">
        <v>1</v>
      </c>
      <c r="N69" s="2">
        <f>Таблица13[[#This Row],[Pуст, кВт]]*Таблица13[[#This Row],[Kи]]</f>
        <v>27</v>
      </c>
      <c r="O69" s="2">
        <f>IF(Таблица13[[#This Row],[Число фаз]]=1,J69/220/L69*M69*1000,J69/3/220/L69*M69*1000)</f>
        <v>51.136363636363633</v>
      </c>
      <c r="P69" s="2" t="str">
        <f>Таблица13[[#This Row],[Коды щитков]] &amp; "/M" &amp; TEXT( Таблица13[[#This Row],[Номер АВ]], "00")</f>
        <v>ШС-12-2/M01</v>
      </c>
      <c r="Q69" s="1" t="s">
        <v>63</v>
      </c>
      <c r="R69" s="1">
        <v>5</v>
      </c>
      <c r="S69" s="1">
        <v>16</v>
      </c>
      <c r="T69" s="1">
        <f>Таблица13[[#This Row],[Сечение фазного]]</f>
        <v>16</v>
      </c>
      <c r="U69" s="1">
        <v>10</v>
      </c>
      <c r="V69" s="2">
        <f>IF(Таблица13[[#This Row],[Число фаз]]=1,2*O69*(22.5/S69*L69+0.08*SIN(ACOS(L69)))*(U69/1000)*(100/220),SQRT(3)*O69*(22.5/S69*L69+0.08*SIN(ACOS(L69)))*(U69/1000)*(100/380))</f>
        <v>0.27340401279163629</v>
      </c>
      <c r="W6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ШС-12-2/M01-27,0-51,1-10</v>
      </c>
      <c r="X69" s="1" t="str">
        <f>TEXT(Таблица13[[#This Row],[Потери]],"0,0") &amp; "-" &amp;Таблица13[[#This Row],[Полная марка кабеля]]</f>
        <v>0,3-ВВГнг(A)-LS-5x16</v>
      </c>
      <c r="Y69" t="s">
        <v>414</v>
      </c>
      <c r="Z6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70" spans="1:26" x14ac:dyDescent="0.25">
      <c r="A70" s="1" t="s">
        <v>20</v>
      </c>
      <c r="B70" s="1">
        <v>69</v>
      </c>
      <c r="C70" s="4">
        <v>2</v>
      </c>
      <c r="D70" s="4" t="str">
        <f>"Acti9 iC60N C"&amp;Таблица13[[#This Row],[Номинал АВ]]&amp; " " &amp; Таблица13[[#This Row],[Число фаз]] &amp; "P"</f>
        <v>Acti9 iC60N C50 3P</v>
      </c>
      <c r="E70" s="1">
        <v>50</v>
      </c>
      <c r="F70" s="13" t="s">
        <v>316</v>
      </c>
      <c r="G70" s="1"/>
      <c r="H70" s="1" t="s">
        <v>97</v>
      </c>
      <c r="I70" s="1" t="s">
        <v>117</v>
      </c>
      <c r="J70" s="16">
        <v>27</v>
      </c>
      <c r="K70" s="1">
        <v>3</v>
      </c>
      <c r="L70" s="15">
        <v>1</v>
      </c>
      <c r="M70" s="1">
        <v>1</v>
      </c>
      <c r="N70" s="2">
        <f>Таблица13[[#This Row],[Pуст, кВт]]*Таблица13[[#This Row],[Kи]]</f>
        <v>27</v>
      </c>
      <c r="O70" s="2">
        <f>IF(Таблица13[[#This Row],[Число фаз]]=1,J70/220/L70*M70*1000,J70/3/220/L70*M70*1000)</f>
        <v>40.909090909090907</v>
      </c>
      <c r="P70" s="2" t="str">
        <f>Таблица13[[#This Row],[Коды щитков]] &amp; "/M" &amp; TEXT( Таблица13[[#This Row],[Номер АВ]], "00")</f>
        <v>ШС-12-2/M02</v>
      </c>
      <c r="Q70" s="1" t="s">
        <v>63</v>
      </c>
      <c r="R70" s="1">
        <v>5</v>
      </c>
      <c r="S70" s="1">
        <v>16</v>
      </c>
      <c r="T70" s="1">
        <f>Таблица13[[#This Row],[Сечение фазного]]</f>
        <v>16</v>
      </c>
      <c r="U70" s="1">
        <v>10</v>
      </c>
      <c r="V70" s="2">
        <f>IF(Таблица13[[#This Row],[Число фаз]]=1,2*O70*(22.5/S70*L70+0.08*SIN(ACOS(L70)))*(U70/1000)*(100/220),SQRT(3)*O70*(22.5/S70*L70+0.08*SIN(ACOS(L70)))*(U70/1000)*(100/380))</f>
        <v>0.26221612480016271</v>
      </c>
      <c r="W7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ШС-12-2/M02-27,0-40,9-10</v>
      </c>
      <c r="X70" s="1" t="str">
        <f>TEXT(Таблица13[[#This Row],[Потери]],"0,0") &amp; "-" &amp;Таблица13[[#This Row],[Полная марка кабеля]]</f>
        <v>0,3-ВВГнг(A)-LS-5x16</v>
      </c>
      <c r="Y70" t="s">
        <v>414</v>
      </c>
      <c r="Z7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71" spans="1:26" x14ac:dyDescent="0.25">
      <c r="A71" s="1" t="s">
        <v>20</v>
      </c>
      <c r="B71" s="1">
        <v>70</v>
      </c>
      <c r="C71" s="4">
        <v>3</v>
      </c>
      <c r="D71" s="4" t="str">
        <f>"Acti9 DPN N Vigi C" &amp; Таблица13[[#This Row],[Номинал АВ]]&amp; " 1P+N 30 мА"</f>
        <v>Acti9 DPN N Vigi C16 1P+N 30 мА</v>
      </c>
      <c r="E71" s="1">
        <v>16</v>
      </c>
      <c r="F71" s="9"/>
      <c r="G71" s="1"/>
      <c r="H71" s="1" t="s">
        <v>72</v>
      </c>
      <c r="I71" s="1" t="s">
        <v>117</v>
      </c>
      <c r="J71" s="16">
        <v>2</v>
      </c>
      <c r="K71" s="1">
        <v>1</v>
      </c>
      <c r="L71" s="15">
        <v>0.9</v>
      </c>
      <c r="M71" s="1">
        <v>1</v>
      </c>
      <c r="N71" s="2">
        <f>Таблица13[[#This Row],[Pуст, кВт]]*Таблица13[[#This Row],[Kи]]</f>
        <v>2</v>
      </c>
      <c r="O71" s="2">
        <f>IF(Таблица13[[#This Row],[Число фаз]]=1,J71/220/L71*M71*1000,J71/3/220/L71*M71*1000)</f>
        <v>10.1010101010101</v>
      </c>
      <c r="P71" s="2" t="str">
        <f>Таблица13[[#This Row],[Коды щитков]] &amp; "/M" &amp; TEXT( Таблица13[[#This Row],[Номер АВ]], "00")</f>
        <v>ШС-12-2/M03</v>
      </c>
      <c r="Q71" s="1" t="s">
        <v>63</v>
      </c>
      <c r="R71" s="1">
        <v>3</v>
      </c>
      <c r="S71" s="1">
        <v>2.5</v>
      </c>
      <c r="T71" s="1">
        <f>Таблица13[[#This Row],[Сечение фазного]]</f>
        <v>2.5</v>
      </c>
      <c r="U71" s="1">
        <v>10</v>
      </c>
      <c r="V71" s="2">
        <f>IF(Таблица13[[#This Row],[Число фаз]]=1,2*O71*(22.5/S71*L71+0.08*SIN(ACOS(L71)))*(U71/1000)*(100/220),SQRT(3)*O71*(22.5/S71*L71+0.08*SIN(ACOS(L71)))*(U71/1000)*(100/380))</f>
        <v>0.74700378251132449</v>
      </c>
      <c r="W7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ШС-12-2/M03-2,0-10,1-10</v>
      </c>
      <c r="X71" s="1" t="str">
        <f>TEXT(Таблица13[[#This Row],[Потери]],"0,0") &amp; "-" &amp;Таблица13[[#This Row],[Полная марка кабеля]]</f>
        <v>0,7-ВВГнг(A)-LS-3x2,5</v>
      </c>
      <c r="Y71" t="s">
        <v>414</v>
      </c>
      <c r="Z7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72" spans="1:26" x14ac:dyDescent="0.25">
      <c r="A72" s="1" t="s">
        <v>20</v>
      </c>
      <c r="B72" s="1">
        <v>71</v>
      </c>
      <c r="C72" s="4">
        <v>4</v>
      </c>
      <c r="D72" s="4" t="str">
        <f>"Acti9 iC60N C"&amp;Таблица13[[#This Row],[Номинал АВ]]&amp; " " &amp; Таблица13[[#This Row],[Число фаз]] &amp; "P"</f>
        <v>Acti9 iC60N C10 1P</v>
      </c>
      <c r="E72" s="1">
        <v>10</v>
      </c>
      <c r="F72" s="9"/>
      <c r="G72" s="1"/>
      <c r="H72" s="1" t="s">
        <v>73</v>
      </c>
      <c r="I72" s="1" t="s">
        <v>117</v>
      </c>
      <c r="J72" s="16">
        <f>12*0.038</f>
        <v>0.45599999999999996</v>
      </c>
      <c r="K72" s="1">
        <v>1</v>
      </c>
      <c r="L72" s="15">
        <v>0.96</v>
      </c>
      <c r="M72" s="1">
        <v>1</v>
      </c>
      <c r="N72" s="2">
        <f>Таблица13[[#This Row],[Pуст, кВт]]*Таблица13[[#This Row],[Kи]]</f>
        <v>0.45599999999999996</v>
      </c>
      <c r="O72" s="2">
        <f>IF(Таблица13[[#This Row],[Число фаз]]=1,J72/220/L72*M72*1000,J72/3/220/L72*M72*1000)</f>
        <v>2.1590909090909092</v>
      </c>
      <c r="P72" s="2" t="str">
        <f>Таблица13[[#This Row],[Коды щитков]] &amp; "/M" &amp; TEXT( Таблица13[[#This Row],[Номер АВ]], "00")</f>
        <v>ШС-12-2/M04</v>
      </c>
      <c r="Q72" s="1" t="s">
        <v>63</v>
      </c>
      <c r="R72" s="1">
        <v>3</v>
      </c>
      <c r="S72" s="1">
        <v>1.5</v>
      </c>
      <c r="T72" s="1">
        <f>Таблица13[[#This Row],[Сечение фазного]]</f>
        <v>1.5</v>
      </c>
      <c r="U72" s="1">
        <v>70</v>
      </c>
      <c r="V72" s="2">
        <f>IF(Таблица13[[#This Row],[Число фаз]]=1,2*O72*(22.5/S72*L72+0.08*SIN(ACOS(L72)))*(U72/1000)*(100/220),SQRT(3)*O72*(22.5/S72*L72+0.08*SIN(ACOS(L72)))*(U72/1000)*(100/380))</f>
        <v>1.9815900826446278</v>
      </c>
      <c r="W7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ШС-12-2/M04-0,5-2,2-70</v>
      </c>
      <c r="X72" s="1" t="str">
        <f>TEXT(Таблица13[[#This Row],[Потери]],"0,0") &amp; "-" &amp;Таблица13[[#This Row],[Полная марка кабеля]]</f>
        <v>2,0-ВВГнг(A)-LS-3x1,5</v>
      </c>
      <c r="Y72" t="s">
        <v>414</v>
      </c>
      <c r="Z7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73" spans="1:26" x14ac:dyDescent="0.25">
      <c r="A73" s="1" t="s">
        <v>21</v>
      </c>
      <c r="B73" s="1">
        <v>72</v>
      </c>
      <c r="C73" s="4">
        <v>0</v>
      </c>
      <c r="D73" s="4" t="str">
        <f>"ВА57-35 "&amp; Таблица13[[#This Row],[Число фаз]] &amp; "P " &amp;Таблица13[[#This Row],[Номинал АВ]] &amp; " А"</f>
        <v>ВА57-35 3P 250 А</v>
      </c>
      <c r="E73" s="1">
        <v>250</v>
      </c>
      <c r="F73" s="9" t="s">
        <v>20</v>
      </c>
      <c r="G73" s="1" t="s">
        <v>511</v>
      </c>
      <c r="H73" s="1" t="s">
        <v>263</v>
      </c>
      <c r="I73" s="1" t="s">
        <v>487</v>
      </c>
      <c r="J73" s="2">
        <v>29.456</v>
      </c>
      <c r="K73" s="1">
        <v>3</v>
      </c>
      <c r="L73" s="15">
        <v>0.80818230317811135</v>
      </c>
      <c r="M73" s="1">
        <v>1</v>
      </c>
      <c r="N73" s="2">
        <f>Таблица13[[#This Row],[Pуст, кВт]]*Таблица13[[#This Row],[Kи]]</f>
        <v>29.456</v>
      </c>
      <c r="O73" s="2">
        <f>IF(Таблица13[[#This Row],[Число фаз]]=1,J73/220/L73*M73*1000,J73/3/220/L73*M73*1000)</f>
        <v>55.223063973063979</v>
      </c>
      <c r="P73" s="2" t="str">
        <f>Таблица13[[#This Row],[Коды щитков]] &amp; "/M" &amp; TEXT( Таблица13[[#This Row],[Номер АВ]], "00")</f>
        <v>ШС-12-1/M00</v>
      </c>
      <c r="Q73" s="1" t="s">
        <v>7</v>
      </c>
      <c r="R73" s="1">
        <v>4</v>
      </c>
      <c r="S73" s="1">
        <v>35</v>
      </c>
      <c r="T73" s="1">
        <v>10</v>
      </c>
      <c r="U73" s="1">
        <v>10</v>
      </c>
      <c r="V73" s="2">
        <f>IF(Таблица13[[#This Row],[Число фаз]]=1,2*O73*(22.5/S73*L73+0.08*SIN(ACOS(L73)))*(U73/1000)*(100/220),SQRT(3)*O73*(22.5/S73*L73+0.08*SIN(ACOS(L73)))*(U73/1000)*(100/380))</f>
        <v>0.14263311319287797</v>
      </c>
      <c r="W7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ШС-12-1/M00-29,5-55,2-10</v>
      </c>
      <c r="X73" s="1" t="str">
        <f>TEXT(Таблица13[[#This Row],[Потери]],"0,0") &amp; "-" &amp;Таблица13[[#This Row],[Полная марка кабеля]]</f>
        <v>0,1-КГ-3x35+1x10</v>
      </c>
      <c r="Y73" t="s">
        <v>415</v>
      </c>
      <c r="Z7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КГ-3x35+1x10</v>
      </c>
    </row>
    <row r="74" spans="1:26" x14ac:dyDescent="0.25">
      <c r="A74" s="1" t="s">
        <v>21</v>
      </c>
      <c r="B74" s="1">
        <v>73</v>
      </c>
      <c r="C74" s="4">
        <v>1</v>
      </c>
      <c r="D74" s="4" t="str">
        <f>"Acti9 iC60N C"&amp;Таблица13[[#This Row],[Номинал АВ]]&amp; " " &amp; Таблица13[[#This Row],[Число фаз]] &amp; "P"</f>
        <v>Acti9 iC60N C63 3P</v>
      </c>
      <c r="E74" s="1">
        <v>63</v>
      </c>
      <c r="F74" s="13" t="s">
        <v>310</v>
      </c>
      <c r="G74" s="1" t="s">
        <v>100</v>
      </c>
      <c r="H74" s="1" t="s">
        <v>94</v>
      </c>
      <c r="I74" s="1" t="s">
        <v>118</v>
      </c>
      <c r="J74" s="16">
        <v>19</v>
      </c>
      <c r="K74" s="1">
        <v>3</v>
      </c>
      <c r="L74" s="15">
        <v>0.8</v>
      </c>
      <c r="M74" s="1">
        <v>1</v>
      </c>
      <c r="N74" s="2">
        <f>Таблица13[[#This Row],[Pуст, кВт]]*Таблица13[[#This Row],[Kи]]</f>
        <v>19</v>
      </c>
      <c r="O74" s="2">
        <f>IF(Таблица13[[#This Row],[Число фаз]]=1,J74/220/L74*M74*1000,J74/3/220/L74*M74*1000)</f>
        <v>35.984848484848477</v>
      </c>
      <c r="P74" s="2" t="str">
        <f>Таблица13[[#This Row],[Коды щитков]] &amp; "/M" &amp; TEXT( Таблица13[[#This Row],[Номер АВ]], "00")</f>
        <v>ШС-12-1/M01</v>
      </c>
      <c r="Q74" s="1" t="s">
        <v>63</v>
      </c>
      <c r="R74" s="1">
        <v>5</v>
      </c>
      <c r="S74" s="1">
        <v>16</v>
      </c>
      <c r="T74" s="1">
        <f>Таблица13[[#This Row],[Сечение фазного]]</f>
        <v>16</v>
      </c>
      <c r="U74" s="1">
        <v>10</v>
      </c>
      <c r="V74" s="2">
        <f>IF(Таблица13[[#This Row],[Число фаз]]=1,2*O74*(22.5/S74*L74+0.08*SIN(ACOS(L74)))*(U74/1000)*(100/220),SQRT(3)*O74*(22.5/S74*L74+0.08*SIN(ACOS(L74)))*(U74/1000)*(100/380))</f>
        <v>0.19239541640892924</v>
      </c>
      <c r="W7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ШС-12-1/M01-19,0-36,0-10</v>
      </c>
      <c r="X74" s="1" t="str">
        <f>TEXT(Таблица13[[#This Row],[Потери]],"0,0") &amp; "-" &amp;Таблица13[[#This Row],[Полная марка кабеля]]</f>
        <v>0,2-ВВГнг(A)-LS-5x16</v>
      </c>
      <c r="Y74" t="s">
        <v>415</v>
      </c>
      <c r="Z7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75" spans="1:26" x14ac:dyDescent="0.25">
      <c r="A75" s="1" t="s">
        <v>21</v>
      </c>
      <c r="B75" s="1">
        <v>74</v>
      </c>
      <c r="C75" s="4">
        <v>2</v>
      </c>
      <c r="D75" s="4" t="str">
        <f>"ВА57-35 "&amp; Таблица13[[#This Row],[Число фаз]] &amp; "P " &amp;Таблица13[[#This Row],[Номинал АВ]] &amp; " А"</f>
        <v>ВА57-35 3P 80 А</v>
      </c>
      <c r="E75" s="1">
        <v>80</v>
      </c>
      <c r="F75" s="13" t="s">
        <v>295</v>
      </c>
      <c r="G75" s="1" t="s">
        <v>119</v>
      </c>
      <c r="H75" s="1" t="s">
        <v>94</v>
      </c>
      <c r="I75" s="1" t="s">
        <v>120</v>
      </c>
      <c r="J75" s="16">
        <v>30</v>
      </c>
      <c r="K75" s="1">
        <v>3</v>
      </c>
      <c r="L75" s="15">
        <v>0.8</v>
      </c>
      <c r="M75" s="1">
        <v>1</v>
      </c>
      <c r="N75" s="2">
        <f>Таблица13[[#This Row],[Pуст, кВт]]*Таблица13[[#This Row],[Kи]]</f>
        <v>30</v>
      </c>
      <c r="O75" s="2">
        <f>IF(Таблица13[[#This Row],[Число фаз]]=1,J75/220/L75*M75*1000,J75/3/220/L75*M75*1000)</f>
        <v>56.818181818181813</v>
      </c>
      <c r="P75" s="2" t="str">
        <f>Таблица13[[#This Row],[Коды щитков]] &amp; "/M" &amp; TEXT( Таблица13[[#This Row],[Номер АВ]], "00")</f>
        <v>ШС-12-1/M02</v>
      </c>
      <c r="Q75" s="1" t="s">
        <v>63</v>
      </c>
      <c r="R75" s="1">
        <v>5</v>
      </c>
      <c r="S75" s="1">
        <v>25</v>
      </c>
      <c r="T75" s="1">
        <f>Таблица13[[#This Row],[Сечение фазного]]</f>
        <v>25</v>
      </c>
      <c r="U75" s="1">
        <v>10</v>
      </c>
      <c r="V75" s="2">
        <f>IF(Таблица13[[#This Row],[Число фаз]]=1,2*O75*(22.5/S75*L75+0.08*SIN(ACOS(L75)))*(U75/1000)*(100/220),SQRT(3)*O75*(22.5/S75*L75+0.08*SIN(ACOS(L75)))*(U75/1000)*(100/380))</f>
        <v>0.19889578651508635</v>
      </c>
      <c r="W7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ШС-12-1/M02-30,0-56,8-10</v>
      </c>
      <c r="X75" s="1" t="str">
        <f>TEXT(Таблица13[[#This Row],[Потери]],"0,0") &amp; "-" &amp;Таблица13[[#This Row],[Полная марка кабеля]]</f>
        <v>0,2-ВВГнг(A)-LS-5x25</v>
      </c>
      <c r="Y75" t="s">
        <v>415</v>
      </c>
      <c r="Z7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76" spans="1:26" x14ac:dyDescent="0.25">
      <c r="A76" s="1" t="s">
        <v>21</v>
      </c>
      <c r="B76" s="1">
        <v>75</v>
      </c>
      <c r="C76" s="4">
        <v>3</v>
      </c>
      <c r="D76" s="4" t="str">
        <f>"Acti9 DPN N Vigi C" &amp; Таблица13[[#This Row],[Номинал АВ]]&amp; " 1P+N 30 мА"</f>
        <v>Acti9 DPN N Vigi C16 1P+N 30 мА</v>
      </c>
      <c r="E76" s="1">
        <v>16</v>
      </c>
      <c r="F76" s="9"/>
      <c r="G76" s="1"/>
      <c r="H76" s="1" t="s">
        <v>72</v>
      </c>
      <c r="I76" s="1"/>
      <c r="J76" s="16">
        <v>2</v>
      </c>
      <c r="K76" s="1">
        <v>1</v>
      </c>
      <c r="L76" s="15">
        <v>0.9</v>
      </c>
      <c r="M76" s="1">
        <v>1</v>
      </c>
      <c r="N76" s="2">
        <f>Таблица13[[#This Row],[Pуст, кВт]]*Таблица13[[#This Row],[Kи]]</f>
        <v>2</v>
      </c>
      <c r="O76" s="2">
        <f>IF(Таблица13[[#This Row],[Число фаз]]=1,J76/220/L76*M76*1000,J76/3/220/L76*M76*1000)</f>
        <v>10.1010101010101</v>
      </c>
      <c r="P76" s="2" t="str">
        <f>Таблица13[[#This Row],[Коды щитков]] &amp; "/M" &amp; TEXT( Таблица13[[#This Row],[Номер АВ]], "00")</f>
        <v>ШС-12-1/M03</v>
      </c>
      <c r="Q76" s="1" t="s">
        <v>63</v>
      </c>
      <c r="R76" s="1">
        <v>3</v>
      </c>
      <c r="S76" s="1">
        <v>2.5</v>
      </c>
      <c r="T76" s="1">
        <f>Таблица13[[#This Row],[Сечение фазного]]</f>
        <v>2.5</v>
      </c>
      <c r="U76" s="1">
        <v>10</v>
      </c>
      <c r="V76" s="2">
        <f>IF(Таблица13[[#This Row],[Число фаз]]=1,2*O76*(22.5/S76*L76+0.08*SIN(ACOS(L76)))*(U76/1000)*(100/220),SQRT(3)*O76*(22.5/S76*L76+0.08*SIN(ACOS(L76)))*(U76/1000)*(100/380))</f>
        <v>0.74700378251132449</v>
      </c>
      <c r="W7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ШС-12-1/M03-2,0-10,1-10</v>
      </c>
      <c r="X76" s="1" t="str">
        <f>TEXT(Таблица13[[#This Row],[Потери]],"0,0") &amp; "-" &amp;Таблица13[[#This Row],[Полная марка кабеля]]</f>
        <v>0,7-ВВГнг(A)-LS-3x2,5</v>
      </c>
      <c r="Y76" t="s">
        <v>415</v>
      </c>
      <c r="Z7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77" spans="1:26" x14ac:dyDescent="0.25">
      <c r="A77" s="1" t="s">
        <v>21</v>
      </c>
      <c r="B77" s="1">
        <v>76</v>
      </c>
      <c r="C77" s="4">
        <v>4</v>
      </c>
      <c r="D77" s="4" t="str">
        <f>"Acti9 iC60N C"&amp;Таблица13[[#This Row],[Номинал АВ]]&amp; " " &amp; Таблица13[[#This Row],[Число фаз]] &amp; "P"</f>
        <v>Acti9 iC60N C10 1P</v>
      </c>
      <c r="E77" s="1">
        <v>10</v>
      </c>
      <c r="F77" s="9"/>
      <c r="G77" s="1"/>
      <c r="H77" s="1" t="s">
        <v>73</v>
      </c>
      <c r="I77" s="1"/>
      <c r="J77" s="16">
        <f>8*0.038</f>
        <v>0.30399999999999999</v>
      </c>
      <c r="K77" s="1">
        <v>1</v>
      </c>
      <c r="L77" s="15">
        <v>0.96</v>
      </c>
      <c r="M77" s="1">
        <v>1</v>
      </c>
      <c r="N77" s="2">
        <f>Таблица13[[#This Row],[Pуст, кВт]]*Таблица13[[#This Row],[Kи]]</f>
        <v>0.30399999999999999</v>
      </c>
      <c r="O77" s="2">
        <f>IF(Таблица13[[#This Row],[Число фаз]]=1,J77/220/L77*M77*1000,J77/3/220/L77*M77*1000)</f>
        <v>1.4393939393939394</v>
      </c>
      <c r="P77" s="2" t="str">
        <f>Таблица13[[#This Row],[Коды щитков]] &amp; "/M" &amp; TEXT( Таблица13[[#This Row],[Номер АВ]], "00")</f>
        <v>ШС-12-1/M04</v>
      </c>
      <c r="Q77" s="1" t="s">
        <v>63</v>
      </c>
      <c r="R77" s="1">
        <v>3</v>
      </c>
      <c r="S77" s="1">
        <v>1.5</v>
      </c>
      <c r="T77" s="1">
        <f>Таблица13[[#This Row],[Сечение фазного]]</f>
        <v>1.5</v>
      </c>
      <c r="U77" s="1">
        <v>50</v>
      </c>
      <c r="V77" s="2">
        <f>IF(Таблица13[[#This Row],[Число фаз]]=1,2*O77*(22.5/S77*L77+0.08*SIN(ACOS(L77)))*(U77/1000)*(100/220),SQRT(3)*O77*(22.5/S77*L77+0.08*SIN(ACOS(L77)))*(U77/1000)*(100/380))</f>
        <v>0.94361432506887044</v>
      </c>
      <c r="W7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ШС-12-1/M04-0,3-1,4-50</v>
      </c>
      <c r="X77" s="1" t="str">
        <f>TEXT(Таблица13[[#This Row],[Потери]],"0,0") &amp; "-" &amp;Таблица13[[#This Row],[Полная марка кабеля]]</f>
        <v>0,9-ВВГнг(A)-LS-3x1,5</v>
      </c>
      <c r="Y77" t="s">
        <v>415</v>
      </c>
      <c r="Z7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78" spans="1:26" x14ac:dyDescent="0.25">
      <c r="A78" s="1" t="s">
        <v>22</v>
      </c>
      <c r="B78" s="1">
        <v>77</v>
      </c>
      <c r="C78" s="4">
        <v>0</v>
      </c>
      <c r="D78" s="4" t="str">
        <f>"ВА57-35 "&amp; Таблица13[[#This Row],[Число фаз]] &amp; "P " &amp;Таблица13[[#This Row],[Номинал АВ]] &amp; " А"</f>
        <v>ВА57-35 3P 250 А</v>
      </c>
      <c r="E78" s="1">
        <v>250</v>
      </c>
      <c r="F78" s="9" t="s">
        <v>21</v>
      </c>
      <c r="G78" s="1" t="s">
        <v>511</v>
      </c>
      <c r="H78" s="1" t="s">
        <v>263</v>
      </c>
      <c r="I78" s="1" t="s">
        <v>486</v>
      </c>
      <c r="J78" s="2">
        <v>80.760000000000005</v>
      </c>
      <c r="K78" s="1">
        <v>3</v>
      </c>
      <c r="L78" s="15">
        <v>0.80569765830677564</v>
      </c>
      <c r="M78" s="1">
        <v>0.8</v>
      </c>
      <c r="N78" s="2">
        <f>Таблица13[[#This Row],[Pуст, кВт]]*Таблица13[[#This Row],[Kи]]</f>
        <v>64.608000000000004</v>
      </c>
      <c r="O78" s="2">
        <f>IF(Таблица13[[#This Row],[Число фаз]]=1,J78/220/L78*M78*1000,J78/3/220/L78*M78*1000)</f>
        <v>121.49831649831651</v>
      </c>
      <c r="P78" s="2" t="str">
        <f>Таблица13[[#This Row],[Коды щитков]] &amp; "/M" &amp; TEXT( Таблица13[[#This Row],[Номер АВ]], "00")</f>
        <v>ШС-12/M00</v>
      </c>
      <c r="Q78" s="1" t="s">
        <v>7</v>
      </c>
      <c r="R78" s="1">
        <v>4</v>
      </c>
      <c r="S78" s="1">
        <v>50</v>
      </c>
      <c r="T78" s="1">
        <v>16</v>
      </c>
      <c r="U78" s="1">
        <v>50</v>
      </c>
      <c r="V78" s="2">
        <f>IF(Таблица13[[#This Row],[Число фаз]]=1,2*O78*(22.5/S78*L78+0.08*SIN(ACOS(L78)))*(U78/1000)*(100/220),SQRT(3)*O78*(22.5/S78*L78+0.08*SIN(ACOS(L78)))*(U78/1000)*(100/380))</f>
        <v>1.1351370509228322</v>
      </c>
      <c r="W7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ШС-12/M00-80,8-121,5-50</v>
      </c>
      <c r="X78" s="1" t="str">
        <f>TEXT(Таблица13[[#This Row],[Потери]],"0,0") &amp; "-" &amp;Таблица13[[#This Row],[Полная марка кабеля]]</f>
        <v>1,1-КГ-3x50+1x16</v>
      </c>
      <c r="Y78" t="s">
        <v>416</v>
      </c>
      <c r="Z7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КГ-3x50+1x16</v>
      </c>
    </row>
    <row r="79" spans="1:26" x14ac:dyDescent="0.25">
      <c r="A79" s="1" t="s">
        <v>22</v>
      </c>
      <c r="B79" s="1">
        <v>78</v>
      </c>
      <c r="C79" s="4">
        <v>1</v>
      </c>
      <c r="D79" s="4" t="str">
        <f>"Acti9 iC60N C"&amp;Таблица13[[#This Row],[Номинал АВ]]&amp; " " &amp; Таблица13[[#This Row],[Число фаз]] &amp; "P"</f>
        <v>Acti9 iC60N C40 3P</v>
      </c>
      <c r="E79" s="1">
        <v>40</v>
      </c>
      <c r="F79" s="9" t="s">
        <v>121</v>
      </c>
      <c r="G79" s="1" t="s">
        <v>128</v>
      </c>
      <c r="H79" s="1" t="s">
        <v>131</v>
      </c>
      <c r="I79" s="1" t="s">
        <v>122</v>
      </c>
      <c r="J79" s="16">
        <v>19.399999999999999</v>
      </c>
      <c r="K79" s="1">
        <v>3</v>
      </c>
      <c r="L79" s="15">
        <v>0.9</v>
      </c>
      <c r="M79" s="1">
        <v>1</v>
      </c>
      <c r="N79" s="2">
        <f>Таблица13[[#This Row],[Pуст, кВт]]*Таблица13[[#This Row],[Kи]]</f>
        <v>19.399999999999999</v>
      </c>
      <c r="O79" s="2">
        <f>IF(Таблица13[[#This Row],[Число фаз]]=1,J79/220/L79*M79*1000,J79/3/220/L79*M79*1000)</f>
        <v>32.65993265993265</v>
      </c>
      <c r="P79" s="2" t="str">
        <f>Таблица13[[#This Row],[Коды щитков]] &amp; "/M" &amp; TEXT( Таблица13[[#This Row],[Номер АВ]], "00")</f>
        <v>ШС-12/M01</v>
      </c>
      <c r="Q79" s="1" t="s">
        <v>63</v>
      </c>
      <c r="R79" s="1">
        <v>5</v>
      </c>
      <c r="S79" s="1">
        <v>10</v>
      </c>
      <c r="T79" s="1">
        <f>Таблица13[[#This Row],[Сечение фазного]]</f>
        <v>10</v>
      </c>
      <c r="U79" s="1">
        <v>40</v>
      </c>
      <c r="V79" s="2">
        <f>IF(Таблица13[[#This Row],[Число фаз]]=1,2*O79*(22.5/S79*L79+0.08*SIN(ACOS(L79)))*(U79/1000)*(100/220),SQRT(3)*O79*(22.5/S79*L79+0.08*SIN(ACOS(L79)))*(U79/1000)*(100/380))</f>
        <v>1.2265700917897808</v>
      </c>
      <c r="W7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ШС-12/M01-19,4-32,7-40</v>
      </c>
      <c r="X79" s="1" t="str">
        <f>TEXT(Таблица13[[#This Row],[Потери]],"0,0") &amp; "-" &amp;Таблица13[[#This Row],[Полная марка кабеля]]</f>
        <v>1,2-ВВГнг(A)-LS-5x10</v>
      </c>
      <c r="Y79" t="s">
        <v>416</v>
      </c>
      <c r="Z7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80" spans="1:26" x14ac:dyDescent="0.25">
      <c r="A80" s="1" t="s">
        <v>22</v>
      </c>
      <c r="B80" s="1">
        <v>79</v>
      </c>
      <c r="C80" s="4">
        <v>2</v>
      </c>
      <c r="D80" s="4" t="str">
        <f>"Acti9 iC60N C"&amp;Таблица13[[#This Row],[Номинал АВ]]&amp; " " &amp; Таблица13[[#This Row],[Число фаз]] &amp; "P"</f>
        <v>Acti9 iC60N C40 3P</v>
      </c>
      <c r="E80" s="1">
        <v>40</v>
      </c>
      <c r="F80" s="13" t="s">
        <v>322</v>
      </c>
      <c r="G80" s="1"/>
      <c r="H80" s="1" t="s">
        <v>97</v>
      </c>
      <c r="I80" s="1" t="s">
        <v>127</v>
      </c>
      <c r="J80" s="16">
        <v>19</v>
      </c>
      <c r="K80" s="1">
        <v>3</v>
      </c>
      <c r="L80" s="15">
        <v>1</v>
      </c>
      <c r="M80" s="1">
        <v>1</v>
      </c>
      <c r="N80" s="2">
        <f>Таблица13[[#This Row],[Pуст, кВт]]*Таблица13[[#This Row],[Kи]]</f>
        <v>19</v>
      </c>
      <c r="O80" s="2">
        <f>IF(Таблица13[[#This Row],[Число фаз]]=1,J80/220/L80*M80*1000,J80/3/220/L80*M80*1000)</f>
        <v>28.787878787878785</v>
      </c>
      <c r="P80" s="2" t="str">
        <f>Таблица13[[#This Row],[Коды щитков]] &amp; "/M" &amp; TEXT( Таблица13[[#This Row],[Номер АВ]], "00")</f>
        <v>ШС-12/M02</v>
      </c>
      <c r="Q80" s="1" t="s">
        <v>63</v>
      </c>
      <c r="R80" s="1">
        <v>5</v>
      </c>
      <c r="S80" s="1">
        <v>10</v>
      </c>
      <c r="T80" s="1">
        <f>Таблица13[[#This Row],[Сечение фазного]]</f>
        <v>10</v>
      </c>
      <c r="U80" s="1">
        <v>20</v>
      </c>
      <c r="V80" s="2">
        <f>IF(Таблица13[[#This Row],[Число фаз]]=1,2*O80*(22.5/S80*L80+0.08*SIN(ACOS(L80)))*(U80/1000)*(100/220),SQRT(3)*O80*(22.5/S80*L80+0.08*SIN(ACOS(L80)))*(U80/1000)*(100/380))</f>
        <v>0.5904718662166627</v>
      </c>
      <c r="W8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ШС-12/M02-19,0-28,8-20</v>
      </c>
      <c r="X80" s="1" t="str">
        <f>TEXT(Таблица13[[#This Row],[Потери]],"0,0") &amp; "-" &amp;Таблица13[[#This Row],[Полная марка кабеля]]</f>
        <v>0,6-ВВГнг(A)-LS-5x10</v>
      </c>
      <c r="Y80" t="s">
        <v>416</v>
      </c>
      <c r="Z8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81" spans="1:26" x14ac:dyDescent="0.25">
      <c r="A81" s="1" t="s">
        <v>22</v>
      </c>
      <c r="B81" s="1">
        <v>80</v>
      </c>
      <c r="C81" s="4">
        <v>3</v>
      </c>
      <c r="D81" s="4" t="str">
        <f>"Acti9 iC60N C"&amp;Таблица13[[#This Row],[Номинал АВ]]&amp; " " &amp; Таблица13[[#This Row],[Число фаз]] &amp; "P"</f>
        <v>Acti9 iC60N C63 3P</v>
      </c>
      <c r="E81" s="1">
        <v>63</v>
      </c>
      <c r="F81" s="13" t="s">
        <v>305</v>
      </c>
      <c r="G81" s="1" t="s">
        <v>100</v>
      </c>
      <c r="H81" s="1" t="s">
        <v>94</v>
      </c>
      <c r="I81" s="1" t="s">
        <v>127</v>
      </c>
      <c r="J81" s="16">
        <v>19</v>
      </c>
      <c r="K81" s="1">
        <v>3</v>
      </c>
      <c r="L81" s="15">
        <v>0.8</v>
      </c>
      <c r="M81" s="1">
        <v>1</v>
      </c>
      <c r="N81" s="2">
        <f>Таблица13[[#This Row],[Pуст, кВт]]*Таблица13[[#This Row],[Kи]]</f>
        <v>19</v>
      </c>
      <c r="O81" s="2">
        <f>IF(Таблица13[[#This Row],[Число фаз]]=1,J81/220/L81*M81*1000,J81/3/220/L81*M81*1000)</f>
        <v>35.984848484848477</v>
      </c>
      <c r="P81" s="2" t="str">
        <f>Таблица13[[#This Row],[Коды щитков]] &amp; "/M" &amp; TEXT( Таблица13[[#This Row],[Номер АВ]], "00")</f>
        <v>ШС-12/M03</v>
      </c>
      <c r="Q81" s="1" t="s">
        <v>63</v>
      </c>
      <c r="R81" s="1">
        <v>5</v>
      </c>
      <c r="S81" s="1">
        <v>16</v>
      </c>
      <c r="T81" s="1">
        <f>Таблица13[[#This Row],[Сечение фазного]]</f>
        <v>16</v>
      </c>
      <c r="U81" s="1">
        <v>50</v>
      </c>
      <c r="V81" s="2">
        <f>IF(Таблица13[[#This Row],[Число фаз]]=1,2*O81*(22.5/S81*L81+0.08*SIN(ACOS(L81)))*(U81/1000)*(100/220),SQRT(3)*O81*(22.5/S81*L81+0.08*SIN(ACOS(L81)))*(U81/1000)*(100/380))</f>
        <v>0.96197708204464605</v>
      </c>
      <c r="W8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ШС-12/M03-19,0-36,0-50</v>
      </c>
      <c r="X81" s="1" t="str">
        <f>TEXT(Таблица13[[#This Row],[Потери]],"0,0") &amp; "-" &amp;Таблица13[[#This Row],[Полная марка кабеля]]</f>
        <v>1,0-ВВГнг(A)-LS-5x16</v>
      </c>
      <c r="Y81" t="s">
        <v>416</v>
      </c>
      <c r="Z8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82" spans="1:26" x14ac:dyDescent="0.25">
      <c r="A82" s="1" t="s">
        <v>22</v>
      </c>
      <c r="B82" s="1">
        <v>81</v>
      </c>
      <c r="C82" s="4">
        <v>4</v>
      </c>
      <c r="D82" s="4" t="str">
        <f>"Acti9 iC60N C"&amp;Таблица13[[#This Row],[Номинал АВ]]&amp; " " &amp; Таблица13[[#This Row],[Число фаз]] &amp; "P"</f>
        <v>Acti9 iC60N C40 3P</v>
      </c>
      <c r="E82" s="1">
        <v>40</v>
      </c>
      <c r="F82" s="13" t="s">
        <v>323</v>
      </c>
      <c r="G82" s="1"/>
      <c r="H82" s="1" t="s">
        <v>97</v>
      </c>
      <c r="I82" s="1" t="s">
        <v>127</v>
      </c>
      <c r="J82" s="16">
        <v>19</v>
      </c>
      <c r="K82" s="1">
        <v>3</v>
      </c>
      <c r="L82" s="15">
        <v>1</v>
      </c>
      <c r="M82" s="1">
        <v>1</v>
      </c>
      <c r="N82" s="2">
        <f>Таблица13[[#This Row],[Pуст, кВт]]*Таблица13[[#This Row],[Kи]]</f>
        <v>19</v>
      </c>
      <c r="O82" s="2">
        <f>IF(Таблица13[[#This Row],[Число фаз]]=1,J82/220/L82*M82*1000,J82/3/220/L82*M82*1000)</f>
        <v>28.787878787878785</v>
      </c>
      <c r="P82" s="2" t="str">
        <f>Таблица13[[#This Row],[Коды щитков]] &amp; "/M" &amp; TEXT( Таблица13[[#This Row],[Номер АВ]], "00")</f>
        <v>ШС-12/M04</v>
      </c>
      <c r="Q82" s="1" t="s">
        <v>63</v>
      </c>
      <c r="R82" s="1">
        <v>5</v>
      </c>
      <c r="S82" s="1">
        <v>10</v>
      </c>
      <c r="T82" s="1">
        <f>Таблица13[[#This Row],[Сечение фазного]]</f>
        <v>10</v>
      </c>
      <c r="U82" s="1">
        <v>20</v>
      </c>
      <c r="V82" s="2">
        <f>IF(Таблица13[[#This Row],[Число фаз]]=1,2*O82*(22.5/S82*L82+0.08*SIN(ACOS(L82)))*(U82/1000)*(100/220),SQRT(3)*O82*(22.5/S82*L82+0.08*SIN(ACOS(L82)))*(U82/1000)*(100/380))</f>
        <v>0.5904718662166627</v>
      </c>
      <c r="W8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ШС-12/M04-19,0-28,8-20</v>
      </c>
      <c r="X82" s="1" t="str">
        <f>TEXT(Таблица13[[#This Row],[Потери]],"0,0") &amp; "-" &amp;Таблица13[[#This Row],[Полная марка кабеля]]</f>
        <v>0,6-ВВГнг(A)-LS-5x10</v>
      </c>
      <c r="Y82" t="s">
        <v>416</v>
      </c>
      <c r="Z8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83" spans="1:26" x14ac:dyDescent="0.25">
      <c r="A83" s="1" t="s">
        <v>22</v>
      </c>
      <c r="B83" s="1">
        <v>82</v>
      </c>
      <c r="C83" s="4">
        <v>5</v>
      </c>
      <c r="D83" s="4" t="str">
        <f>"Acti9 iC60N C"&amp;Таблица13[[#This Row],[Номинал АВ]]&amp; " " &amp; Таблица13[[#This Row],[Число фаз]] &amp; "P"</f>
        <v>Acti9 iC60N C50 3P</v>
      </c>
      <c r="E83" s="1">
        <v>50</v>
      </c>
      <c r="F83" s="13" t="s">
        <v>306</v>
      </c>
      <c r="G83" s="1" t="s">
        <v>100</v>
      </c>
      <c r="H83" s="1" t="s">
        <v>94</v>
      </c>
      <c r="I83" s="1" t="s">
        <v>127</v>
      </c>
      <c r="J83" s="16">
        <v>19</v>
      </c>
      <c r="K83" s="1">
        <v>3</v>
      </c>
      <c r="L83" s="15">
        <v>0.8</v>
      </c>
      <c r="M83" s="1">
        <v>1</v>
      </c>
      <c r="N83" s="2">
        <f>Таблица13[[#This Row],[Pуст, кВт]]*Таблица13[[#This Row],[Kи]]</f>
        <v>19</v>
      </c>
      <c r="O83" s="2">
        <f>IF(Таблица13[[#This Row],[Число фаз]]=1,J83/220/L83*M83*1000,J83/3/220/L83*M83*1000)</f>
        <v>35.984848484848477</v>
      </c>
      <c r="P83" s="2" t="str">
        <f>Таблица13[[#This Row],[Коды щитков]] &amp; "/M" &amp; TEXT( Таблица13[[#This Row],[Номер АВ]], "00")</f>
        <v>ШС-12/M05</v>
      </c>
      <c r="Q83" s="1" t="s">
        <v>63</v>
      </c>
      <c r="R83" s="1">
        <v>5</v>
      </c>
      <c r="S83" s="1">
        <v>10</v>
      </c>
      <c r="T83" s="1">
        <f>Таблица13[[#This Row],[Сечение фазного]]</f>
        <v>10</v>
      </c>
      <c r="U83" s="1">
        <v>50</v>
      </c>
      <c r="V83" s="2">
        <f>IF(Таблица13[[#This Row],[Число фаз]]=1,2*O83*(22.5/S83*L83+0.08*SIN(ACOS(L83)))*(U83/1000)*(100/220),SQRT(3)*O83*(22.5/S83*L83+0.08*SIN(ACOS(L83)))*(U83/1000)*(100/380))</f>
        <v>1.5155444566227674</v>
      </c>
      <c r="W8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ШС-12/M05-19,0-36,0-50</v>
      </c>
      <c r="X83" s="1" t="str">
        <f>TEXT(Таблица13[[#This Row],[Потери]],"0,0") &amp; "-" &amp;Таблица13[[#This Row],[Полная марка кабеля]]</f>
        <v>1,5-ВВГнг(A)-LS-5x10</v>
      </c>
      <c r="Y83" t="s">
        <v>416</v>
      </c>
      <c r="Z8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84" spans="1:26" x14ac:dyDescent="0.25">
      <c r="A84" s="1" t="s">
        <v>22</v>
      </c>
      <c r="B84" s="1">
        <v>83</v>
      </c>
      <c r="C84" s="4">
        <v>6</v>
      </c>
      <c r="D84" s="4" t="str">
        <f>"Acti9 iC60N C"&amp;Таблица13[[#This Row],[Номинал АВ]]&amp; " " &amp; Таблица13[[#This Row],[Число фаз]] &amp; "P"</f>
        <v>Acti9 iC60N C25 3P</v>
      </c>
      <c r="E84" s="1">
        <v>25</v>
      </c>
      <c r="F84" s="9"/>
      <c r="G84" s="1"/>
      <c r="H84" s="1" t="s">
        <v>123</v>
      </c>
      <c r="I84" s="1" t="s">
        <v>127</v>
      </c>
      <c r="J84" s="16">
        <v>5</v>
      </c>
      <c r="K84" s="1">
        <v>3</v>
      </c>
      <c r="L84" s="15">
        <v>0.8</v>
      </c>
      <c r="M84" s="1">
        <v>1</v>
      </c>
      <c r="N84" s="2">
        <f>Таблица13[[#This Row],[Pуст, кВт]]*Таблица13[[#This Row],[Kи]]</f>
        <v>5</v>
      </c>
      <c r="O84" s="2">
        <f>IF(Таблица13[[#This Row],[Число фаз]]=1,J84/220/L84*M84*1000,J84/3/220/L84*M84*1000)</f>
        <v>9.4696969696969706</v>
      </c>
      <c r="P84" s="2" t="str">
        <f>Таблица13[[#This Row],[Коды щитков]] &amp; "/M" &amp; TEXT( Таблица13[[#This Row],[Номер АВ]], "00")</f>
        <v>ШС-12/M06</v>
      </c>
      <c r="Q84" s="1" t="s">
        <v>63</v>
      </c>
      <c r="R84" s="1">
        <v>5</v>
      </c>
      <c r="S84" s="1">
        <v>4</v>
      </c>
      <c r="T84" s="1">
        <f>Таблица13[[#This Row],[Сечение фазного]]</f>
        <v>4</v>
      </c>
      <c r="U84" s="1">
        <v>50</v>
      </c>
      <c r="V84" s="2">
        <f>IF(Таблица13[[#This Row],[Число фаз]]=1,2*O84*(22.5/S84*L84+0.08*SIN(ACOS(L84)))*(U84/1000)*(100/220),SQRT(3)*O84*(22.5/S84*L84+0.08*SIN(ACOS(L84)))*(U84/1000)*(100/380))</f>
        <v>0.9815299881408559</v>
      </c>
      <c r="W8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ШС-12/M06-5,0-9,5-50</v>
      </c>
      <c r="X84" s="1" t="str">
        <f>TEXT(Таблица13[[#This Row],[Потери]],"0,0") &amp; "-" &amp;Таблица13[[#This Row],[Полная марка кабеля]]</f>
        <v>1,0-ВВГнг(A)-LS-5x4</v>
      </c>
      <c r="Y84" t="s">
        <v>416</v>
      </c>
      <c r="Z8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85" spans="1:26" x14ac:dyDescent="0.25">
      <c r="A85" s="1" t="s">
        <v>22</v>
      </c>
      <c r="B85" s="1">
        <v>84</v>
      </c>
      <c r="C85" s="4">
        <v>7</v>
      </c>
      <c r="D85" s="4" t="str">
        <f>"Acti9 iC60N C"&amp;Таблица13[[#This Row],[Номинал АВ]]&amp; " " &amp; Таблица13[[#This Row],[Число фаз]] &amp; "P"</f>
        <v>Acti9 iC60N C25 3P</v>
      </c>
      <c r="E85" s="1">
        <v>25</v>
      </c>
      <c r="F85" s="9"/>
      <c r="G85" s="1"/>
      <c r="H85" s="1" t="s">
        <v>124</v>
      </c>
      <c r="I85" s="1" t="s">
        <v>127</v>
      </c>
      <c r="J85" s="16">
        <v>2.5</v>
      </c>
      <c r="K85" s="1">
        <v>3</v>
      </c>
      <c r="L85" s="15">
        <v>0.9</v>
      </c>
      <c r="M85" s="1">
        <v>1</v>
      </c>
      <c r="N85" s="2">
        <f>Таблица13[[#This Row],[Pуст, кВт]]*Таблица13[[#This Row],[Kи]]</f>
        <v>2.5</v>
      </c>
      <c r="O85" s="2">
        <f>IF(Таблица13[[#This Row],[Число фаз]]=1,J85/220/L85*M85*1000,J85/3/220/L85*M85*1000)</f>
        <v>4.2087542087542085</v>
      </c>
      <c r="P85" s="2" t="str">
        <f>Таблица13[[#This Row],[Коды щитков]] &amp; "/M" &amp; TEXT( Таблица13[[#This Row],[Номер АВ]], "00")</f>
        <v>ШС-12/M07</v>
      </c>
      <c r="Q85" s="1" t="s">
        <v>63</v>
      </c>
      <c r="R85" s="1">
        <v>5</v>
      </c>
      <c r="S85" s="1">
        <v>4</v>
      </c>
      <c r="T85" s="1">
        <f>Таблица13[[#This Row],[Сечение фазного]]</f>
        <v>4</v>
      </c>
      <c r="U85" s="1">
        <v>30</v>
      </c>
      <c r="V85" s="2">
        <f>IF(Таблица13[[#This Row],[Число фаз]]=1,2*O85*(22.5/S85*L85+0.08*SIN(ACOS(L85)))*(U85/1000)*(100/220),SQRT(3)*O85*(22.5/S85*L85+0.08*SIN(ACOS(L85)))*(U85/1000)*(100/380))</f>
        <v>0.2933581169856328</v>
      </c>
      <c r="W8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ШС-12/M07-2,5-4,2-30</v>
      </c>
      <c r="X85" s="1" t="str">
        <f>TEXT(Таблица13[[#This Row],[Потери]],"0,0") &amp; "-" &amp;Таблица13[[#This Row],[Полная марка кабеля]]</f>
        <v>0,3-ВВГнг(A)-LS-5x4</v>
      </c>
      <c r="Y85" t="s">
        <v>416</v>
      </c>
      <c r="Z8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86" spans="1:26" x14ac:dyDescent="0.25">
      <c r="A86" s="1" t="s">
        <v>22</v>
      </c>
      <c r="B86" s="1">
        <v>85</v>
      </c>
      <c r="C86" s="4">
        <v>8</v>
      </c>
      <c r="D86" s="4" t="str">
        <f>"Acti9 iC60N C"&amp;Таблица13[[#This Row],[Номинал АВ]]&amp; " " &amp; Таблица13[[#This Row],[Число фаз]] &amp; "P"</f>
        <v>Acti9 iC60N C40 3P</v>
      </c>
      <c r="E86" s="1">
        <v>40</v>
      </c>
      <c r="F86" s="9" t="s">
        <v>125</v>
      </c>
      <c r="G86" s="1" t="s">
        <v>130</v>
      </c>
      <c r="H86" s="1" t="s">
        <v>129</v>
      </c>
      <c r="I86" s="1" t="s">
        <v>126</v>
      </c>
      <c r="J86" s="16">
        <v>18</v>
      </c>
      <c r="K86" s="1">
        <v>3</v>
      </c>
      <c r="L86" s="15">
        <v>0.95</v>
      </c>
      <c r="M86" s="1">
        <v>1</v>
      </c>
      <c r="N86" s="2">
        <f>Таблица13[[#This Row],[Pуст, кВт]]*Таблица13[[#This Row],[Kи]]</f>
        <v>18</v>
      </c>
      <c r="O86" s="2">
        <f>IF(Таблица13[[#This Row],[Число фаз]]=1,J86/220/L86*M86*1000,J86/3/220/L86*M86*1000)</f>
        <v>28.708133971291868</v>
      </c>
      <c r="P86" s="2" t="str">
        <f>Таблица13[[#This Row],[Коды щитков]] &amp; "/M" &amp; TEXT( Таблица13[[#This Row],[Номер АВ]], "00")</f>
        <v>ШС-12/M08</v>
      </c>
      <c r="Q86" s="1" t="s">
        <v>63</v>
      </c>
      <c r="R86" s="1">
        <v>5</v>
      </c>
      <c r="S86" s="1">
        <v>10</v>
      </c>
      <c r="T86" s="1">
        <f>Таблица13[[#This Row],[Сечение фазного]]</f>
        <v>10</v>
      </c>
      <c r="U86" s="1">
        <v>20</v>
      </c>
      <c r="V86" s="2">
        <f>IF(Таблица13[[#This Row],[Число фаз]]=1,2*O86*(22.5/S86*L86+0.08*SIN(ACOS(L86)))*(U86/1000)*(100/220),SQRT(3)*O86*(22.5/S86*L86+0.08*SIN(ACOS(L86)))*(U86/1000)*(100/380))</f>
        <v>0.56593178793513621</v>
      </c>
      <c r="W8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ШС-12/M08-18,0-28,7-20</v>
      </c>
      <c r="X86" s="1" t="str">
        <f>TEXT(Таблица13[[#This Row],[Потери]],"0,0") &amp; "-" &amp;Таблица13[[#This Row],[Полная марка кабеля]]</f>
        <v>0,6-ВВГнг(A)-LS-5x10</v>
      </c>
      <c r="Y86" t="s">
        <v>416</v>
      </c>
      <c r="Z8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87" spans="1:26" x14ac:dyDescent="0.25">
      <c r="A87" s="1" t="s">
        <v>22</v>
      </c>
      <c r="B87" s="1">
        <v>86</v>
      </c>
      <c r="C87" s="4">
        <v>9</v>
      </c>
      <c r="D87" s="4" t="str">
        <f>"Acti9 iC60N C"&amp;Таблица13[[#This Row],[Номинал АВ]]&amp; " " &amp; Таблица13[[#This Row],[Число фаз]] &amp; "P"</f>
        <v>Acti9 iC60N C16 3P</v>
      </c>
      <c r="E87" s="1">
        <v>16</v>
      </c>
      <c r="F87" s="9"/>
      <c r="G87" s="1"/>
      <c r="H87" s="1" t="s">
        <v>73</v>
      </c>
      <c r="I87" s="1" t="s">
        <v>127</v>
      </c>
      <c r="J87" s="16">
        <f>31*2*22/1000</f>
        <v>1.3640000000000001</v>
      </c>
      <c r="K87" s="1">
        <v>3</v>
      </c>
      <c r="L87" s="15">
        <v>0.96</v>
      </c>
      <c r="M87" s="1">
        <v>1</v>
      </c>
      <c r="N87" s="2">
        <f>Таблица13[[#This Row],[Pуст, кВт]]*Таблица13[[#This Row],[Kи]]</f>
        <v>1.3640000000000001</v>
      </c>
      <c r="O87" s="2">
        <f>IF(Таблица13[[#This Row],[Число фаз]]=1,J87/220/L87*M87*1000,J87/3/220/L87*M87*1000)</f>
        <v>2.1527777777777777</v>
      </c>
      <c r="P87" s="2" t="str">
        <f>Таблица13[[#This Row],[Коды щитков]] &amp; "/M" &amp; TEXT( Таблица13[[#This Row],[Номер АВ]], "00")</f>
        <v>ШС-12/M09</v>
      </c>
      <c r="Q87" s="1" t="s">
        <v>63</v>
      </c>
      <c r="R87" s="1">
        <v>5</v>
      </c>
      <c r="S87" s="1">
        <v>2.5</v>
      </c>
      <c r="T87" s="1">
        <f>Таблица13[[#This Row],[Сечение фазного]]</f>
        <v>2.5</v>
      </c>
      <c r="U87" s="1">
        <v>130</v>
      </c>
      <c r="V87" s="2">
        <f>IF(Таблица13[[#This Row],[Число фаз]]=1,2*O87*(22.5/S87*L87+0.08*SIN(ACOS(L87)))*(U87/1000)*(100/220),SQRT(3)*O87*(22.5/S87*L87+0.08*SIN(ACOS(L87)))*(U87/1000)*(100/380))</f>
        <v>1.1049886544116065</v>
      </c>
      <c r="W8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ШС-12/M09-1,4-2,2-130</v>
      </c>
      <c r="X87" s="1" t="str">
        <f>TEXT(Таблица13[[#This Row],[Потери]],"0,0") &amp; "-" &amp;Таблица13[[#This Row],[Полная марка кабеля]]</f>
        <v>1,1-ВВГнг(A)-LS-5x2,5</v>
      </c>
      <c r="Y87" t="s">
        <v>416</v>
      </c>
      <c r="Z8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88" spans="1:26" x14ac:dyDescent="0.25">
      <c r="A88" s="1" t="s">
        <v>23</v>
      </c>
      <c r="B88" s="1">
        <v>87</v>
      </c>
      <c r="C88" s="4">
        <v>1</v>
      </c>
      <c r="D88" s="4" t="str">
        <f>"Acti9 iC60N C"&amp;Таблица13[[#This Row],[Номинал АВ]]&amp; " " &amp; Таблица13[[#This Row],[Число фаз]] &amp; "P"</f>
        <v>Acti9 iC60N C10 3P</v>
      </c>
      <c r="E88" s="1">
        <v>10</v>
      </c>
      <c r="F88" s="9"/>
      <c r="G88" s="1"/>
      <c r="H88" s="1" t="s">
        <v>266</v>
      </c>
      <c r="I88" s="1" t="s">
        <v>240</v>
      </c>
      <c r="J88" s="16">
        <v>2</v>
      </c>
      <c r="K88" s="1">
        <v>3</v>
      </c>
      <c r="L88" s="15">
        <v>0.9</v>
      </c>
      <c r="M88" s="1">
        <v>1</v>
      </c>
      <c r="N88" s="2">
        <f>Таблица13[[#This Row],[Pуст, кВт]]*Таблица13[[#This Row],[Kи]]</f>
        <v>2</v>
      </c>
      <c r="O88" s="2">
        <f>IF(Таблица13[[#This Row],[Число фаз]]=1,J88/220/L88*M88*1000,J88/3/220/L88*M88*1000)</f>
        <v>3.3670033670033668</v>
      </c>
      <c r="P88" s="2" t="str">
        <f>Таблица13[[#This Row],[Коды щитков]] &amp; "/M" &amp; TEXT( Таблица13[[#This Row],[Номер АВ]], "00")</f>
        <v>ШС-11/M01</v>
      </c>
      <c r="Q88" s="1" t="s">
        <v>63</v>
      </c>
      <c r="R88" s="1">
        <v>5</v>
      </c>
      <c r="S88" s="1">
        <v>2.5</v>
      </c>
      <c r="T88" s="1">
        <f>Таблица13[[#This Row],[Сечение фазного]]</f>
        <v>2.5</v>
      </c>
      <c r="U88" s="1">
        <v>10</v>
      </c>
      <c r="V88" s="2">
        <f>IF(Таблица13[[#This Row],[Число фаз]]=1,2*O88*(22.5/S88*L88+0.08*SIN(ACOS(L88)))*(U88/1000)*(100/220),SQRT(3)*O88*(22.5/S88*L88+0.08*SIN(ACOS(L88)))*(U88/1000)*(100/380))</f>
        <v>0.12484503116064209</v>
      </c>
      <c r="W8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ШС-11/M01-2,0-3,4-10</v>
      </c>
      <c r="X88" s="1" t="str">
        <f>TEXT(Таблица13[[#This Row],[Потери]],"0,0") &amp; "-" &amp;Таблица13[[#This Row],[Полная марка кабеля]]</f>
        <v>0,1-ВВГнг(A)-LS-5x2,5</v>
      </c>
      <c r="Y88" t="s">
        <v>421</v>
      </c>
      <c r="Z8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89" spans="1:26" x14ac:dyDescent="0.25">
      <c r="A89" s="1" t="s">
        <v>23</v>
      </c>
      <c r="B89" s="1">
        <v>88</v>
      </c>
      <c r="C89" s="4">
        <v>2</v>
      </c>
      <c r="D89" s="4" t="str">
        <f>"Acti9 DPN N Vigi C" &amp; Таблица13[[#This Row],[Номинал АВ]]&amp; " 1P+N 30 мА"</f>
        <v>Acti9 DPN N Vigi C25 1P+N 30 мА</v>
      </c>
      <c r="E89" s="1">
        <v>25</v>
      </c>
      <c r="F89" s="9"/>
      <c r="G89" s="1"/>
      <c r="H89" s="1" t="s">
        <v>72</v>
      </c>
      <c r="I89" s="1" t="s">
        <v>240</v>
      </c>
      <c r="J89" s="16">
        <v>2</v>
      </c>
      <c r="K89" s="1">
        <v>1</v>
      </c>
      <c r="L89" s="15">
        <v>0.9</v>
      </c>
      <c r="M89" s="1">
        <v>1</v>
      </c>
      <c r="N89" s="2">
        <f>Таблица13[[#This Row],[Pуст, кВт]]*Таблица13[[#This Row],[Kи]]</f>
        <v>2</v>
      </c>
      <c r="O89" s="2">
        <f>IF(Таблица13[[#This Row],[Число фаз]]=1,J89/220/L89*M89*1000,J89/3/220/L89*M89*1000)</f>
        <v>10.1010101010101</v>
      </c>
      <c r="P89" s="2" t="str">
        <f>Таблица13[[#This Row],[Коды щитков]] &amp; "/M" &amp; TEXT( Таблица13[[#This Row],[Номер АВ]], "00")</f>
        <v>ШС-11/M02</v>
      </c>
      <c r="Q89" s="1" t="s">
        <v>63</v>
      </c>
      <c r="R89" s="1">
        <v>3</v>
      </c>
      <c r="S89" s="1">
        <v>2.5</v>
      </c>
      <c r="T89" s="1">
        <f>Таблица13[[#This Row],[Сечение фазного]]</f>
        <v>2.5</v>
      </c>
      <c r="U89" s="1">
        <v>10</v>
      </c>
      <c r="V89" s="2">
        <f>IF(Таблица13[[#This Row],[Число фаз]]=1,2*O89*(22.5/S89*L89+0.08*SIN(ACOS(L89)))*(U89/1000)*(100/220),SQRT(3)*O89*(22.5/S89*L89+0.08*SIN(ACOS(L89)))*(U89/1000)*(100/380))</f>
        <v>0.74700378251132449</v>
      </c>
      <c r="W8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ШС-11/M02-2,0-10,1-10</v>
      </c>
      <c r="X89" s="1" t="str">
        <f>TEXT(Таблица13[[#This Row],[Потери]],"0,0") &amp; "-" &amp;Таблица13[[#This Row],[Полная марка кабеля]]</f>
        <v>0,7-ВВГнг(A)-LS-3x2,5</v>
      </c>
      <c r="Y89" t="s">
        <v>421</v>
      </c>
      <c r="Z8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90" spans="1:26" x14ac:dyDescent="0.25">
      <c r="A90" s="1" t="s">
        <v>23</v>
      </c>
      <c r="B90" s="1">
        <v>89</v>
      </c>
      <c r="C90" s="4">
        <v>3</v>
      </c>
      <c r="D90" s="4" t="str">
        <f>"Acti9 iC60N C"&amp;Таблица13[[#This Row],[Номинал АВ]]&amp; " " &amp; Таблица13[[#This Row],[Число фаз]] &amp; "P"</f>
        <v>Acti9 iC60N C40 3P</v>
      </c>
      <c r="E90" s="1">
        <v>40</v>
      </c>
      <c r="F90" s="9"/>
      <c r="G90" s="1"/>
      <c r="H90" s="1" t="s">
        <v>510</v>
      </c>
      <c r="I90" s="1" t="s">
        <v>240</v>
      </c>
      <c r="J90" s="16">
        <v>15</v>
      </c>
      <c r="K90" s="1">
        <v>3</v>
      </c>
      <c r="L90" s="15">
        <v>1</v>
      </c>
      <c r="M90" s="1">
        <v>1</v>
      </c>
      <c r="N90" s="2">
        <f>Таблица13[[#This Row],[Pуст, кВт]]*Таблица13[[#This Row],[Kи]]</f>
        <v>15</v>
      </c>
      <c r="O90" s="2">
        <f>IF(Таблица13[[#This Row],[Число фаз]]=1,J90/220/L90*M90*1000,J90/3/220/L90*M90*1000)</f>
        <v>22.727272727272727</v>
      </c>
      <c r="P90" s="2" t="str">
        <f>Таблица13[[#This Row],[Коды щитков]] &amp; "/M" &amp; TEXT( Таблица13[[#This Row],[Номер АВ]], "00")</f>
        <v>ШС-11/M03</v>
      </c>
      <c r="Q90" s="1" t="s">
        <v>63</v>
      </c>
      <c r="R90" s="1">
        <v>5</v>
      </c>
      <c r="S90" s="1">
        <v>6</v>
      </c>
      <c r="T90" s="1">
        <f>Таблица13[[#This Row],[Сечение фазного]]</f>
        <v>6</v>
      </c>
      <c r="U90" s="1">
        <v>10</v>
      </c>
      <c r="V90" s="2">
        <f>IF(Таблица13[[#This Row],[Число фаз]]=1,2*O90*(22.5/S90*L90+0.08*SIN(ACOS(L90)))*(U90/1000)*(100/220),SQRT(3)*O90*(22.5/S90*L90+0.08*SIN(ACOS(L90)))*(U90/1000)*(100/380))</f>
        <v>0.38846833303727801</v>
      </c>
      <c r="W9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ШС-11/M03-15,0-22,7-10</v>
      </c>
      <c r="X90" s="1" t="str">
        <f>TEXT(Таблица13[[#This Row],[Потери]],"0,0") &amp; "-" &amp;Таблица13[[#This Row],[Полная марка кабеля]]</f>
        <v>0,4-ВВГнг(A)-LS-5x6</v>
      </c>
      <c r="Y90" t="s">
        <v>421</v>
      </c>
      <c r="Z9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91" spans="1:26" x14ac:dyDescent="0.25">
      <c r="A91" s="1" t="s">
        <v>23</v>
      </c>
      <c r="B91" s="1">
        <v>90</v>
      </c>
      <c r="C91" s="4">
        <v>4</v>
      </c>
      <c r="D91" s="4" t="str">
        <f>"Acti9 iC60N C"&amp;Таблица13[[#This Row],[Номинал АВ]]&amp; " " &amp; Таблица13[[#This Row],[Число фаз]] &amp; "P"</f>
        <v>Acti9 iC60N C40 3P</v>
      </c>
      <c r="E91" s="1">
        <v>40</v>
      </c>
      <c r="F91" s="9"/>
      <c r="G91" s="1"/>
      <c r="H91" s="1" t="s">
        <v>510</v>
      </c>
      <c r="I91" s="1" t="s">
        <v>240</v>
      </c>
      <c r="J91" s="16">
        <v>15</v>
      </c>
      <c r="K91" s="1">
        <v>3</v>
      </c>
      <c r="L91" s="15">
        <v>1</v>
      </c>
      <c r="M91" s="1">
        <v>1</v>
      </c>
      <c r="N91" s="2">
        <f>Таблица13[[#This Row],[Pуст, кВт]]*Таблица13[[#This Row],[Kи]]</f>
        <v>15</v>
      </c>
      <c r="O91" s="2">
        <f>IF(Таблица13[[#This Row],[Число фаз]]=1,J91/220/L91*M91*1000,J91/3/220/L91*M91*1000)</f>
        <v>22.727272727272727</v>
      </c>
      <c r="P91" s="2" t="str">
        <f>Таблица13[[#This Row],[Коды щитков]] &amp; "/M" &amp; TEXT( Таблица13[[#This Row],[Номер АВ]], "00")</f>
        <v>ШС-11/M04</v>
      </c>
      <c r="Q91" s="1" t="s">
        <v>63</v>
      </c>
      <c r="R91" s="1">
        <v>5</v>
      </c>
      <c r="S91" s="1">
        <v>6</v>
      </c>
      <c r="T91" s="1">
        <f>Таблица13[[#This Row],[Сечение фазного]]</f>
        <v>6</v>
      </c>
      <c r="U91" s="1">
        <v>10</v>
      </c>
      <c r="V91" s="2">
        <f>IF(Таблица13[[#This Row],[Число фаз]]=1,2*O91*(22.5/S91*L91+0.08*SIN(ACOS(L91)))*(U91/1000)*(100/220),SQRT(3)*O91*(22.5/S91*L91+0.08*SIN(ACOS(L91)))*(U91/1000)*(100/380))</f>
        <v>0.38846833303727801</v>
      </c>
      <c r="W9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ШС-11/M04-15,0-22,7-10</v>
      </c>
      <c r="X91" s="1" t="str">
        <f>TEXT(Таблица13[[#This Row],[Потери]],"0,0") &amp; "-" &amp;Таблица13[[#This Row],[Полная марка кабеля]]</f>
        <v>0,4-ВВГнг(A)-LS-5x6</v>
      </c>
      <c r="Y91" t="s">
        <v>421</v>
      </c>
      <c r="Z9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92" spans="1:26" x14ac:dyDescent="0.25">
      <c r="A92" s="1" t="s">
        <v>23</v>
      </c>
      <c r="B92" s="1">
        <v>91</v>
      </c>
      <c r="C92" s="4">
        <v>5</v>
      </c>
      <c r="D92" s="4" t="str">
        <f>"Acti9 iC60N C"&amp;Таблица13[[#This Row],[Номинал АВ]]&amp; " " &amp; Таблица13[[#This Row],[Число фаз]] &amp; "P"</f>
        <v>Acti9 iC60N C16 3P</v>
      </c>
      <c r="E92" s="1">
        <v>16</v>
      </c>
      <c r="F92" s="9"/>
      <c r="G92" s="1"/>
      <c r="H92" s="1" t="s">
        <v>267</v>
      </c>
      <c r="I92" s="1" t="s">
        <v>240</v>
      </c>
      <c r="J92" s="16">
        <v>5</v>
      </c>
      <c r="K92" s="1">
        <v>3</v>
      </c>
      <c r="L92" s="15">
        <v>1</v>
      </c>
      <c r="M92" s="1">
        <v>1</v>
      </c>
      <c r="N92" s="2">
        <f>Таблица13[[#This Row],[Pуст, кВт]]*Таблица13[[#This Row],[Kи]]</f>
        <v>5</v>
      </c>
      <c r="O92" s="2">
        <f>IF(Таблица13[[#This Row],[Число фаз]]=1,J92/220/L92*M92*1000,J92/3/220/L92*M92*1000)</f>
        <v>7.5757575757575761</v>
      </c>
      <c r="P92" s="2" t="str">
        <f>Таблица13[[#This Row],[Коды щитков]] &amp; "/M" &amp; TEXT( Таблица13[[#This Row],[Номер АВ]], "00")</f>
        <v>ШС-11/M05</v>
      </c>
      <c r="Q92" s="1" t="s">
        <v>63</v>
      </c>
      <c r="R92" s="1">
        <v>5</v>
      </c>
      <c r="S92" s="1">
        <v>2.5</v>
      </c>
      <c r="T92" s="1">
        <f>Таблица13[[#This Row],[Сечение фазного]]</f>
        <v>2.5</v>
      </c>
      <c r="U92" s="1">
        <v>10</v>
      </c>
      <c r="V92" s="2">
        <f>IF(Таблица13[[#This Row],[Число фаз]]=1,2*O92*(22.5/S92*L92+0.08*SIN(ACOS(L92)))*(U92/1000)*(100/220),SQRT(3)*O92*(22.5/S92*L92+0.08*SIN(ACOS(L92)))*(U92/1000)*(100/380))</f>
        <v>0.31077466642982249</v>
      </c>
      <c r="W9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ШС-11/M05-5,0-7,6-10</v>
      </c>
      <c r="X92" s="1" t="str">
        <f>TEXT(Таблица13[[#This Row],[Потери]],"0,0") &amp; "-" &amp;Таблица13[[#This Row],[Полная марка кабеля]]</f>
        <v>0,3-ВВГнг(A)-LS-5x2,5</v>
      </c>
      <c r="Y92" t="s">
        <v>421</v>
      </c>
      <c r="Z9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93" spans="1:26" x14ac:dyDescent="0.25">
      <c r="A93" s="1" t="s">
        <v>23</v>
      </c>
      <c r="B93" s="1">
        <v>92</v>
      </c>
      <c r="C93" s="4">
        <v>6</v>
      </c>
      <c r="D93" s="4" t="str">
        <f>"Acti9 iC60N C"&amp;Таблица13[[#This Row],[Номинал АВ]]&amp; " " &amp; Таблица13[[#This Row],[Число фаз]] &amp; "P"</f>
        <v>Acti9 iC60N C16 1P</v>
      </c>
      <c r="E93" s="1">
        <v>16</v>
      </c>
      <c r="F93" s="9"/>
      <c r="G93" s="1"/>
      <c r="H93" s="1" t="s">
        <v>268</v>
      </c>
      <c r="I93" s="1" t="s">
        <v>240</v>
      </c>
      <c r="J93" s="16">
        <v>0.5</v>
      </c>
      <c r="K93" s="1">
        <v>1</v>
      </c>
      <c r="L93" s="15">
        <v>0.96</v>
      </c>
      <c r="M93" s="1">
        <v>1</v>
      </c>
      <c r="N93" s="2">
        <f>Таблица13[[#This Row],[Pуст, кВт]]*Таблица13[[#This Row],[Kи]]</f>
        <v>0.5</v>
      </c>
      <c r="O93" s="2">
        <f>IF(Таблица13[[#This Row],[Число фаз]]=1,J93/220/L93*M93*1000,J93/3/220/L93*M93*1000)</f>
        <v>2.3674242424242427</v>
      </c>
      <c r="P93" s="2" t="str">
        <f>Таблица13[[#This Row],[Коды щитков]] &amp; "/M" &amp; TEXT( Таблица13[[#This Row],[Номер АВ]], "00")</f>
        <v>ШС-11/M06</v>
      </c>
      <c r="Q93" s="1" t="s">
        <v>63</v>
      </c>
      <c r="R93" s="1">
        <v>3</v>
      </c>
      <c r="S93" s="1">
        <v>2.5</v>
      </c>
      <c r="T93" s="1">
        <f>Таблица13[[#This Row],[Сечение фазного]]</f>
        <v>2.5</v>
      </c>
      <c r="U93" s="1">
        <v>10</v>
      </c>
      <c r="V93" s="2">
        <f>IF(Таблица13[[#This Row],[Число фаз]]=1,2*O93*(22.5/S93*L93+0.08*SIN(ACOS(L93)))*(U93/1000)*(100/220),SQRT(3)*O93*(22.5/S93*L93+0.08*SIN(ACOS(L93)))*(U93/1000)*(100/380))</f>
        <v>0.18643250688705235</v>
      </c>
      <c r="W9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ШС-11/M06-0,5-2,4-10</v>
      </c>
      <c r="X93" s="1" t="str">
        <f>TEXT(Таблица13[[#This Row],[Потери]],"0,0") &amp; "-" &amp;Таблица13[[#This Row],[Полная марка кабеля]]</f>
        <v>0,2-ВВГнг(A)-LS-3x2,5</v>
      </c>
      <c r="Y93" t="s">
        <v>421</v>
      </c>
      <c r="Z9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94" spans="1:26" x14ac:dyDescent="0.25">
      <c r="A94" s="1" t="s">
        <v>136</v>
      </c>
      <c r="B94" s="1">
        <v>93</v>
      </c>
      <c r="C94" s="4">
        <v>0</v>
      </c>
      <c r="D94" s="4"/>
      <c r="E94" s="1"/>
      <c r="F94" s="9" t="s">
        <v>508</v>
      </c>
      <c r="G94" s="1" t="s">
        <v>511</v>
      </c>
      <c r="H94" s="1" t="s">
        <v>263</v>
      </c>
      <c r="I94" s="1" t="s">
        <v>138</v>
      </c>
      <c r="J94" s="2"/>
      <c r="K94" s="1">
        <v>3</v>
      </c>
      <c r="N94" s="2">
        <f>Таблица13[[#This Row],[Pуст, кВт]]*Таблица13[[#This Row],[Kи]]</f>
        <v>0</v>
      </c>
      <c r="O94" s="2" t="e">
        <f>IF(Таблица13[[#This Row],[Число фаз]]=1,J94/220/L94*M94*1000,J94/3/220/L94*M94*1000)</f>
        <v>#DIV/0!</v>
      </c>
      <c r="P94" s="2" t="str">
        <f>Таблица13[[#This Row],[Коды щитков]] &amp; "/M" &amp; TEXT( Таблица13[[#This Row],[Номер АВ]], "00")</f>
        <v>ШС-11-1/M00</v>
      </c>
      <c r="Q94" s="1" t="s">
        <v>7</v>
      </c>
      <c r="R94" s="1">
        <v>4</v>
      </c>
      <c r="S94" s="1">
        <v>16</v>
      </c>
      <c r="T94" s="1">
        <v>16</v>
      </c>
      <c r="U94" s="1">
        <v>50</v>
      </c>
      <c r="V94" s="2" t="e">
        <f>IF(Таблица13[[#This Row],[Число фаз]]=1,2*O94*(22.5/S94*L94+0.08*SIN(ACOS(L94)))*(U94/1000)*(100/220),SQRT(3)*O94*(22.5/S94*L94+0.08*SIN(ACOS(L94)))*(U94/1000)*(100/380))</f>
        <v>#DIV/0!</v>
      </c>
      <c r="W94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94" s="1" t="e">
        <f>TEXT(Таблица13[[#This Row],[Потери]],"0,0") &amp; "-" &amp;Таблица13[[#This Row],[Полная марка кабеля]]</f>
        <v>#DIV/0!</v>
      </c>
      <c r="Y94" t="s">
        <v>422</v>
      </c>
      <c r="Z9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95" spans="1:26" x14ac:dyDescent="0.25">
      <c r="A95" s="1" t="s">
        <v>24</v>
      </c>
      <c r="B95" s="1">
        <v>94</v>
      </c>
      <c r="C95" s="4">
        <v>1</v>
      </c>
      <c r="D95" s="4" t="str">
        <f>"Acti9 iC60N C"&amp;Таблица13[[#This Row],[Номинал АВ]]&amp; " " &amp; Таблица13[[#This Row],[Число фаз]] &amp; "P"</f>
        <v>Acti9 iC60N C25 3P</v>
      </c>
      <c r="E95" s="1">
        <v>25</v>
      </c>
      <c r="F95" s="13" t="s">
        <v>312</v>
      </c>
      <c r="G95" s="1"/>
      <c r="H95" s="1" t="s">
        <v>97</v>
      </c>
      <c r="I95" s="1" t="s">
        <v>473</v>
      </c>
      <c r="J95" s="16">
        <v>13.8</v>
      </c>
      <c r="K95" s="1">
        <v>3</v>
      </c>
      <c r="L95" s="15">
        <v>1</v>
      </c>
      <c r="M95" s="1">
        <v>1</v>
      </c>
      <c r="N95" s="2">
        <f>Таблица13[[#This Row],[Pуст, кВт]]*Таблица13[[#This Row],[Kи]]</f>
        <v>13.8</v>
      </c>
      <c r="O95" s="2">
        <f>IF(Таблица13[[#This Row],[Число фаз]]=1,J95/220/L95*M95*1000,J95/3/220/L95*M95*1000)</f>
        <v>20.909090909090914</v>
      </c>
      <c r="P95" s="2" t="str">
        <f>Таблица13[[#This Row],[Коды щитков]] &amp; "/M" &amp; TEXT( Таблица13[[#This Row],[Номер АВ]], "00")</f>
        <v>ШС-10-1/M01</v>
      </c>
      <c r="Q95" s="1" t="s">
        <v>63</v>
      </c>
      <c r="R95" s="1">
        <v>5</v>
      </c>
      <c r="S95" s="1">
        <v>10</v>
      </c>
      <c r="T95" s="1">
        <f>Таблица13[[#This Row],[Сечение фазного]]</f>
        <v>10</v>
      </c>
      <c r="U95" s="1">
        <v>10</v>
      </c>
      <c r="V95" s="2">
        <f>IF(Таблица13[[#This Row],[Число фаз]]=1,2*O95*(22.5/S95*L95+0.08*SIN(ACOS(L95)))*(U95/1000)*(100/220),SQRT(3)*O95*(22.5/S95*L95+0.08*SIN(ACOS(L95)))*(U95/1000)*(100/380))</f>
        <v>0.21443451983657755</v>
      </c>
      <c r="W9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ШС-10-1/M01-13,8-20,9-10</v>
      </c>
      <c r="X95" s="1" t="str">
        <f>TEXT(Таблица13[[#This Row],[Потери]],"0,0") &amp; "-" &amp;Таблица13[[#This Row],[Полная марка кабеля]]</f>
        <v>0,2-ВВГнг(A)-LS-5x10</v>
      </c>
      <c r="Y95" t="s">
        <v>423</v>
      </c>
      <c r="Z9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96" spans="1:26" x14ac:dyDescent="0.25">
      <c r="A96" s="1" t="s">
        <v>24</v>
      </c>
      <c r="B96" s="1">
        <v>95</v>
      </c>
      <c r="C96" s="4">
        <v>2</v>
      </c>
      <c r="D96" s="4" t="str">
        <f>"Acti9 iC60N C"&amp;Таблица13[[#This Row],[Номинал АВ]]&amp; " " &amp; Таблица13[[#This Row],[Число фаз]] &amp; "P"</f>
        <v>Acti9 iC60N C50 3P</v>
      </c>
      <c r="E96" s="1">
        <v>50</v>
      </c>
      <c r="F96" s="9"/>
      <c r="G96" s="1"/>
      <c r="H96" s="1" t="s">
        <v>498</v>
      </c>
      <c r="I96" s="1"/>
      <c r="K96" s="1">
        <v>3</v>
      </c>
      <c r="N96" s="2">
        <f>Таблица13[[#This Row],[Pуст, кВт]]*Таблица13[[#This Row],[Kи]]</f>
        <v>0</v>
      </c>
      <c r="O96" s="2" t="e">
        <f>IF(Таблица13[[#This Row],[Число фаз]]=1,J96/220/L96*M96*1000,J96/3/220/L96*M96*1000)</f>
        <v>#DIV/0!</v>
      </c>
      <c r="P96" s="2" t="str">
        <f>Таблица13[[#This Row],[Коды щитков]] &amp; "/M" &amp; TEXT( Таблица13[[#This Row],[Номер АВ]], "00")</f>
        <v>/M02</v>
      </c>
      <c r="Q96" s="1"/>
      <c r="R96" s="1"/>
      <c r="S96" s="1"/>
      <c r="T96" s="25">
        <f>Таблица13[[#This Row],[Сечение фазного]]</f>
        <v>0</v>
      </c>
      <c r="U96" s="1"/>
      <c r="V96" s="2" t="e">
        <f>IF(Таблица13[[#This Row],[Число фаз]]=1,2*O96*(22.5/S96*L96+0.08*SIN(ACOS(L96)))*(U96/1000)*(100/220),SQRT(3)*O96*(22.5/S96*L96+0.08*SIN(ACOS(L96)))*(U96/1000)*(100/380))</f>
        <v>#DIV/0!</v>
      </c>
      <c r="W9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96" s="25" t="e">
        <f>TEXT(Таблица13[[#This Row],[Потери]],"0,0") &amp; "-" &amp;Таблица13[[#This Row],[Полная марка кабеля]]</f>
        <v>#DIV/0!</v>
      </c>
      <c r="Y96" s="1"/>
      <c r="Z96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97" spans="1:26" x14ac:dyDescent="0.25">
      <c r="A97" s="1" t="s">
        <v>24</v>
      </c>
      <c r="B97" s="1">
        <v>96</v>
      </c>
      <c r="C97" s="4">
        <v>3</v>
      </c>
      <c r="D97" s="4" t="str">
        <f>"Acti9 iC60N C"&amp;Таблица13[[#This Row],[Номинал АВ]]&amp; " " &amp; Таблица13[[#This Row],[Число фаз]] &amp; "P"</f>
        <v>Acti9 iC60N C50 3P</v>
      </c>
      <c r="E97" s="1">
        <v>50</v>
      </c>
      <c r="F97" s="9"/>
      <c r="G97" s="1"/>
      <c r="H97" s="1" t="s">
        <v>498</v>
      </c>
      <c r="I97" s="1"/>
      <c r="K97" s="1">
        <v>3</v>
      </c>
      <c r="N97" s="2">
        <f>Таблица13[[#This Row],[Pуст, кВт]]*Таблица13[[#This Row],[Kи]]</f>
        <v>0</v>
      </c>
      <c r="O97" s="2" t="e">
        <f>IF(Таблица13[[#This Row],[Число фаз]]=1,J97/220/L97*M97*1000,J97/3/220/L97*M97*1000)</f>
        <v>#DIV/0!</v>
      </c>
      <c r="P97" s="2" t="str">
        <f>Таблица13[[#This Row],[Коды щитков]] &amp; "/M" &amp; TEXT( Таблица13[[#This Row],[Номер АВ]], "00")</f>
        <v>/M03</v>
      </c>
      <c r="Q97" s="1"/>
      <c r="R97" s="1"/>
      <c r="S97" s="1"/>
      <c r="T97" s="25">
        <f>Таблица13[[#This Row],[Сечение фазного]]</f>
        <v>0</v>
      </c>
      <c r="U97" s="1"/>
      <c r="V97" s="2" t="e">
        <f>IF(Таблица13[[#This Row],[Число фаз]]=1,2*O97*(22.5/S97*L97+0.08*SIN(ACOS(L97)))*(U97/1000)*(100/220),SQRT(3)*O97*(22.5/S97*L97+0.08*SIN(ACOS(L97)))*(U97/1000)*(100/380))</f>
        <v>#DIV/0!</v>
      </c>
      <c r="W97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97" s="25" t="e">
        <f>TEXT(Таблица13[[#This Row],[Потери]],"0,0") &amp; "-" &amp;Таблица13[[#This Row],[Полная марка кабеля]]</f>
        <v>#DIV/0!</v>
      </c>
      <c r="Y97" s="1"/>
      <c r="Z97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98" spans="1:26" x14ac:dyDescent="0.25">
      <c r="A98" s="1" t="s">
        <v>25</v>
      </c>
      <c r="B98" s="1">
        <v>97</v>
      </c>
      <c r="C98" s="4">
        <v>3</v>
      </c>
      <c r="D98" s="4" t="str">
        <f>"Acti9 iC60N C"&amp;Таблица13[[#This Row],[Номинал АВ]]&amp; " " &amp; Таблица13[[#This Row],[Число фаз]] &amp; "P"</f>
        <v>Acti9 iC60N C25 3P</v>
      </c>
      <c r="E98" s="1">
        <v>25</v>
      </c>
      <c r="F98" s="13" t="s">
        <v>303</v>
      </c>
      <c r="G98" s="8"/>
      <c r="H98" s="9" t="s">
        <v>94</v>
      </c>
      <c r="I98" s="9" t="s">
        <v>474</v>
      </c>
      <c r="J98" s="16">
        <v>6</v>
      </c>
      <c r="K98" s="1">
        <v>3</v>
      </c>
      <c r="L98" s="15">
        <v>0.8</v>
      </c>
      <c r="M98" s="1">
        <v>1</v>
      </c>
      <c r="N98" s="2">
        <f>Таблица13[[#This Row],[Pуст, кВт]]*Таблица13[[#This Row],[Kи]]</f>
        <v>6</v>
      </c>
      <c r="O98" s="2">
        <f>IF(Таблица13[[#This Row],[Число фаз]]=1,J98/220/L98*M98*1000,J98/3/220/L98*M98*1000)</f>
        <v>11.363636363636362</v>
      </c>
      <c r="P98" s="2" t="str">
        <f>Таблица13[[#This Row],[Коды щитков]] &amp; "/M" &amp; TEXT( Таблица13[[#This Row],[Номер АВ]], "00")</f>
        <v>ШС-10/M03</v>
      </c>
      <c r="Q98" s="1" t="s">
        <v>63</v>
      </c>
      <c r="R98" s="1">
        <v>5</v>
      </c>
      <c r="S98" s="1">
        <v>4</v>
      </c>
      <c r="T98" s="1">
        <f>Таблица13[[#This Row],[Сечение фазного]]</f>
        <v>4</v>
      </c>
      <c r="U98" s="1">
        <v>10</v>
      </c>
      <c r="V98" s="2">
        <f>IF(Таблица13[[#This Row],[Число фаз]]=1,2*O98*(22.5/S98*L98+0.08*SIN(ACOS(L98)))*(U98/1000)*(100/220),SQRT(3)*O98*(22.5/S98*L98+0.08*SIN(ACOS(L98)))*(U98/1000)*(100/380))</f>
        <v>0.23556719715380539</v>
      </c>
      <c r="W9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ШС-10/M03-6,0-11,4-10</v>
      </c>
      <c r="X98" s="1" t="str">
        <f>TEXT(Таблица13[[#This Row],[Потери]],"0,0") &amp; "-" &amp;Таблица13[[#This Row],[Полная марка кабеля]]</f>
        <v>0,2-ВВГнг(A)-LS-5x4</v>
      </c>
      <c r="Y98" t="s">
        <v>424</v>
      </c>
      <c r="Z9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99" spans="1:26" x14ac:dyDescent="0.25">
      <c r="A99" s="1" t="s">
        <v>25</v>
      </c>
      <c r="B99" s="1">
        <v>98</v>
      </c>
      <c r="C99" s="4">
        <v>2</v>
      </c>
      <c r="D99" s="4" t="str">
        <f>"Acti9 iC60N C"&amp;Таблица13[[#This Row],[Номинал АВ]]&amp; " " &amp; Таблица13[[#This Row],[Число фаз]] &amp; "P"</f>
        <v>Acti9 iC60N C50 3P</v>
      </c>
      <c r="E99" s="1">
        <v>50</v>
      </c>
      <c r="F99" s="9" t="s">
        <v>24</v>
      </c>
      <c r="G99" s="1" t="s">
        <v>511</v>
      </c>
      <c r="H99" s="1" t="s">
        <v>263</v>
      </c>
      <c r="I99" s="1" t="s">
        <v>135</v>
      </c>
      <c r="J99" s="2">
        <v>13.8</v>
      </c>
      <c r="K99" s="1">
        <v>3</v>
      </c>
      <c r="L99" s="15">
        <v>1</v>
      </c>
      <c r="M99" s="1">
        <v>1</v>
      </c>
      <c r="N99" s="2">
        <f>Таблица13[[#This Row],[Pуст, кВт]]*Таблица13[[#This Row],[Kи]]</f>
        <v>13.8</v>
      </c>
      <c r="O99" s="2">
        <f>IF(Таблица13[[#This Row],[Число фаз]]=1,J99/220/L99*M99*1000,J99/3/220/L99*M99*1000)</f>
        <v>20.909090909090914</v>
      </c>
      <c r="P99" s="2" t="str">
        <f>Таблица13[[#This Row],[Коды щитков]] &amp; "/M" &amp; TEXT( Таблица13[[#This Row],[Номер АВ]], "00")</f>
        <v>ШС-10/M02</v>
      </c>
      <c r="Q99" s="1" t="s">
        <v>7</v>
      </c>
      <c r="R99" s="1">
        <v>4</v>
      </c>
      <c r="S99" s="1">
        <v>10</v>
      </c>
      <c r="T99" s="1">
        <f>Таблица13[[#This Row],[Сечение фазного]]</f>
        <v>10</v>
      </c>
      <c r="U99" s="1">
        <v>10</v>
      </c>
      <c r="V99" s="2">
        <f>IF(Таблица13[[#This Row],[Число фаз]]=1,2*O99*(22.5/S99*L99+0.08*SIN(ACOS(L99)))*(U99/1000)*(100/220),SQRT(3)*O99*(22.5/S99*L99+0.08*SIN(ACOS(L99)))*(U99/1000)*(100/380))</f>
        <v>0.21443451983657755</v>
      </c>
      <c r="W9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ШС-10/M02-13,8-20,9-10</v>
      </c>
      <c r="X99" s="1" t="str">
        <f>TEXT(Таблица13[[#This Row],[Потери]],"0,0") &amp; "-" &amp;Таблица13[[#This Row],[Полная марка кабеля]]</f>
        <v>0,2-КГ-4x10</v>
      </c>
      <c r="Y99" t="s">
        <v>424</v>
      </c>
      <c r="Z9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КГ-4x10</v>
      </c>
    </row>
    <row r="100" spans="1:26" x14ac:dyDescent="0.25">
      <c r="A100" s="1" t="s">
        <v>25</v>
      </c>
      <c r="B100" s="1">
        <v>99</v>
      </c>
      <c r="C100" s="4">
        <v>1</v>
      </c>
      <c r="D100" s="4" t="str">
        <f>"Acti9 iC60N C"&amp;Таблица13[[#This Row],[Номинал АВ]]&amp; " " &amp; Таблица13[[#This Row],[Число фаз]] &amp; "P"</f>
        <v>Acti9 iC60N C40 3P</v>
      </c>
      <c r="E100" s="1">
        <v>40</v>
      </c>
      <c r="F100" s="13" t="s">
        <v>280</v>
      </c>
      <c r="G100" s="1" t="s">
        <v>133</v>
      </c>
      <c r="H100" s="1" t="s">
        <v>94</v>
      </c>
      <c r="I100" s="1" t="s">
        <v>473</v>
      </c>
      <c r="J100" s="16">
        <v>13.8</v>
      </c>
      <c r="K100" s="1">
        <v>3</v>
      </c>
      <c r="L100" s="15">
        <v>0.8</v>
      </c>
      <c r="M100" s="1">
        <v>1</v>
      </c>
      <c r="N100" s="2">
        <f>Таблица13[[#This Row],[Pуст, кВт]]*Таблица13[[#This Row],[Kи]]</f>
        <v>13.8</v>
      </c>
      <c r="O100" s="2">
        <f>IF(Таблица13[[#This Row],[Число фаз]]=1,J100/220/L100*M100*1000,J100/3/220/L100*M100*1000)</f>
        <v>26.136363636363637</v>
      </c>
      <c r="P100" s="2" t="str">
        <f>Таблица13[[#This Row],[Коды щитков]] &amp; "/M" &amp; TEXT( Таблица13[[#This Row],[Номер АВ]], "00")</f>
        <v>ШС-10/M01</v>
      </c>
      <c r="Q100" s="1" t="s">
        <v>63</v>
      </c>
      <c r="R100" s="1">
        <v>5</v>
      </c>
      <c r="S100" s="1">
        <v>10</v>
      </c>
      <c r="T100" s="1">
        <f>Таблица13[[#This Row],[Сечение фазного]]</f>
        <v>10</v>
      </c>
      <c r="U100" s="1">
        <v>10</v>
      </c>
      <c r="V100" s="2">
        <f>IF(Таблица13[[#This Row],[Число фаз]]=1,2*O100*(22.5/S100*L100+0.08*SIN(ACOS(L100)))*(U100/1000)*(100/220),SQRT(3)*O100*(22.5/S100*L100+0.08*SIN(ACOS(L100)))*(U100/1000)*(100/380))</f>
        <v>0.22015277369888625</v>
      </c>
      <c r="W10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ШС-10/M01-13,8-26,1-10</v>
      </c>
      <c r="X100" s="1" t="str">
        <f>TEXT(Таблица13[[#This Row],[Потери]],"0,0") &amp; "-" &amp;Таблица13[[#This Row],[Полная марка кабеля]]</f>
        <v>0,2-ВВГнг(A)-LS-5x10</v>
      </c>
      <c r="Y100" t="s">
        <v>424</v>
      </c>
      <c r="Z10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01" spans="1:26" x14ac:dyDescent="0.25">
      <c r="A101" s="1" t="s">
        <v>26</v>
      </c>
      <c r="B101" s="1">
        <v>100</v>
      </c>
      <c r="C101" s="4">
        <v>0</v>
      </c>
      <c r="D101" s="4" t="str">
        <f>"ВА57-39 "&amp; Таблица13[[#This Row],[Число фаз]] &amp; "P " &amp;Таблица13[[#This Row],[Номинал АВ]] &amp; " А"</f>
        <v>ВА57-39 3P 500 А</v>
      </c>
      <c r="E101" s="1">
        <v>500</v>
      </c>
      <c r="F101" s="9"/>
      <c r="G101" s="1"/>
      <c r="H101" s="1"/>
      <c r="I101" s="1"/>
      <c r="K101" s="1">
        <v>3</v>
      </c>
      <c r="N101" s="2">
        <f>Таблица13[[#This Row],[Pуст, кВт]]*Таблица13[[#This Row],[Kи]]</f>
        <v>0</v>
      </c>
      <c r="O101" s="2" t="e">
        <f>IF(Таблица13[[#This Row],[Число фаз]]=1,J101/220/L101*M101*1000,J101/3/220/L101*M101*1000)</f>
        <v>#DIV/0!</v>
      </c>
      <c r="P101" s="2" t="str">
        <f>Таблица13[[#This Row],[Коды щитков]] &amp; "/M" &amp; TEXT( Таблица13[[#This Row],[Номер АВ]], "00")</f>
        <v>/M00</v>
      </c>
      <c r="Q101" s="1"/>
      <c r="R101" s="1"/>
      <c r="S101" s="1"/>
      <c r="T101" s="25">
        <f>Таблица13[[#This Row],[Сечение фазного]]</f>
        <v>0</v>
      </c>
      <c r="U101" s="1"/>
      <c r="V101" s="2" t="e">
        <f>IF(Таблица13[[#This Row],[Число фаз]]=1,2*O101*(22.5/S101*L101+0.08*SIN(ACOS(L101)))*(U101/1000)*(100/220),SQRT(3)*O101*(22.5/S101*L101+0.08*SIN(ACOS(L101)))*(U101/1000)*(100/380))</f>
        <v>#DIV/0!</v>
      </c>
      <c r="W10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01" s="25" t="e">
        <f>TEXT(Таблица13[[#This Row],[Потери]],"0,0") &amp; "-" &amp;Таблица13[[#This Row],[Полная марка кабеля]]</f>
        <v>#DIV/0!</v>
      </c>
      <c r="Y101" s="1"/>
      <c r="Z101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02" spans="1:26" x14ac:dyDescent="0.25">
      <c r="A102" s="1" t="s">
        <v>26</v>
      </c>
      <c r="B102" s="1">
        <v>101</v>
      </c>
      <c r="C102" s="4">
        <v>1</v>
      </c>
      <c r="D102" s="4" t="str">
        <f>"ВА57-35 "&amp; Таблица13[[#This Row],[Число фаз]] &amp; "P " &amp;Таблица13[[#This Row],[Номинал АВ]] &amp; " А"</f>
        <v>ВА57-35 3P 250 А</v>
      </c>
      <c r="E102" s="1">
        <v>250</v>
      </c>
      <c r="F102" s="13" t="s">
        <v>331</v>
      </c>
      <c r="G102" s="1" t="s">
        <v>114</v>
      </c>
      <c r="H102" s="1" t="s">
        <v>407</v>
      </c>
      <c r="I102" s="1" t="s">
        <v>112</v>
      </c>
      <c r="J102" s="16">
        <v>116</v>
      </c>
      <c r="K102" s="1">
        <v>3</v>
      </c>
      <c r="L102" s="15">
        <v>1</v>
      </c>
      <c r="M102" s="1">
        <v>1</v>
      </c>
      <c r="N102" s="2">
        <f>Таблица13[[#This Row],[Pуст, кВт]]*Таблица13[[#This Row],[Kи]]</f>
        <v>116</v>
      </c>
      <c r="O102" s="2">
        <f>IF(Таблица13[[#This Row],[Число фаз]]=1,J102/220/L102*M102*1000,J102/3/220/L102*M102*1000)</f>
        <v>175.75757575757575</v>
      </c>
      <c r="P102" s="2" t="str">
        <f>Таблица13[[#This Row],[Коды щитков]] &amp; "/M" &amp; TEXT( Таблица13[[#This Row],[Номер АВ]], "00")</f>
        <v>ВРУ-В3/M01</v>
      </c>
      <c r="Q102" s="1" t="s">
        <v>7</v>
      </c>
      <c r="R102" s="1">
        <v>4</v>
      </c>
      <c r="S102" s="1">
        <v>95</v>
      </c>
      <c r="T102" s="1">
        <v>35</v>
      </c>
      <c r="U102" s="1">
        <v>80</v>
      </c>
      <c r="V102" s="2">
        <f>IF(Таблица13[[#This Row],[Число фаз]]=1,2*O102*(22.5/S102*L102+0.08*SIN(ACOS(L102)))*(U102/1000)*(100/220),SQRT(3)*O102*(22.5/S102*L102+0.08*SIN(ACOS(L102)))*(U102/1000)*(100/380))</f>
        <v>1.5178888970888169</v>
      </c>
      <c r="W10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ВРУ-В3/M01-116,0-175,8-80</v>
      </c>
      <c r="X102" s="1" t="str">
        <f>TEXT(Таблица13[[#This Row],[Потери]],"0,0") &amp; "-" &amp;Таблица13[[#This Row],[Полная марка кабеля]]</f>
        <v>1,5-КГ-3x95+1x35</v>
      </c>
      <c r="Y102" t="s">
        <v>492</v>
      </c>
      <c r="Z10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03" spans="1:26" x14ac:dyDescent="0.25">
      <c r="A103" s="1" t="s">
        <v>26</v>
      </c>
      <c r="B103" s="1">
        <v>102</v>
      </c>
      <c r="C103" s="4">
        <v>2</v>
      </c>
      <c r="D103" s="4" t="str">
        <f>"ВА57-35 "&amp; Таблица13[[#This Row],[Число фаз]] &amp; "P " &amp;Таблица13[[#This Row],[Номинал АВ]] &amp; " А"</f>
        <v>ВА57-35 3P 250 А</v>
      </c>
      <c r="E103" s="1">
        <v>250</v>
      </c>
      <c r="F103" s="9" t="s">
        <v>25</v>
      </c>
      <c r="G103" s="1" t="s">
        <v>512</v>
      </c>
      <c r="H103" s="1" t="s">
        <v>263</v>
      </c>
      <c r="I103" s="1" t="s">
        <v>484</v>
      </c>
      <c r="J103" s="2">
        <v>19.8</v>
      </c>
      <c r="K103" s="1">
        <v>3</v>
      </c>
      <c r="L103" s="15">
        <v>0.8</v>
      </c>
      <c r="M103" s="1">
        <v>0.8</v>
      </c>
      <c r="N103" s="2">
        <f>Таблица13[[#This Row],[Pуст, кВт]]*Таблица13[[#This Row],[Kи]]</f>
        <v>15.840000000000002</v>
      </c>
      <c r="O103" s="2">
        <f>IF(Таблица13[[#This Row],[Число фаз]]=1,J103/220/L103*M103*1000,J103/3/220/L103*M103*1000)</f>
        <v>30</v>
      </c>
      <c r="P103" s="2" t="str">
        <f>Таблица13[[#This Row],[Коды щитков]] &amp; "/M" &amp; TEXT( Таблица13[[#This Row],[Номер АВ]], "00")</f>
        <v>ВРУ-В3/M02</v>
      </c>
      <c r="Q103" s="1" t="s">
        <v>7</v>
      </c>
      <c r="R103" s="1">
        <v>4</v>
      </c>
      <c r="S103" s="1">
        <v>95</v>
      </c>
      <c r="T103" s="1">
        <v>35</v>
      </c>
      <c r="U103" s="1">
        <v>30</v>
      </c>
      <c r="V103" s="2">
        <f>IF(Таблица13[[#This Row],[Число фаз]]=1,2*O103*(22.5/S103*L103+0.08*SIN(ACOS(L103)))*(U103/1000)*(100/220),SQRT(3)*O103*(22.5/S103*L103+0.08*SIN(ACOS(L103)))*(U103/1000)*(100/380))</f>
        <v>9.7417062595231238E-2</v>
      </c>
      <c r="W10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ВРУ-В3/M02-19,8-30,0-30</v>
      </c>
      <c r="X103" s="1" t="str">
        <f>TEXT(Таблица13[[#This Row],[Потери]],"0,0") &amp; "-" &amp;Таблица13[[#This Row],[Полная марка кабеля]]</f>
        <v>0,1-КГ-3x95+1x35</v>
      </c>
      <c r="Y103" t="s">
        <v>492</v>
      </c>
      <c r="Z10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04" spans="1:26" x14ac:dyDescent="0.25">
      <c r="A104" s="1" t="s">
        <v>26</v>
      </c>
      <c r="B104" s="1">
        <v>103</v>
      </c>
      <c r="C104" s="4">
        <v>3</v>
      </c>
      <c r="D104" s="4" t="str">
        <f>"ВА57-35 "&amp; Таблица13[[#This Row],[Число фаз]] &amp; "P " &amp;Таблица13[[#This Row],[Номинал АВ]] &amp; " А"</f>
        <v>ВА57-35 3P 100 А</v>
      </c>
      <c r="E104" s="1">
        <v>100</v>
      </c>
      <c r="F104" s="9" t="s">
        <v>136</v>
      </c>
      <c r="G104" s="1" t="s">
        <v>511</v>
      </c>
      <c r="H104" s="1" t="s">
        <v>263</v>
      </c>
      <c r="I104" s="1" t="s">
        <v>137</v>
      </c>
      <c r="J104" s="2">
        <v>25</v>
      </c>
      <c r="K104" s="1">
        <v>3</v>
      </c>
      <c r="L104" s="15">
        <v>0.8</v>
      </c>
      <c r="M104" s="1">
        <v>0.8</v>
      </c>
      <c r="N104" s="2">
        <f>Таблица13[[#This Row],[Pуст, кВт]]*Таблица13[[#This Row],[Kи]]</f>
        <v>20</v>
      </c>
      <c r="O104" s="2">
        <f>IF(Таблица13[[#This Row],[Число фаз]]=1,J104/220/L104*M104*1000,J104/3/220/L104*M104*1000)</f>
        <v>37.878787878787882</v>
      </c>
      <c r="P104" s="2" t="str">
        <f>Таблица13[[#This Row],[Коды щитков]] &amp; "/M" &amp; TEXT( Таблица13[[#This Row],[Номер АВ]], "00")</f>
        <v>ВРУ-В3/M03</v>
      </c>
      <c r="Q104" s="1" t="s">
        <v>7</v>
      </c>
      <c r="R104" s="1">
        <v>4</v>
      </c>
      <c r="S104" s="1">
        <v>16</v>
      </c>
      <c r="T104" s="1">
        <v>16</v>
      </c>
      <c r="U104" s="1">
        <v>30</v>
      </c>
      <c r="V104" s="2">
        <f>IF(Таблица13[[#This Row],[Число фаз]]=1,2*O104*(22.5/S104*L104+0.08*SIN(ACOS(L104)))*(U104/1000)*(100/220),SQRT(3)*O104*(22.5/S104*L104+0.08*SIN(ACOS(L104)))*(U104/1000)*(100/380))</f>
        <v>0.6075644728703028</v>
      </c>
      <c r="W10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ВРУ-В3/M03-25,0-37,9-30</v>
      </c>
      <c r="X104" s="1" t="str">
        <f>TEXT(Таблица13[[#This Row],[Потери]],"0,0") &amp; "-" &amp;Таблица13[[#This Row],[Полная марка кабеля]]</f>
        <v>0,6-КГ-4x16</v>
      </c>
      <c r="Y104" t="s">
        <v>492</v>
      </c>
      <c r="Z10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105" spans="1:26" x14ac:dyDescent="0.25">
      <c r="A105" s="1" t="s">
        <v>26</v>
      </c>
      <c r="B105" s="1">
        <v>104</v>
      </c>
      <c r="C105" s="4">
        <v>4</v>
      </c>
      <c r="D105" s="4" t="str">
        <f>"ВА57-35 "&amp; Таблица13[[#This Row],[Число фаз]] &amp; "P " &amp;Таблица13[[#This Row],[Номинал АВ]] &amp; " А"</f>
        <v>ВА57-35 3P 100 А</v>
      </c>
      <c r="E105" s="1">
        <v>100</v>
      </c>
      <c r="F105" s="9" t="s">
        <v>23</v>
      </c>
      <c r="G105" s="1" t="s">
        <v>511</v>
      </c>
      <c r="H105" s="1" t="s">
        <v>263</v>
      </c>
      <c r="I105" s="1" t="s">
        <v>240</v>
      </c>
      <c r="J105" s="2">
        <v>39.5</v>
      </c>
      <c r="K105" s="1">
        <v>3</v>
      </c>
      <c r="L105" s="15">
        <v>0.98835794960903556</v>
      </c>
      <c r="M105" s="1">
        <v>0.8</v>
      </c>
      <c r="N105" s="2">
        <f>Таблица13[[#This Row],[Pуст, кВт]]*Таблица13[[#This Row],[Kи]]</f>
        <v>31.6</v>
      </c>
      <c r="O105" s="2">
        <f>IF(Таблица13[[#This Row],[Число фаз]]=1,J105/220/L105*M105*1000,J105/3/220/L105*M105*1000)</f>
        <v>48.442760942760948</v>
      </c>
      <c r="P105" s="2" t="str">
        <f>Таблица13[[#This Row],[Коды щитков]] &amp; "/M" &amp; TEXT( Таблица13[[#This Row],[Номер АВ]], "00")</f>
        <v>ВРУ-В3/M04</v>
      </c>
      <c r="Q105" s="1" t="s">
        <v>7</v>
      </c>
      <c r="R105" s="1">
        <v>4</v>
      </c>
      <c r="S105" s="1">
        <v>16</v>
      </c>
      <c r="T105" s="1">
        <f>Таблица13[[#This Row],[Сечение фазного]]</f>
        <v>16</v>
      </c>
      <c r="U105" s="1">
        <v>60</v>
      </c>
      <c r="V105" s="2">
        <f>IF(Таблица13[[#This Row],[Число фаз]]=1,2*O105*(22.5/S105*L105+0.08*SIN(ACOS(L105)))*(U105/1000)*(100/220),SQRT(3)*O105*(22.5/S105*L105+0.08*SIN(ACOS(L105)))*(U105/1000)*(100/380))</f>
        <v>1.8574652496378916</v>
      </c>
      <c r="W10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ВРУ-В3/M04-39,5-48,4-60</v>
      </c>
      <c r="X105" s="1" t="str">
        <f>TEXT(Таблица13[[#This Row],[Потери]],"0,0") &amp; "-" &amp;Таблица13[[#This Row],[Полная марка кабеля]]</f>
        <v>1,9-КГ-4x16</v>
      </c>
      <c r="Y105" t="s">
        <v>492</v>
      </c>
      <c r="Z10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106" spans="1:26" x14ac:dyDescent="0.25">
      <c r="A106" s="1" t="s">
        <v>26</v>
      </c>
      <c r="B106" s="1">
        <v>105</v>
      </c>
      <c r="C106" s="4">
        <v>5</v>
      </c>
      <c r="D106" s="4" t="str">
        <f>"ВА57-35 "&amp; Таблица13[[#This Row],[Число фаз]] &amp; "P " &amp;Таблица13[[#This Row],[Номинал АВ]] &amp; " А"</f>
        <v>ВА57-35 3P 250 А</v>
      </c>
      <c r="E106" s="1">
        <v>250</v>
      </c>
      <c r="F106" s="13" t="s">
        <v>329</v>
      </c>
      <c r="G106" s="1" t="s">
        <v>134</v>
      </c>
      <c r="H106" s="1" t="s">
        <v>407</v>
      </c>
      <c r="I106" s="1" t="s">
        <v>112</v>
      </c>
      <c r="J106" s="16">
        <v>114</v>
      </c>
      <c r="K106" s="1">
        <v>3</v>
      </c>
      <c r="L106" s="15">
        <v>1</v>
      </c>
      <c r="M106" s="1">
        <v>1</v>
      </c>
      <c r="N106" s="2">
        <f>Таблица13[[#This Row],[Pуст, кВт]]*Таблица13[[#This Row],[Kи]]</f>
        <v>114</v>
      </c>
      <c r="O106" s="2">
        <f>IF(Таблица13[[#This Row],[Число фаз]]=1,J106/220/L106*M106*1000,J106/3/220/L106*M106*1000)</f>
        <v>172.72727272727272</v>
      </c>
      <c r="P106" s="2" t="str">
        <f>Таблица13[[#This Row],[Коды щитков]] &amp; "/M" &amp; TEXT( Таблица13[[#This Row],[Номер АВ]], "00")</f>
        <v>ВРУ-В3/M05</v>
      </c>
      <c r="Q106" s="1" t="s">
        <v>7</v>
      </c>
      <c r="R106" s="1">
        <v>4</v>
      </c>
      <c r="S106" s="1">
        <v>95</v>
      </c>
      <c r="T106" s="1">
        <v>35</v>
      </c>
      <c r="U106" s="1">
        <v>80</v>
      </c>
      <c r="V106" s="2">
        <f>IF(Таблица13[[#This Row],[Число фаз]]=1,2*O106*(22.5/S106*L106+0.08*SIN(ACOS(L106)))*(U106/1000)*(100/220),SQRT(3)*O106*(22.5/S106*L106+0.08*SIN(ACOS(L106)))*(U106/1000)*(100/380))</f>
        <v>1.4917183988631477</v>
      </c>
      <c r="W10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ВРУ-В3/M05-114,0-172,7-80</v>
      </c>
      <c r="X106" s="1" t="str">
        <f>TEXT(Таблица13[[#This Row],[Потери]],"0,0") &amp; "-" &amp;Таблица13[[#This Row],[Полная марка кабеля]]</f>
        <v>1,5-КГ-3x95+1x35</v>
      </c>
      <c r="Y106" t="s">
        <v>492</v>
      </c>
      <c r="Z10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07" spans="1:26" x14ac:dyDescent="0.25">
      <c r="A107" s="1" t="s">
        <v>26</v>
      </c>
      <c r="B107" s="1">
        <v>106</v>
      </c>
      <c r="C107" s="4">
        <v>6</v>
      </c>
      <c r="D107" s="4" t="str">
        <f>"ВА57-39 "&amp; Таблица13[[#This Row],[Число фаз]] &amp; "P " &amp;Таблица13[[#This Row],[Номинал АВ]] &amp; " А"</f>
        <v>ВА57-39 3P 400 А</v>
      </c>
      <c r="E107" s="1">
        <v>400</v>
      </c>
      <c r="F107" s="9" t="s">
        <v>22</v>
      </c>
      <c r="G107" s="1" t="s">
        <v>511</v>
      </c>
      <c r="H107" s="1" t="s">
        <v>263</v>
      </c>
      <c r="I107" s="1" t="s">
        <v>485</v>
      </c>
      <c r="J107" s="2">
        <v>165.024</v>
      </c>
      <c r="K107" s="1">
        <v>3</v>
      </c>
      <c r="L107" s="15">
        <v>0.8305700085392197</v>
      </c>
      <c r="M107" s="1">
        <v>0.8</v>
      </c>
      <c r="N107" s="2">
        <f>Таблица13[[#This Row],[Pуст, кВт]]*Таблица13[[#This Row],[Kи]]</f>
        <v>132.01920000000001</v>
      </c>
      <c r="O107" s="2">
        <f>IF(Таблица13[[#This Row],[Число фаз]]=1,J107/220/L107*M107*1000,J107/3/220/L107*M107*1000)</f>
        <v>240.83351054403687</v>
      </c>
      <c r="P107" s="2" t="str">
        <f>Таблица13[[#This Row],[Коды щитков]] &amp; "/M" &amp; TEXT( Таблица13[[#This Row],[Номер АВ]], "00")</f>
        <v>ВРУ-В3/M06</v>
      </c>
      <c r="Q107" s="1" t="s">
        <v>7</v>
      </c>
      <c r="R107" s="1">
        <v>4</v>
      </c>
      <c r="S107" s="1">
        <v>95</v>
      </c>
      <c r="T107" s="1">
        <v>35</v>
      </c>
      <c r="U107" s="1">
        <v>70</v>
      </c>
      <c r="V107" s="2">
        <f>IF(Таблица13[[#This Row],[Число фаз]]=1,2*O107*(22.5/S107*L107+0.08*SIN(ACOS(L107)))*(U107/1000)*(100/220),SQRT(3)*O107*(22.5/S107*L107+0.08*SIN(ACOS(L107)))*(U107/1000)*(100/380))</f>
        <v>1.85391607134721</v>
      </c>
      <c r="W10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ВРУ-В3/M06-165,0-240,8-70</v>
      </c>
      <c r="X107" s="1" t="str">
        <f>TEXT(Таблица13[[#This Row],[Потери]],"0,0") &amp; "-" &amp;Таблица13[[#This Row],[Полная марка кабеля]]</f>
        <v>1,9-КГ-3x95+1x35</v>
      </c>
      <c r="Y107" t="s">
        <v>492</v>
      </c>
      <c r="Z10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08" spans="1:26" x14ac:dyDescent="0.25">
      <c r="A108" s="1" t="s">
        <v>27</v>
      </c>
      <c r="B108" s="1">
        <v>107</v>
      </c>
      <c r="C108" s="4">
        <v>1</v>
      </c>
      <c r="D108" s="4" t="str">
        <f>"ВА57-35 "&amp; Таблица13[[#This Row],[Число фаз]] &amp; "P " &amp;Таблица13[[#This Row],[Номинал АВ]] &amp; " А"</f>
        <v>ВА57-35 3P 100 А</v>
      </c>
      <c r="E108" s="1">
        <v>100</v>
      </c>
      <c r="F108" s="13" t="s">
        <v>370</v>
      </c>
      <c r="G108" s="1" t="s">
        <v>165</v>
      </c>
      <c r="H108" s="1" t="s">
        <v>68</v>
      </c>
      <c r="I108" s="1" t="s">
        <v>164</v>
      </c>
      <c r="J108" s="16">
        <v>50</v>
      </c>
      <c r="K108" s="1">
        <v>3</v>
      </c>
      <c r="L108" s="15">
        <v>0.8</v>
      </c>
      <c r="M108" s="1">
        <v>1</v>
      </c>
      <c r="N108" s="2">
        <f>Таблица13[[#This Row],[Pуст, кВт]]*Таблица13[[#This Row],[Kи]]</f>
        <v>50</v>
      </c>
      <c r="O108" s="2">
        <f>IF(Таблица13[[#This Row],[Число фаз]]=1,J108/220/L108*M108*1000,J108/3/220/L108*M108*1000)</f>
        <v>94.696969696969703</v>
      </c>
      <c r="P108" s="2" t="str">
        <f>Таблица13[[#This Row],[Коды щитков]] &amp; "/M" &amp; TEXT( Таблица13[[#This Row],[Номер АВ]], "00")</f>
        <v>ШС-8-2/M01</v>
      </c>
      <c r="Q108" s="1" t="s">
        <v>63</v>
      </c>
      <c r="R108" s="1">
        <v>5</v>
      </c>
      <c r="S108" s="1">
        <v>35</v>
      </c>
      <c r="T108" s="1">
        <f>Таблица13[[#This Row],[Сечение фазного]]</f>
        <v>35</v>
      </c>
      <c r="U108" s="1">
        <v>10</v>
      </c>
      <c r="V108" s="2">
        <f>IF(Таблица13[[#This Row],[Число фаз]]=1,2*O108*(22.5/S108*L108+0.08*SIN(ACOS(L108)))*(U108/1000)*(100/220),SQRT(3)*O108*(22.5/S108*L108+0.08*SIN(ACOS(L108)))*(U108/1000)*(100/380))</f>
        <v>0.24270021568805183</v>
      </c>
      <c r="W10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ШС-8-2/M01-50,0-94,7-10</v>
      </c>
      <c r="X108" s="1" t="str">
        <f>TEXT(Таблица13[[#This Row],[Потери]],"0,0") &amp; "-" &amp;Таблица13[[#This Row],[Полная марка кабеля]]</f>
        <v>0,2-ВВГнг(A)-LS-5x35</v>
      </c>
      <c r="Y108" t="s">
        <v>425</v>
      </c>
      <c r="Z10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ВВГнг(A)-LS-5x35</v>
      </c>
    </row>
    <row r="109" spans="1:26" x14ac:dyDescent="0.25">
      <c r="A109" s="1" t="s">
        <v>27</v>
      </c>
      <c r="B109" s="1">
        <v>108</v>
      </c>
      <c r="C109" s="4">
        <v>2</v>
      </c>
      <c r="D109" s="4" t="str">
        <f>"Acti9 iC60N C"&amp;Таблица13[[#This Row],[Номинал АВ]]&amp; " " &amp; Таблица13[[#This Row],[Число фаз]] &amp; "P"</f>
        <v>Acti9 iC60N C25 3P</v>
      </c>
      <c r="E109" s="1">
        <v>25</v>
      </c>
      <c r="F109" s="13" t="s">
        <v>321</v>
      </c>
      <c r="G109" s="1"/>
      <c r="H109" s="1" t="s">
        <v>97</v>
      </c>
      <c r="I109" s="9" t="s">
        <v>474</v>
      </c>
      <c r="J109" s="16">
        <v>8</v>
      </c>
      <c r="K109" s="1">
        <v>3</v>
      </c>
      <c r="L109" s="15">
        <v>1</v>
      </c>
      <c r="M109" s="1">
        <v>1</v>
      </c>
      <c r="N109" s="2">
        <f>Таблица13[[#This Row],[Pуст, кВт]]*Таблица13[[#This Row],[Kи]]</f>
        <v>8</v>
      </c>
      <c r="O109" s="2">
        <f>IF(Таблица13[[#This Row],[Число фаз]]=1,J109/220/L109*M109*1000,J109/3/220/L109*M109*1000)</f>
        <v>12.121212121212121</v>
      </c>
      <c r="P109" s="2" t="str">
        <f>Таблица13[[#This Row],[Коды щитков]] &amp; "/M" &amp; TEXT( Таблица13[[#This Row],[Номер АВ]], "00")</f>
        <v>ШС-8-2/M02</v>
      </c>
      <c r="Q109" s="1" t="s">
        <v>63</v>
      </c>
      <c r="R109" s="1">
        <v>5</v>
      </c>
      <c r="S109" s="1">
        <v>4</v>
      </c>
      <c r="T109" s="1">
        <f>Таблица13[[#This Row],[Сечение фазного]]</f>
        <v>4</v>
      </c>
      <c r="U109" s="1">
        <v>15</v>
      </c>
      <c r="V109" s="2">
        <f>IF(Таблица13[[#This Row],[Число фаз]]=1,2*O109*(22.5/S109*L109+0.08*SIN(ACOS(L109)))*(U109/1000)*(100/220),SQRT(3)*O109*(22.5/S109*L109+0.08*SIN(ACOS(L109)))*(U109/1000)*(100/380))</f>
        <v>0.46616199964473365</v>
      </c>
      <c r="W10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ШС-8-2/M02-8,0-12,1-15</v>
      </c>
      <c r="X109" s="1" t="str">
        <f>TEXT(Таблица13[[#This Row],[Потери]],"0,0") &amp; "-" &amp;Таблица13[[#This Row],[Полная марка кабеля]]</f>
        <v>0,5-ВВГнг(A)-LS-5x4</v>
      </c>
      <c r="Y109" t="s">
        <v>425</v>
      </c>
      <c r="Z10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10" spans="1:26" x14ac:dyDescent="0.25">
      <c r="A110" s="1" t="s">
        <v>28</v>
      </c>
      <c r="B110" s="1">
        <v>109</v>
      </c>
      <c r="C110" s="4">
        <v>1</v>
      </c>
      <c r="D110" s="4" t="str">
        <f>"Acti9 iC60N C"&amp;Таблица13[[#This Row],[Номинал АВ]]&amp; " " &amp; Таблица13[[#This Row],[Число фаз]] &amp; "P"</f>
        <v>Acti9 iC60N C50 3P</v>
      </c>
      <c r="E110" s="1">
        <v>50</v>
      </c>
      <c r="F110" s="13" t="s">
        <v>356</v>
      </c>
      <c r="G110" s="1" t="s">
        <v>146</v>
      </c>
      <c r="H110" s="1" t="s">
        <v>139</v>
      </c>
      <c r="I110" s="1" t="s">
        <v>141</v>
      </c>
      <c r="J110" s="16">
        <v>13.5</v>
      </c>
      <c r="K110" s="1">
        <v>3</v>
      </c>
      <c r="L110" s="15">
        <v>0.8</v>
      </c>
      <c r="M110" s="1">
        <v>1</v>
      </c>
      <c r="N110" s="2">
        <f>Таблица13[[#This Row],[Pуст, кВт]]*Таблица13[[#This Row],[Kи]]</f>
        <v>13.5</v>
      </c>
      <c r="O110" s="2">
        <f>IF(Таблица13[[#This Row],[Число фаз]]=1,J110/220/L110*M110*1000,J110/3/220/L110*M110*1000)</f>
        <v>25.568181818181817</v>
      </c>
      <c r="P110" s="2" t="str">
        <f>Таблица13[[#This Row],[Коды щитков]] &amp; "/M" &amp; TEXT( Таблица13[[#This Row],[Номер АВ]], "00")</f>
        <v>ШС-8-1/M01</v>
      </c>
      <c r="Q110" s="1" t="s">
        <v>63</v>
      </c>
      <c r="R110" s="1">
        <v>5</v>
      </c>
      <c r="S110" s="1">
        <v>10</v>
      </c>
      <c r="T110" s="1">
        <f>Таблица13[[#This Row],[Сечение фазного]]</f>
        <v>10</v>
      </c>
      <c r="U110" s="1">
        <v>15</v>
      </c>
      <c r="V110" s="2">
        <f>IF(Таблица13[[#This Row],[Число фаз]]=1,2*O110*(22.5/S110*L110+0.08*SIN(ACOS(L110)))*(U110/1000)*(100/220),SQRT(3)*O110*(22.5/S110*L110+0.08*SIN(ACOS(L110)))*(U110/1000)*(100/380))</f>
        <v>0.32305026575380041</v>
      </c>
      <c r="W11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ШС-8-1/M01-13,5-25,6-15</v>
      </c>
      <c r="X110" s="1" t="str">
        <f>TEXT(Таблица13[[#This Row],[Потери]],"0,0") &amp; "-" &amp;Таблица13[[#This Row],[Полная марка кабеля]]</f>
        <v>0,3-ВВГнг(A)-LS-5x10</v>
      </c>
      <c r="Y110" t="s">
        <v>426</v>
      </c>
      <c r="Z11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11" spans="1:26" x14ac:dyDescent="0.25">
      <c r="A111" s="1" t="s">
        <v>28</v>
      </c>
      <c r="B111" s="1">
        <v>110</v>
      </c>
      <c r="C111" s="4">
        <v>2</v>
      </c>
      <c r="D111" s="4" t="str">
        <f>"Acti9 iC60N C"&amp;Таблица13[[#This Row],[Номинал АВ]]&amp; " " &amp; Таблица13[[#This Row],[Число фаз]] &amp; "P"</f>
        <v>Acti9 iC60N C16 3P</v>
      </c>
      <c r="E111" s="1">
        <v>16</v>
      </c>
      <c r="F111" s="13" t="s">
        <v>357</v>
      </c>
      <c r="G111" s="1" t="s">
        <v>145</v>
      </c>
      <c r="H111" s="1" t="s">
        <v>139</v>
      </c>
      <c r="I111" s="1" t="s">
        <v>141</v>
      </c>
      <c r="J111" s="16">
        <v>4.5</v>
      </c>
      <c r="K111" s="1">
        <v>3</v>
      </c>
      <c r="L111" s="15">
        <v>0.8</v>
      </c>
      <c r="M111" s="1">
        <v>1</v>
      </c>
      <c r="N111" s="2">
        <f>Таблица13[[#This Row],[Pуст, кВт]]*Таблица13[[#This Row],[Kи]]</f>
        <v>4.5</v>
      </c>
      <c r="O111" s="2">
        <f>IF(Таблица13[[#This Row],[Число фаз]]=1,J111/220/L111*M111*1000,J111/3/220/L111*M111*1000)</f>
        <v>8.5227272727272716</v>
      </c>
      <c r="P111" s="2" t="str">
        <f>Таблица13[[#This Row],[Коды щитков]] &amp; "/M" &amp; TEXT( Таблица13[[#This Row],[Номер АВ]], "00")</f>
        <v>ШС-8-1/M02</v>
      </c>
      <c r="Q111" s="1" t="s">
        <v>63</v>
      </c>
      <c r="R111" s="1">
        <v>5</v>
      </c>
      <c r="S111" s="1">
        <v>4</v>
      </c>
      <c r="T111" s="1">
        <f>Таблица13[[#This Row],[Сечение фазного]]</f>
        <v>4</v>
      </c>
      <c r="U111" s="1">
        <v>15</v>
      </c>
      <c r="V111" s="2">
        <f>IF(Таблица13[[#This Row],[Число фаз]]=1,2*O111*(22.5/S111*L111+0.08*SIN(ACOS(L111)))*(U111/1000)*(100/220),SQRT(3)*O111*(22.5/S111*L111+0.08*SIN(ACOS(L111)))*(U111/1000)*(100/380))</f>
        <v>0.26501309679803109</v>
      </c>
      <c r="W1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ШС-8-1/M02-4,5-8,5-15</v>
      </c>
      <c r="X111" s="1" t="str">
        <f>TEXT(Таблица13[[#This Row],[Потери]],"0,0") &amp; "-" &amp;Таблица13[[#This Row],[Полная марка кабеля]]</f>
        <v>0,3-ВВГнг(A)-LS-5x4</v>
      </c>
      <c r="Y111" t="s">
        <v>426</v>
      </c>
      <c r="Z11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12" spans="1:26" x14ac:dyDescent="0.25">
      <c r="A112" s="1" t="s">
        <v>28</v>
      </c>
      <c r="B112" s="1">
        <v>111</v>
      </c>
      <c r="C112" s="4">
        <v>3</v>
      </c>
      <c r="D112" s="4" t="str">
        <f>"Acti9 iC60N C"&amp;Таблица13[[#This Row],[Номинал АВ]]&amp; " " &amp; Таблица13[[#This Row],[Число фаз]] &amp; "P"</f>
        <v>Acti9 iC60N C10 3P</v>
      </c>
      <c r="E112" s="1">
        <v>10</v>
      </c>
      <c r="F112" s="13" t="s">
        <v>371</v>
      </c>
      <c r="G112" s="1" t="s">
        <v>144</v>
      </c>
      <c r="H112" s="1" t="s">
        <v>140</v>
      </c>
      <c r="I112" s="1" t="s">
        <v>141</v>
      </c>
      <c r="J112" s="16">
        <v>2.5</v>
      </c>
      <c r="K112" s="1">
        <v>3</v>
      </c>
      <c r="L112" s="15">
        <v>0.8</v>
      </c>
      <c r="M112" s="1">
        <v>1</v>
      </c>
      <c r="N112" s="2">
        <f>Таблица13[[#This Row],[Pуст, кВт]]*Таблица13[[#This Row],[Kи]]</f>
        <v>2.5</v>
      </c>
      <c r="O112" s="2">
        <f>IF(Таблица13[[#This Row],[Число фаз]]=1,J112/220/L112*M112*1000,J112/3/220/L112*M112*1000)</f>
        <v>4.7348484848484853</v>
      </c>
      <c r="P112" s="2" t="str">
        <f>Таблица13[[#This Row],[Коды щитков]] &amp; "/M" &amp; TEXT( Таблица13[[#This Row],[Номер АВ]], "00")</f>
        <v>ШС-8-1/M03</v>
      </c>
      <c r="Q112" s="1" t="s">
        <v>63</v>
      </c>
      <c r="R112" s="1">
        <v>5</v>
      </c>
      <c r="S112" s="1">
        <v>4</v>
      </c>
      <c r="T112" s="1">
        <f>Таблица13[[#This Row],[Сечение фазного]]</f>
        <v>4</v>
      </c>
      <c r="U112" s="1">
        <v>15</v>
      </c>
      <c r="V112" s="2">
        <f>IF(Таблица13[[#This Row],[Число фаз]]=1,2*O112*(22.5/S112*L112+0.08*SIN(ACOS(L112)))*(U112/1000)*(100/220),SQRT(3)*O112*(22.5/S112*L112+0.08*SIN(ACOS(L112)))*(U112/1000)*(100/380))</f>
        <v>0.14722949822112838</v>
      </c>
      <c r="W1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ШС-8-1/M03-2,5-4,7-15</v>
      </c>
      <c r="X112" s="1" t="str">
        <f>TEXT(Таблица13[[#This Row],[Потери]],"0,0") &amp; "-" &amp;Таблица13[[#This Row],[Полная марка кабеля]]</f>
        <v>0,1-ВВГнг(A)-LS-5x4</v>
      </c>
      <c r="Y112" t="s">
        <v>426</v>
      </c>
      <c r="Z11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13" spans="1:26" x14ac:dyDescent="0.25">
      <c r="A113" s="1" t="s">
        <v>28</v>
      </c>
      <c r="B113" s="1">
        <v>112</v>
      </c>
      <c r="C113" s="4">
        <v>4</v>
      </c>
      <c r="D113" s="4" t="str">
        <f>"Acti9 iC60N C"&amp;Таблица13[[#This Row],[Номинал АВ]]&amp; " " &amp; Таблица13[[#This Row],[Число фаз]] &amp; "P"</f>
        <v>Acti9 iC60N C40 3P</v>
      </c>
      <c r="E113" s="1">
        <v>40</v>
      </c>
      <c r="F113" s="13" t="s">
        <v>358</v>
      </c>
      <c r="G113" s="1" t="s">
        <v>148</v>
      </c>
      <c r="H113" s="1" t="s">
        <v>139</v>
      </c>
      <c r="I113" s="1" t="s">
        <v>141</v>
      </c>
      <c r="J113" s="17">
        <v>13.5</v>
      </c>
      <c r="K113" s="1">
        <v>3</v>
      </c>
      <c r="L113" s="15">
        <v>0.8</v>
      </c>
      <c r="M113" s="1">
        <v>1</v>
      </c>
      <c r="N113" s="2">
        <f>Таблица13[[#This Row],[Pуст, кВт]]*Таблица13[[#This Row],[Kи]]</f>
        <v>13.5</v>
      </c>
      <c r="O113" s="2">
        <f>IF(Таблица13[[#This Row],[Число фаз]]=1,J113/220/L113*M113*1000,J113/3/220/L113*M113*1000)</f>
        <v>25.568181818181817</v>
      </c>
      <c r="P113" s="2" t="str">
        <f>Таблица13[[#This Row],[Коды щитков]] &amp; "/M" &amp; TEXT( Таблица13[[#This Row],[Номер АВ]], "00")</f>
        <v>ШС-8-1/M04</v>
      </c>
      <c r="Q113" s="1" t="s">
        <v>63</v>
      </c>
      <c r="R113" s="1">
        <v>5</v>
      </c>
      <c r="S113" s="1">
        <v>10</v>
      </c>
      <c r="T113" s="1">
        <f>Таблица13[[#This Row],[Сечение фазного]]</f>
        <v>10</v>
      </c>
      <c r="U113" s="1">
        <v>15</v>
      </c>
      <c r="V113" s="2">
        <f>IF(Таблица13[[#This Row],[Число фаз]]=1,2*O113*(22.5/S113*L113+0.08*SIN(ACOS(L113)))*(U113/1000)*(100/220),SQRT(3)*O113*(22.5/S113*L113+0.08*SIN(ACOS(L113)))*(U113/1000)*(100/380))</f>
        <v>0.32305026575380041</v>
      </c>
      <c r="W1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ШС-8-1/M04-13,5-25,6-15</v>
      </c>
      <c r="X113" s="1" t="str">
        <f>TEXT(Таблица13[[#This Row],[Потери]],"0,0") &amp; "-" &amp;Таблица13[[#This Row],[Полная марка кабеля]]</f>
        <v>0,3-ВВГнг(A)-LS-5x10</v>
      </c>
      <c r="Y113" t="s">
        <v>426</v>
      </c>
      <c r="Z11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14" spans="1:26" x14ac:dyDescent="0.25">
      <c r="A114" s="1" t="s">
        <v>28</v>
      </c>
      <c r="B114" s="1">
        <v>113</v>
      </c>
      <c r="C114" s="4">
        <v>5</v>
      </c>
      <c r="D114" s="4" t="str">
        <f>"Acti9 iC60N C"&amp;Таблица13[[#This Row],[Номинал АВ]]&amp; " " &amp; Таблица13[[#This Row],[Число фаз]] &amp; "P"</f>
        <v>Acti9 iC60N C25 3P</v>
      </c>
      <c r="E114" s="1">
        <v>25</v>
      </c>
      <c r="F114" s="13" t="s">
        <v>359</v>
      </c>
      <c r="G114" s="1" t="s">
        <v>147</v>
      </c>
      <c r="H114" s="1" t="s">
        <v>139</v>
      </c>
      <c r="I114" s="1" t="s">
        <v>141</v>
      </c>
      <c r="J114" s="16">
        <v>9</v>
      </c>
      <c r="K114" s="1">
        <v>3</v>
      </c>
      <c r="L114" s="15">
        <v>0.8</v>
      </c>
      <c r="M114" s="1">
        <v>1</v>
      </c>
      <c r="N114" s="2">
        <f>Таблица13[[#This Row],[Pуст, кВт]]*Таблица13[[#This Row],[Kи]]</f>
        <v>9</v>
      </c>
      <c r="O114" s="2">
        <f>IF(Таблица13[[#This Row],[Число фаз]]=1,J114/220/L114*M114*1000,J114/3/220/L114*M114*1000)</f>
        <v>17.045454545454543</v>
      </c>
      <c r="P114" s="2" t="str">
        <f>Таблица13[[#This Row],[Коды щитков]] &amp; "/M" &amp; TEXT( Таблица13[[#This Row],[Номер АВ]], "00")</f>
        <v>ШС-8-1/M05</v>
      </c>
      <c r="Q114" s="1" t="s">
        <v>63</v>
      </c>
      <c r="R114" s="1">
        <v>5</v>
      </c>
      <c r="S114" s="1">
        <v>4</v>
      </c>
      <c r="T114" s="1">
        <f>Таблица13[[#This Row],[Сечение фазного]]</f>
        <v>4</v>
      </c>
      <c r="U114" s="1">
        <v>15</v>
      </c>
      <c r="V114" s="2">
        <f>IF(Таблица13[[#This Row],[Число фаз]]=1,2*O114*(22.5/S114*L114+0.08*SIN(ACOS(L114)))*(U114/1000)*(100/220),SQRT(3)*O114*(22.5/S114*L114+0.08*SIN(ACOS(L114)))*(U114/1000)*(100/380))</f>
        <v>0.53002619359606218</v>
      </c>
      <c r="W11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ШС-8-1/M05-9,0-17,0-15</v>
      </c>
      <c r="X114" s="1" t="str">
        <f>TEXT(Таблица13[[#This Row],[Потери]],"0,0") &amp; "-" &amp;Таблица13[[#This Row],[Полная марка кабеля]]</f>
        <v>0,5-ВВГнг(A)-LS-5x4</v>
      </c>
      <c r="Y114" t="s">
        <v>426</v>
      </c>
      <c r="Z11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15" spans="1:26" x14ac:dyDescent="0.25">
      <c r="A115" s="1" t="s">
        <v>28</v>
      </c>
      <c r="B115" s="1">
        <v>114</v>
      </c>
      <c r="C115" s="4">
        <v>6</v>
      </c>
      <c r="D115" s="4" t="str">
        <f>"Acti9 iC60N C"&amp;Таблица13[[#This Row],[Номинал АВ]]&amp; " " &amp; Таблица13[[#This Row],[Число фаз]] &amp; "P"</f>
        <v>Acti9 iC60N C16 3P</v>
      </c>
      <c r="E115" s="1">
        <v>16</v>
      </c>
      <c r="F115" s="13" t="s">
        <v>396</v>
      </c>
      <c r="G115" s="1" t="s">
        <v>143</v>
      </c>
      <c r="H115" s="1" t="s">
        <v>142</v>
      </c>
      <c r="I115" s="1" t="s">
        <v>141</v>
      </c>
      <c r="J115" s="16">
        <v>2.6</v>
      </c>
      <c r="K115" s="1">
        <v>3</v>
      </c>
      <c r="L115" s="15">
        <v>0.8</v>
      </c>
      <c r="M115" s="1">
        <v>1</v>
      </c>
      <c r="N115" s="2">
        <f>Таблица13[[#This Row],[Pуст, кВт]]*Таблица13[[#This Row],[Kи]]</f>
        <v>2.6</v>
      </c>
      <c r="O115" s="2">
        <f>IF(Таблица13[[#This Row],[Число фаз]]=1,J115/220/L115*M115*1000,J115/3/220/L115*M115*1000)</f>
        <v>4.9242424242424239</v>
      </c>
      <c r="P115" s="2" t="str">
        <f>Таблица13[[#This Row],[Коды щитков]] &amp; "/M" &amp; TEXT( Таблица13[[#This Row],[Номер АВ]], "00")</f>
        <v>ШС-8-1/M06</v>
      </c>
      <c r="Q115" s="1" t="s">
        <v>63</v>
      </c>
      <c r="R115" s="1">
        <v>5</v>
      </c>
      <c r="S115" s="1">
        <v>4</v>
      </c>
      <c r="T115" s="1">
        <f>Таблица13[[#This Row],[Сечение фазного]]</f>
        <v>4</v>
      </c>
      <c r="U115" s="1">
        <v>15</v>
      </c>
      <c r="V115" s="2">
        <f>IF(Таблица13[[#This Row],[Число фаз]]=1,2*O115*(22.5/S115*L115+0.08*SIN(ACOS(L115)))*(U115/1000)*(100/220),SQRT(3)*O115*(22.5/S115*L115+0.08*SIN(ACOS(L115)))*(U115/1000)*(100/380))</f>
        <v>0.15311867814997349</v>
      </c>
      <c r="W1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ШС-8-1/M06-2,6-4,9-15</v>
      </c>
      <c r="X115" s="1" t="str">
        <f>TEXT(Таблица13[[#This Row],[Потери]],"0,0") &amp; "-" &amp;Таблица13[[#This Row],[Полная марка кабеля]]</f>
        <v>0,2-ВВГнг(A)-LS-5x4</v>
      </c>
      <c r="Y115" t="s">
        <v>426</v>
      </c>
      <c r="Z11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16" spans="1:26" x14ac:dyDescent="0.25">
      <c r="A116" s="1" t="s">
        <v>28</v>
      </c>
      <c r="B116" s="1">
        <v>115</v>
      </c>
      <c r="C116" s="4">
        <v>7</v>
      </c>
      <c r="D116" s="4" t="str">
        <f>"Acti9 iC60N C"&amp;Таблица13[[#This Row],[Номинал АВ]]&amp; " " &amp; Таблица13[[#This Row],[Число фаз]] &amp; "P"</f>
        <v>Acti9 iC60N C25 3P</v>
      </c>
      <c r="E116" s="1">
        <v>25</v>
      </c>
      <c r="F116" s="13" t="s">
        <v>372</v>
      </c>
      <c r="G116" s="1" t="s">
        <v>149</v>
      </c>
      <c r="H116" s="1" t="s">
        <v>140</v>
      </c>
      <c r="I116" s="1" t="s">
        <v>141</v>
      </c>
      <c r="J116" s="16">
        <v>2.8</v>
      </c>
      <c r="K116" s="1">
        <v>3</v>
      </c>
      <c r="L116" s="15">
        <v>0.8</v>
      </c>
      <c r="M116" s="1">
        <v>1</v>
      </c>
      <c r="N116" s="2">
        <f>Таблица13[[#This Row],[Pуст, кВт]]*Таблица13[[#This Row],[Kи]]</f>
        <v>2.8</v>
      </c>
      <c r="O116" s="2">
        <f>IF(Таблица13[[#This Row],[Число фаз]]=1,J116/220/L116*M116*1000,J116/3/220/L116*M116*1000)</f>
        <v>5.3030303030303028</v>
      </c>
      <c r="P116" s="2" t="str">
        <f>Таблица13[[#This Row],[Коды щитков]] &amp; "/M" &amp; TEXT( Таблица13[[#This Row],[Номер АВ]], "00")</f>
        <v>ШС-8-1/M07</v>
      </c>
      <c r="Q116" s="1" t="s">
        <v>63</v>
      </c>
      <c r="R116" s="1">
        <v>5</v>
      </c>
      <c r="S116" s="1">
        <v>4</v>
      </c>
      <c r="T116" s="1">
        <f>Таблица13[[#This Row],[Сечение фазного]]</f>
        <v>4</v>
      </c>
      <c r="U116" s="1">
        <v>15</v>
      </c>
      <c r="V116" s="2">
        <f>IF(Таблица13[[#This Row],[Число фаз]]=1,2*O116*(22.5/S116*L116+0.08*SIN(ACOS(L116)))*(U116/1000)*(100/220),SQRT(3)*O116*(22.5/S116*L116+0.08*SIN(ACOS(L116)))*(U116/1000)*(100/380))</f>
        <v>0.16489703800766378</v>
      </c>
      <c r="W1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ШС-8-1/M07-2,8-5,3-15</v>
      </c>
      <c r="X116" s="1" t="str">
        <f>TEXT(Таблица13[[#This Row],[Потери]],"0,0") &amp; "-" &amp;Таблица13[[#This Row],[Полная марка кабеля]]</f>
        <v>0,2-ВВГнг(A)-LS-5x4</v>
      </c>
      <c r="Y116" t="s">
        <v>426</v>
      </c>
      <c r="Z11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17" spans="1:26" x14ac:dyDescent="0.25">
      <c r="A117" s="1" t="s">
        <v>28</v>
      </c>
      <c r="B117" s="1">
        <v>116</v>
      </c>
      <c r="C117" s="4">
        <v>8</v>
      </c>
      <c r="D117" s="4" t="str">
        <f>"Acti9 DPN N Vigi C" &amp; Таблица13[[#This Row],[Номинал АВ]]&amp; " 1P+N 30 мА"</f>
        <v>Acti9 DPN N Vigi C16 1P+N 30 мА</v>
      </c>
      <c r="E117" s="1">
        <v>16</v>
      </c>
      <c r="F117" s="9"/>
      <c r="G117" s="1"/>
      <c r="H117" s="1" t="s">
        <v>72</v>
      </c>
      <c r="I117" s="1" t="s">
        <v>141</v>
      </c>
      <c r="J117" s="16">
        <v>2</v>
      </c>
      <c r="K117" s="1">
        <v>1</v>
      </c>
      <c r="L117" s="15">
        <v>0.9</v>
      </c>
      <c r="M117" s="1">
        <v>1</v>
      </c>
      <c r="N117" s="2">
        <f>Таблица13[[#This Row],[Pуст, кВт]]*Таблица13[[#This Row],[Kи]]</f>
        <v>2</v>
      </c>
      <c r="O117" s="2">
        <f>IF(Таблица13[[#This Row],[Число фаз]]=1,J117/220/L117*M117*1000,J117/3/220/L117*M117*1000)</f>
        <v>10.1010101010101</v>
      </c>
      <c r="P117" s="2" t="str">
        <f>Таблица13[[#This Row],[Коды щитков]] &amp; "/M" &amp; TEXT( Таблица13[[#This Row],[Номер АВ]], "00")</f>
        <v>ШС-8-1/M08</v>
      </c>
      <c r="Q117" s="1" t="s">
        <v>63</v>
      </c>
      <c r="R117" s="1">
        <v>3</v>
      </c>
      <c r="S117" s="1">
        <v>2.5</v>
      </c>
      <c r="T117" s="1">
        <f>Таблица13[[#This Row],[Сечение фазного]]</f>
        <v>2.5</v>
      </c>
      <c r="U117" s="1">
        <v>10</v>
      </c>
      <c r="V117" s="2">
        <f>IF(Таблица13[[#This Row],[Число фаз]]=1,2*O117*(22.5/S117*L117+0.08*SIN(ACOS(L117)))*(U117/1000)*(100/220),SQRT(3)*O117*(22.5/S117*L117+0.08*SIN(ACOS(L117)))*(U117/1000)*(100/380))</f>
        <v>0.74700378251132449</v>
      </c>
      <c r="W1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ШС-8-1/M08-2,0-10,1-10</v>
      </c>
      <c r="X117" s="1" t="str">
        <f>TEXT(Таблица13[[#This Row],[Потери]],"0,0") &amp; "-" &amp;Таблица13[[#This Row],[Полная марка кабеля]]</f>
        <v>0,7-ВВГнг(A)-LS-3x2,5</v>
      </c>
      <c r="Y117" t="s">
        <v>426</v>
      </c>
      <c r="Z11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18" spans="1:26" x14ac:dyDescent="0.25">
      <c r="A118" s="1" t="s">
        <v>29</v>
      </c>
      <c r="B118" s="1">
        <v>117</v>
      </c>
      <c r="C118" s="4">
        <v>1</v>
      </c>
      <c r="D118" s="4" t="str">
        <f>"Acti9 iC60N C"&amp;Таблица13[[#This Row],[Номинал АВ]]&amp; " " &amp; Таблица13[[#This Row],[Число фаз]] &amp; "P"</f>
        <v>Acti9 iC60N C10 1P</v>
      </c>
      <c r="E118" s="1">
        <v>10</v>
      </c>
      <c r="F118" s="9"/>
      <c r="G118" s="1"/>
      <c r="H118" s="1" t="s">
        <v>73</v>
      </c>
      <c r="I118" s="1" t="s">
        <v>150</v>
      </c>
      <c r="J118" s="16">
        <f>18*2*22/1000</f>
        <v>0.79200000000000004</v>
      </c>
      <c r="K118" s="1">
        <v>1</v>
      </c>
      <c r="L118" s="15">
        <v>0.96</v>
      </c>
      <c r="M118" s="1">
        <v>1</v>
      </c>
      <c r="N118" s="2">
        <f>Таблица13[[#This Row],[Pуст, кВт]]*Таблица13[[#This Row],[Kи]]</f>
        <v>0.79200000000000004</v>
      </c>
      <c r="O118" s="2">
        <f>IF(Таблица13[[#This Row],[Число фаз]]=1,J118/220/L118*M118*1000,J118/3/220/L118*M118*1000)</f>
        <v>3.7500000000000004</v>
      </c>
      <c r="P118" s="2" t="str">
        <f>Таблица13[[#This Row],[Коды щитков]] &amp; "/M" &amp; TEXT( Таблица13[[#This Row],[Номер АВ]], "00")</f>
        <v>ШС-6-2/M01</v>
      </c>
      <c r="Q118" s="1" t="s">
        <v>63</v>
      </c>
      <c r="R118" s="1">
        <v>3</v>
      </c>
      <c r="S118" s="1">
        <v>1.5</v>
      </c>
      <c r="T118" s="1">
        <f>Таблица13[[#This Row],[Сечение фазного]]</f>
        <v>1.5</v>
      </c>
      <c r="U118" s="1">
        <v>60</v>
      </c>
      <c r="V118" s="2">
        <f>IF(Таблица13[[#This Row],[Число фаз]]=1,2*O118*(22.5/S118*L118+0.08*SIN(ACOS(L118)))*(U118/1000)*(100/220),SQRT(3)*O118*(22.5/S118*L118+0.08*SIN(ACOS(L118)))*(U118/1000)*(100/380))</f>
        <v>2.9500363636363631</v>
      </c>
      <c r="W1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ШС-6-2/M01-0,8-3,8-60</v>
      </c>
      <c r="X118" s="1" t="str">
        <f>TEXT(Таблица13[[#This Row],[Потери]],"0,0") &amp; "-" &amp;Таблица13[[#This Row],[Полная марка кабеля]]</f>
        <v>3,0-ВВГнг(A)-LS-3x1,5</v>
      </c>
      <c r="Y118" t="s">
        <v>427</v>
      </c>
      <c r="Z11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19" spans="1:26" x14ac:dyDescent="0.25">
      <c r="A119" s="1" t="s">
        <v>29</v>
      </c>
      <c r="B119" s="1">
        <v>118</v>
      </c>
      <c r="C119" s="4">
        <v>2</v>
      </c>
      <c r="D119" s="4" t="str">
        <f>"Acti9 iC60N C"&amp;Таблица13[[#This Row],[Номинал АВ]]&amp; " " &amp; Таблица13[[#This Row],[Число фаз]] &amp; "P"</f>
        <v>Acti9 iC60N C10 1P</v>
      </c>
      <c r="E119" s="1">
        <v>10</v>
      </c>
      <c r="F119" s="9"/>
      <c r="G119" s="1"/>
      <c r="H119" s="1" t="s">
        <v>73</v>
      </c>
      <c r="I119" s="1" t="s">
        <v>150</v>
      </c>
      <c r="J119" s="16">
        <f>16*2*22/1000</f>
        <v>0.70399999999999996</v>
      </c>
      <c r="K119" s="1">
        <v>1</v>
      </c>
      <c r="L119" s="15">
        <v>0.96</v>
      </c>
      <c r="M119" s="1">
        <v>1</v>
      </c>
      <c r="N119" s="2">
        <f>Таблица13[[#This Row],[Pуст, кВт]]*Таблица13[[#This Row],[Kи]]</f>
        <v>0.70399999999999996</v>
      </c>
      <c r="O119" s="2">
        <f>IF(Таблица13[[#This Row],[Число фаз]]=1,J119/220/L119*M119*1000,J119/3/220/L119*M119*1000)</f>
        <v>3.333333333333333</v>
      </c>
      <c r="P119" s="2" t="str">
        <f>Таблица13[[#This Row],[Коды щитков]] &amp; "/M" &amp; TEXT( Таблица13[[#This Row],[Номер АВ]], "00")</f>
        <v>ШС-6-2/M02</v>
      </c>
      <c r="Q119" s="1" t="s">
        <v>63</v>
      </c>
      <c r="R119" s="1">
        <v>3</v>
      </c>
      <c r="S119" s="1">
        <v>1.5</v>
      </c>
      <c r="T119" s="1">
        <f>Таблица13[[#This Row],[Сечение фазного]]</f>
        <v>1.5</v>
      </c>
      <c r="U119" s="1">
        <v>60</v>
      </c>
      <c r="V119" s="2">
        <f>IF(Таблица13[[#This Row],[Число фаз]]=1,2*O119*(22.5/S119*L119+0.08*SIN(ACOS(L119)))*(U119/1000)*(100/220),SQRT(3)*O119*(22.5/S119*L119+0.08*SIN(ACOS(L119)))*(U119/1000)*(100/380))</f>
        <v>2.6222545454545449</v>
      </c>
      <c r="W1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ШС-6-2/M02-0,7-3,3-60</v>
      </c>
      <c r="X119" s="1" t="str">
        <f>TEXT(Таблица13[[#This Row],[Потери]],"0,0") &amp; "-" &amp;Таблица13[[#This Row],[Полная марка кабеля]]</f>
        <v>2,6-ВВГнг(A)-LS-3x1,5</v>
      </c>
      <c r="Y119" t="s">
        <v>427</v>
      </c>
      <c r="Z11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20" spans="1:26" x14ac:dyDescent="0.25">
      <c r="A120" s="1" t="s">
        <v>29</v>
      </c>
      <c r="B120" s="1">
        <v>119</v>
      </c>
      <c r="C120" s="4">
        <v>3</v>
      </c>
      <c r="D120" s="4" t="str">
        <f>"Acti9 DPN N Vigi C" &amp; Таблица13[[#This Row],[Номинал АВ]]&amp; " 1P+N 30 мА"</f>
        <v>Acti9 DPN N Vigi C16 1P+N 30 мА</v>
      </c>
      <c r="E120" s="1">
        <v>16</v>
      </c>
      <c r="F120" s="9"/>
      <c r="G120" s="1"/>
      <c r="H120" s="1" t="s">
        <v>72</v>
      </c>
      <c r="I120" s="1" t="s">
        <v>150</v>
      </c>
      <c r="J120" s="16">
        <v>2</v>
      </c>
      <c r="K120" s="1">
        <v>1</v>
      </c>
      <c r="L120" s="15">
        <v>0.9</v>
      </c>
      <c r="M120" s="1">
        <v>1</v>
      </c>
      <c r="N120" s="2">
        <f>Таблица13[[#This Row],[Pуст, кВт]]*Таблица13[[#This Row],[Kи]]</f>
        <v>2</v>
      </c>
      <c r="O120" s="2">
        <f>IF(Таблица13[[#This Row],[Число фаз]]=1,J120/220/L120*M120*1000,J120/3/220/L120*M120*1000)</f>
        <v>10.1010101010101</v>
      </c>
      <c r="P120" s="2" t="str">
        <f>Таблица13[[#This Row],[Коды щитков]] &amp; "/M" &amp; TEXT( Таблица13[[#This Row],[Номер АВ]], "00")</f>
        <v>ШС-6-2/M03</v>
      </c>
      <c r="Q120" s="1" t="s">
        <v>63</v>
      </c>
      <c r="R120" s="1">
        <v>3</v>
      </c>
      <c r="S120" s="1">
        <v>4</v>
      </c>
      <c r="T120" s="1">
        <f>Таблица13[[#This Row],[Сечение фазного]]</f>
        <v>4</v>
      </c>
      <c r="U120" s="1">
        <v>20</v>
      </c>
      <c r="V120" s="2">
        <f>IF(Таблица13[[#This Row],[Число фаз]]=1,2*O120*(22.5/S120*L120+0.08*SIN(ACOS(L120)))*(U120/1000)*(100/220),SQRT(3)*O120*(22.5/S120*L120+0.08*SIN(ACOS(L120)))*(U120/1000)*(100/380))</f>
        <v>0.93615632535322768</v>
      </c>
      <c r="W1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ШС-6-2/M03-2,0-10,1-20</v>
      </c>
      <c r="X120" s="1" t="str">
        <f>TEXT(Таблица13[[#This Row],[Потери]],"0,0") &amp; "-" &amp;Таблица13[[#This Row],[Полная марка кабеля]]</f>
        <v>0,9-ВВГнг(A)-LS-3x4</v>
      </c>
      <c r="Y120" t="s">
        <v>427</v>
      </c>
      <c r="Z12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121" spans="1:26" x14ac:dyDescent="0.25">
      <c r="A121" s="1" t="s">
        <v>29</v>
      </c>
      <c r="B121" s="1">
        <v>120</v>
      </c>
      <c r="C121" s="4">
        <v>4</v>
      </c>
      <c r="D121" s="4" t="str">
        <f>"Acti9 DPN N Vigi C" &amp; Таблица13[[#This Row],[Номинал АВ]]&amp; " 1P+N 30 мА"</f>
        <v>Acti9 DPN N Vigi C25 1P+N 30 мА</v>
      </c>
      <c r="E121" s="1">
        <v>25</v>
      </c>
      <c r="F121" s="9"/>
      <c r="G121" s="1"/>
      <c r="H121" s="1" t="s">
        <v>72</v>
      </c>
      <c r="I121" s="1" t="s">
        <v>150</v>
      </c>
      <c r="J121" s="16">
        <v>2</v>
      </c>
      <c r="K121" s="1">
        <v>1</v>
      </c>
      <c r="L121" s="15">
        <v>0.9</v>
      </c>
      <c r="M121" s="1">
        <v>1</v>
      </c>
      <c r="N121" s="2">
        <f>Таблица13[[#This Row],[Pуст, кВт]]*Таблица13[[#This Row],[Kи]]</f>
        <v>2</v>
      </c>
      <c r="O121" s="2">
        <f>IF(Таблица13[[#This Row],[Число фаз]]=1,J121/220/L121*M121*1000,J121/3/220/L121*M121*1000)</f>
        <v>10.1010101010101</v>
      </c>
      <c r="P121" s="2" t="str">
        <f>Таблица13[[#This Row],[Коды щитков]] &amp; "/M" &amp; TEXT( Таблица13[[#This Row],[Номер АВ]], "00")</f>
        <v>ШС-6-2/M04</v>
      </c>
      <c r="Q121" s="1" t="s">
        <v>63</v>
      </c>
      <c r="R121" s="1">
        <v>3</v>
      </c>
      <c r="S121" s="1">
        <v>4</v>
      </c>
      <c r="T121" s="1">
        <f>Таблица13[[#This Row],[Сечение фазного]]</f>
        <v>4</v>
      </c>
      <c r="U121" s="1">
        <v>10</v>
      </c>
      <c r="V121" s="2">
        <f>IF(Таблица13[[#This Row],[Число фаз]]=1,2*O121*(22.5/S121*L121+0.08*SIN(ACOS(L121)))*(U121/1000)*(100/220),SQRT(3)*O121*(22.5/S121*L121+0.08*SIN(ACOS(L121)))*(U121/1000)*(100/380))</f>
        <v>0.46807816267661384</v>
      </c>
      <c r="W1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ШС-6-2/M04-2,0-10,1-10</v>
      </c>
      <c r="X121" s="1" t="str">
        <f>TEXT(Таблица13[[#This Row],[Потери]],"0,0") &amp; "-" &amp;Таблица13[[#This Row],[Полная марка кабеля]]</f>
        <v>0,5-ВВГнг(A)-LS-3x4</v>
      </c>
      <c r="Y121" t="s">
        <v>427</v>
      </c>
      <c r="Z12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122" spans="1:26" x14ac:dyDescent="0.25">
      <c r="A122" s="1" t="s">
        <v>29</v>
      </c>
      <c r="B122" s="1">
        <v>121</v>
      </c>
      <c r="C122" s="4">
        <v>5</v>
      </c>
      <c r="D122" s="4" t="str">
        <f>"Acti9 iC60N C"&amp;Таблица13[[#This Row],[Номинал АВ]]&amp; " " &amp; Таблица13[[#This Row],[Число фаз]] &amp; "P"</f>
        <v>Acti9 iC60N C25 3P</v>
      </c>
      <c r="E122" s="1">
        <v>25</v>
      </c>
      <c r="F122" s="13" t="s">
        <v>397</v>
      </c>
      <c r="G122" s="1"/>
      <c r="H122" s="1" t="s">
        <v>408</v>
      </c>
      <c r="I122" s="1" t="s">
        <v>150</v>
      </c>
      <c r="J122" s="16">
        <v>7</v>
      </c>
      <c r="K122" s="1">
        <v>3</v>
      </c>
      <c r="L122" s="15">
        <v>0.8</v>
      </c>
      <c r="M122" s="1">
        <v>1</v>
      </c>
      <c r="N122" s="2">
        <f>Таблица13[[#This Row],[Pуст, кВт]]*Таблица13[[#This Row],[Kи]]</f>
        <v>7</v>
      </c>
      <c r="O122" s="2">
        <f>IF(Таблица13[[#This Row],[Число фаз]]=1,J122/220/L122*M122*1000,J122/3/220/L122*M122*1000)</f>
        <v>13.257575757575758</v>
      </c>
      <c r="P122" s="2" t="str">
        <f>Таблица13[[#This Row],[Коды щитков]] &amp; "/M" &amp; TEXT( Таблица13[[#This Row],[Номер АВ]], "00")</f>
        <v>ШС-6-2/M05</v>
      </c>
      <c r="Q122" s="1" t="s">
        <v>63</v>
      </c>
      <c r="R122" s="1">
        <v>5</v>
      </c>
      <c r="S122" s="1">
        <v>4</v>
      </c>
      <c r="T122" s="1">
        <f>Таблица13[[#This Row],[Сечение фазного]]</f>
        <v>4</v>
      </c>
      <c r="U122" s="1">
        <v>20</v>
      </c>
      <c r="V122" s="2">
        <f>IF(Таблица13[[#This Row],[Число фаз]]=1,2*O122*(22.5/S122*L122+0.08*SIN(ACOS(L122)))*(U122/1000)*(100/220),SQRT(3)*O122*(22.5/S122*L122+0.08*SIN(ACOS(L122)))*(U122/1000)*(100/380))</f>
        <v>0.54965679335887929</v>
      </c>
      <c r="W1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ШС-6-2/M05-7,0-13,3-20</v>
      </c>
      <c r="X122" s="1" t="str">
        <f>TEXT(Таблица13[[#This Row],[Потери]],"0,0") &amp; "-" &amp;Таблица13[[#This Row],[Полная марка кабеля]]</f>
        <v>0,5-ВВГнг(A)-LS-5x4</v>
      </c>
      <c r="Y122" t="s">
        <v>427</v>
      </c>
      <c r="Z12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23" spans="1:26" x14ac:dyDescent="0.25">
      <c r="A123" s="1" t="s">
        <v>29</v>
      </c>
      <c r="B123" s="1">
        <v>122</v>
      </c>
      <c r="C123" s="4">
        <v>6</v>
      </c>
      <c r="D123" s="4" t="str">
        <f>"Acti9 iC60N C"&amp;Таблица13[[#This Row],[Номинал АВ]]&amp; " " &amp; Таблица13[[#This Row],[Число фаз]] &amp; "P"</f>
        <v>Acti9 iC60N C25 3P</v>
      </c>
      <c r="E123" s="1">
        <v>25</v>
      </c>
      <c r="F123" s="13" t="s">
        <v>398</v>
      </c>
      <c r="G123" s="1"/>
      <c r="H123" s="1" t="s">
        <v>408</v>
      </c>
      <c r="I123" s="1" t="s">
        <v>150</v>
      </c>
      <c r="J123" s="16">
        <v>7</v>
      </c>
      <c r="K123" s="1">
        <v>3</v>
      </c>
      <c r="L123" s="15">
        <v>0.8</v>
      </c>
      <c r="M123" s="1">
        <v>1</v>
      </c>
      <c r="N123" s="2">
        <f>Таблица13[[#This Row],[Pуст, кВт]]*Таблица13[[#This Row],[Kи]]</f>
        <v>7</v>
      </c>
      <c r="O123" s="2">
        <f>IF(Таблица13[[#This Row],[Число фаз]]=1,J123/220/L123*M123*1000,J123/3/220/L123*M123*1000)</f>
        <v>13.257575757575758</v>
      </c>
      <c r="P123" s="2" t="str">
        <f>Таблица13[[#This Row],[Коды щитков]] &amp; "/M" &amp; TEXT( Таблица13[[#This Row],[Номер АВ]], "00")</f>
        <v>ШС-6-2/M06</v>
      </c>
      <c r="Q123" s="1" t="s">
        <v>63</v>
      </c>
      <c r="R123" s="1">
        <v>5</v>
      </c>
      <c r="S123" s="1">
        <v>4</v>
      </c>
      <c r="T123" s="1">
        <f>Таблица13[[#This Row],[Сечение фазного]]</f>
        <v>4</v>
      </c>
      <c r="U123" s="1">
        <v>20</v>
      </c>
      <c r="V123" s="2">
        <f>IF(Таблица13[[#This Row],[Число фаз]]=1,2*O123*(22.5/S123*L123+0.08*SIN(ACOS(L123)))*(U123/1000)*(100/220),SQRT(3)*O123*(22.5/S123*L123+0.08*SIN(ACOS(L123)))*(U123/1000)*(100/380))</f>
        <v>0.54965679335887929</v>
      </c>
      <c r="W1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ШС-6-2/M06-7,0-13,3-20</v>
      </c>
      <c r="X123" s="1" t="str">
        <f>TEXT(Таблица13[[#This Row],[Потери]],"0,0") &amp; "-" &amp;Таблица13[[#This Row],[Полная марка кабеля]]</f>
        <v>0,5-ВВГнг(A)-LS-5x4</v>
      </c>
      <c r="Y123" t="s">
        <v>427</v>
      </c>
      <c r="Z12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24" spans="1:26" x14ac:dyDescent="0.25">
      <c r="A124" s="1" t="s">
        <v>29</v>
      </c>
      <c r="B124" s="1">
        <v>123</v>
      </c>
      <c r="C124" s="4">
        <v>7</v>
      </c>
      <c r="D124" s="4" t="str">
        <f>"Acti9 iC60N C"&amp;Таблица13[[#This Row],[Номинал АВ]]&amp; " " &amp; Таблица13[[#This Row],[Число фаз]] &amp; "P"</f>
        <v>Acti9 iC60N C25 3P</v>
      </c>
      <c r="E124" s="1">
        <v>25</v>
      </c>
      <c r="F124" s="13" t="s">
        <v>399</v>
      </c>
      <c r="G124" s="1"/>
      <c r="H124" s="1" t="s">
        <v>408</v>
      </c>
      <c r="I124" s="1" t="s">
        <v>150</v>
      </c>
      <c r="J124" s="16">
        <v>7</v>
      </c>
      <c r="K124" s="1">
        <v>3</v>
      </c>
      <c r="L124" s="15">
        <v>0.8</v>
      </c>
      <c r="M124" s="1">
        <v>1</v>
      </c>
      <c r="N124" s="2">
        <f>Таблица13[[#This Row],[Pуст, кВт]]*Таблица13[[#This Row],[Kи]]</f>
        <v>7</v>
      </c>
      <c r="O124" s="2">
        <f>IF(Таблица13[[#This Row],[Число фаз]]=1,J124/220/L124*M124*1000,J124/3/220/L124*M124*1000)</f>
        <v>13.257575757575758</v>
      </c>
      <c r="P124" s="2" t="str">
        <f>Таблица13[[#This Row],[Коды щитков]] &amp; "/M" &amp; TEXT( Таблица13[[#This Row],[Номер АВ]], "00")</f>
        <v>ШС-6-2/M07</v>
      </c>
      <c r="Q124" s="1" t="s">
        <v>63</v>
      </c>
      <c r="R124" s="1">
        <v>5</v>
      </c>
      <c r="S124" s="1">
        <v>4</v>
      </c>
      <c r="T124" s="1">
        <f>Таблица13[[#This Row],[Сечение фазного]]</f>
        <v>4</v>
      </c>
      <c r="U124" s="1">
        <v>25</v>
      </c>
      <c r="V124" s="2">
        <f>IF(Таблица13[[#This Row],[Число фаз]]=1,2*O124*(22.5/S124*L124+0.08*SIN(ACOS(L124)))*(U124/1000)*(100/220),SQRT(3)*O124*(22.5/S124*L124+0.08*SIN(ACOS(L124)))*(U124/1000)*(100/380))</f>
        <v>0.68707099169859909</v>
      </c>
      <c r="W1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ШС-6-2/M07-7,0-13,3-25</v>
      </c>
      <c r="X124" s="1" t="str">
        <f>TEXT(Таблица13[[#This Row],[Потери]],"0,0") &amp; "-" &amp;Таблица13[[#This Row],[Полная марка кабеля]]</f>
        <v>0,7-ВВГнг(A)-LS-5x4</v>
      </c>
      <c r="Y124" t="s">
        <v>427</v>
      </c>
      <c r="Z12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25" spans="1:26" x14ac:dyDescent="0.25">
      <c r="A125" s="1" t="s">
        <v>29</v>
      </c>
      <c r="B125" s="1">
        <v>124</v>
      </c>
      <c r="C125" s="4">
        <v>8</v>
      </c>
      <c r="D125" s="4" t="str">
        <f>"Acti9 iC60N C"&amp;Таблица13[[#This Row],[Номинал АВ]]&amp; " " &amp; Таблица13[[#This Row],[Число фаз]] &amp; "P"</f>
        <v>Acti9 iC60N C16 3P</v>
      </c>
      <c r="E125" s="1">
        <v>16</v>
      </c>
      <c r="F125" s="13" t="s">
        <v>400</v>
      </c>
      <c r="G125" s="1"/>
      <c r="H125" s="1" t="s">
        <v>408</v>
      </c>
      <c r="I125" s="1" t="s">
        <v>150</v>
      </c>
      <c r="J125" s="16">
        <v>4.5</v>
      </c>
      <c r="K125" s="1">
        <v>3</v>
      </c>
      <c r="L125" s="15">
        <v>0.8</v>
      </c>
      <c r="M125" s="1">
        <v>1</v>
      </c>
      <c r="N125" s="2">
        <f>Таблица13[[#This Row],[Pуст, кВт]]*Таблица13[[#This Row],[Kи]]</f>
        <v>4.5</v>
      </c>
      <c r="O125" s="2">
        <f>IF(Таблица13[[#This Row],[Число фаз]]=1,J125/220/L125*M125*1000,J125/3/220/L125*M125*1000)</f>
        <v>8.5227272727272716</v>
      </c>
      <c r="P125" s="2" t="str">
        <f>Таблица13[[#This Row],[Коды щитков]] &amp; "/M" &amp; TEXT( Таблица13[[#This Row],[Номер АВ]], "00")</f>
        <v>ШС-6-2/M08</v>
      </c>
      <c r="Q125" s="1" t="s">
        <v>63</v>
      </c>
      <c r="R125" s="1">
        <v>5</v>
      </c>
      <c r="S125" s="1">
        <v>2.5</v>
      </c>
      <c r="T125" s="1">
        <f>Таблица13[[#This Row],[Сечение фазного]]</f>
        <v>2.5</v>
      </c>
      <c r="U125" s="1">
        <v>25</v>
      </c>
      <c r="V125" s="2">
        <f>IF(Таблица13[[#This Row],[Число фаз]]=1,2*O125*(22.5/S125*L125+0.08*SIN(ACOS(L125)))*(U125/1000)*(100/220),SQRT(3)*O125*(22.5/S125*L125+0.08*SIN(ACOS(L125)))*(U125/1000)*(100/380))</f>
        <v>0.70390461946354788</v>
      </c>
      <c r="W12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ШС-6-2/M08-4,5-8,5-25</v>
      </c>
      <c r="X125" s="1" t="str">
        <f>TEXT(Таблица13[[#This Row],[Потери]],"0,0") &amp; "-" &amp;Таблица13[[#This Row],[Полная марка кабеля]]</f>
        <v>0,7-ВВГнг(A)-LS-5x2,5</v>
      </c>
      <c r="Y125" t="s">
        <v>427</v>
      </c>
      <c r="Z12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126" spans="1:26" x14ac:dyDescent="0.25">
      <c r="A126" s="1" t="s">
        <v>29</v>
      </c>
      <c r="B126" s="1">
        <v>125</v>
      </c>
      <c r="C126" s="4">
        <v>9</v>
      </c>
      <c r="D126" s="4" t="str">
        <f>"ВА57-35 "&amp; Таблица13[[#This Row],[Число фаз]] &amp; "P " &amp;Таблица13[[#This Row],[Номинал АВ]] &amp; " А"</f>
        <v>ВА57-35 3P 100 А</v>
      </c>
      <c r="E126" s="1">
        <v>100</v>
      </c>
      <c r="F126" s="9" t="s">
        <v>151</v>
      </c>
      <c r="G126" s="1" t="s">
        <v>511</v>
      </c>
      <c r="H126" s="1" t="s">
        <v>263</v>
      </c>
      <c r="I126" s="1" t="s">
        <v>126</v>
      </c>
      <c r="J126" s="2">
        <v>18</v>
      </c>
      <c r="K126" s="1">
        <v>3</v>
      </c>
      <c r="L126" s="15">
        <v>0.8</v>
      </c>
      <c r="M126" s="1">
        <v>1</v>
      </c>
      <c r="N126" s="2">
        <f>Таблица13[[#This Row],[Pуст, кВт]]*Таблица13[[#This Row],[Kи]]</f>
        <v>18</v>
      </c>
      <c r="O126" s="2">
        <f>IF(Таблица13[[#This Row],[Число фаз]]=1,J126/220/L126*M126*1000,J126/3/220/L126*M126*1000)</f>
        <v>34.090909090909086</v>
      </c>
      <c r="P126" s="2" t="str">
        <f>Таблица13[[#This Row],[Коды щитков]] &amp; "/M" &amp; TEXT( Таблица13[[#This Row],[Номер АВ]], "00")</f>
        <v>ШС-6-2/M09</v>
      </c>
      <c r="Q126" s="1" t="s">
        <v>63</v>
      </c>
      <c r="R126" s="1">
        <v>5</v>
      </c>
      <c r="S126" s="1">
        <v>35</v>
      </c>
      <c r="T126" s="1">
        <f>Таблица13[[#This Row],[Сечение фазного]]</f>
        <v>35</v>
      </c>
      <c r="U126" s="1">
        <v>30</v>
      </c>
      <c r="V126" s="2">
        <f>IF(Таблица13[[#This Row],[Число фаз]]=1,2*O126*(22.5/S126*L126+0.08*SIN(ACOS(L126)))*(U126/1000)*(100/220),SQRT(3)*O126*(22.5/S126*L126+0.08*SIN(ACOS(L126)))*(U126/1000)*(100/380))</f>
        <v>0.26211623294309594</v>
      </c>
      <c r="W12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ШС-6-2/M09-18,0-34,1-30</v>
      </c>
      <c r="X126" s="1" t="str">
        <f>TEXT(Таблица13[[#This Row],[Потери]],"0,0") &amp; "-" &amp;Таблица13[[#This Row],[Полная марка кабеля]]</f>
        <v>0,3-ВВГнг(A)-LS-5x35</v>
      </c>
      <c r="Y126" t="s">
        <v>427</v>
      </c>
      <c r="Z12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ВВГнг(A)-LS-5x35</v>
      </c>
    </row>
    <row r="127" spans="1:26" x14ac:dyDescent="0.25">
      <c r="A127" s="1" t="s">
        <v>29</v>
      </c>
      <c r="B127" s="1">
        <v>126</v>
      </c>
      <c r="C127" s="4">
        <v>10</v>
      </c>
      <c r="D127" s="4" t="str">
        <f>"ВА57-35 "&amp; Таблица13[[#This Row],[Число фаз]] &amp; "P " &amp;Таблица13[[#This Row],[Номинал АВ]] &amp; " А"</f>
        <v>ВА57-35 3P 100 А</v>
      </c>
      <c r="E127" s="1">
        <v>100</v>
      </c>
      <c r="F127" s="9" t="s">
        <v>369</v>
      </c>
      <c r="G127" s="1"/>
      <c r="H127" s="1" t="s">
        <v>152</v>
      </c>
      <c r="I127" s="1" t="s">
        <v>150</v>
      </c>
      <c r="J127" s="16">
        <v>30</v>
      </c>
      <c r="K127" s="1">
        <v>3</v>
      </c>
      <c r="L127" s="15">
        <v>0.8</v>
      </c>
      <c r="M127" s="1">
        <v>1</v>
      </c>
      <c r="N127" s="2">
        <f>Таблица13[[#This Row],[Pуст, кВт]]*Таблица13[[#This Row],[Kи]]</f>
        <v>30</v>
      </c>
      <c r="O127" s="2">
        <f>IF(Таблица13[[#This Row],[Число фаз]]=1,J127/220/L127*M127*1000,J127/3/220/L127*M127*1000)</f>
        <v>56.818181818181813</v>
      </c>
      <c r="P127" s="2" t="str">
        <f>Таблица13[[#This Row],[Коды щитков]] &amp; "/M" &amp; TEXT( Таблица13[[#This Row],[Номер АВ]], "00")</f>
        <v>ШС-6-2/M10</v>
      </c>
      <c r="Q127" s="1" t="s">
        <v>63</v>
      </c>
      <c r="R127" s="1">
        <v>5</v>
      </c>
      <c r="S127" s="1">
        <v>35</v>
      </c>
      <c r="T127" s="1">
        <f>Таблица13[[#This Row],[Сечение фазного]]</f>
        <v>35</v>
      </c>
      <c r="U127" s="1">
        <v>35</v>
      </c>
      <c r="V127" s="2">
        <f>IF(Таблица13[[#This Row],[Число фаз]]=1,2*O127*(22.5/S127*L127+0.08*SIN(ACOS(L127)))*(U127/1000)*(100/220),SQRT(3)*O127*(22.5/S127*L127+0.08*SIN(ACOS(L127)))*(U127/1000)*(100/380))</f>
        <v>0.50967045294490887</v>
      </c>
      <c r="W1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ШС-6-2/M10-30,0-56,8-35</v>
      </c>
      <c r="X127" s="1" t="str">
        <f>TEXT(Таблица13[[#This Row],[Потери]],"0,0") &amp; "-" &amp;Таблица13[[#This Row],[Полная марка кабеля]]</f>
        <v>0,5-ВВГнг(A)-LS-5x35</v>
      </c>
      <c r="Y127" t="s">
        <v>427</v>
      </c>
      <c r="Z12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ВВГнг(A)-LS-5x35</v>
      </c>
    </row>
    <row r="128" spans="1:26" x14ac:dyDescent="0.25">
      <c r="A128" s="1" t="s">
        <v>30</v>
      </c>
      <c r="B128" s="1">
        <v>127</v>
      </c>
      <c r="C128" s="4">
        <v>1</v>
      </c>
      <c r="D128" s="4" t="str">
        <f>"Acti9 iC60N C"&amp;Таблица13[[#This Row],[Номинал АВ]]&amp; " " &amp; Таблица13[[#This Row],[Число фаз]] &amp; "P"</f>
        <v>Acti9 iC60N C10 1P</v>
      </c>
      <c r="E128" s="1">
        <v>10</v>
      </c>
      <c r="F128" s="9"/>
      <c r="G128" s="1"/>
      <c r="H128" s="1" t="s">
        <v>73</v>
      </c>
      <c r="I128" s="1" t="s">
        <v>156</v>
      </c>
      <c r="J128" s="16">
        <v>0.76</v>
      </c>
      <c r="K128" s="1">
        <v>1</v>
      </c>
      <c r="L128" s="15">
        <v>0.96</v>
      </c>
      <c r="M128" s="1">
        <v>1</v>
      </c>
      <c r="N128" s="2">
        <f>Таблица13[[#This Row],[Pуст, кВт]]*Таблица13[[#This Row],[Kи]]</f>
        <v>0.76</v>
      </c>
      <c r="O128" s="2">
        <f>IF(Таблица13[[#This Row],[Число фаз]]=1,J128/220/L128*M128*1000,J128/3/220/L128*M128*1000)</f>
        <v>3.5984848484848486</v>
      </c>
      <c r="P128" s="2" t="str">
        <f>Таблица13[[#This Row],[Коды щитков]] &amp; "/M" &amp; TEXT( Таблица13[[#This Row],[Номер АВ]], "00")</f>
        <v>ШС-6-1/M01</v>
      </c>
      <c r="Q128" s="1" t="s">
        <v>63</v>
      </c>
      <c r="R128" s="1">
        <v>3</v>
      </c>
      <c r="S128" s="1">
        <v>1.5</v>
      </c>
      <c r="T128" s="1">
        <f>Таблица13[[#This Row],[Сечение фазного]]</f>
        <v>1.5</v>
      </c>
      <c r="U128" s="1">
        <v>120</v>
      </c>
      <c r="V128" s="2">
        <f>IF(Таблица13[[#This Row],[Число фаз]]=1,2*O128*(22.5/S128*L128+0.08*SIN(ACOS(L128)))*(U128/1000)*(100/220),SQRT(3)*O128*(22.5/S128*L128+0.08*SIN(ACOS(L128)))*(U128/1000)*(100/380))</f>
        <v>5.6616859504132222</v>
      </c>
      <c r="W12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ШС-6-1/M01-0,8-3,6-120</v>
      </c>
      <c r="X128" s="1" t="str">
        <f>TEXT(Таблица13[[#This Row],[Потери]],"0,0") &amp; "-" &amp;Таблица13[[#This Row],[Полная марка кабеля]]</f>
        <v>5,7-ВВГнг(A)-LS-3x1,5</v>
      </c>
      <c r="Y128" t="s">
        <v>428</v>
      </c>
      <c r="Z12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29" spans="1:26" x14ac:dyDescent="0.25">
      <c r="A129" s="1" t="s">
        <v>30</v>
      </c>
      <c r="B129" s="1">
        <v>128</v>
      </c>
      <c r="C129" s="4">
        <v>2</v>
      </c>
      <c r="D129" s="4" t="str">
        <f>"Acti9 DPN N Vigi C" &amp; Таблица13[[#This Row],[Номинал АВ]]&amp; " 1P+N 30 мА"</f>
        <v>Acti9 DPN N Vigi C10 1P+N 30 мА</v>
      </c>
      <c r="E129" s="1">
        <v>10</v>
      </c>
      <c r="F129" s="9"/>
      <c r="G129" s="1"/>
      <c r="H129" s="1" t="s">
        <v>72</v>
      </c>
      <c r="I129" s="1" t="s">
        <v>156</v>
      </c>
      <c r="J129" s="16">
        <v>2</v>
      </c>
      <c r="K129" s="1">
        <v>1</v>
      </c>
      <c r="L129" s="15">
        <v>0.9</v>
      </c>
      <c r="M129" s="1">
        <v>1</v>
      </c>
      <c r="N129" s="2">
        <f>Таблица13[[#This Row],[Pуст, кВт]]*Таблица13[[#This Row],[Kи]]</f>
        <v>2</v>
      </c>
      <c r="O129" s="2">
        <f>IF(Таблица13[[#This Row],[Число фаз]]=1,J129/220/L129*M129*1000,J129/3/220/L129*M129*1000)</f>
        <v>10.1010101010101</v>
      </c>
      <c r="P129" s="2" t="str">
        <f>Таблица13[[#This Row],[Коды щитков]] &amp; "/M" &amp; TEXT( Таблица13[[#This Row],[Номер АВ]], "00")</f>
        <v>ШС-6-1/M02</v>
      </c>
      <c r="Q129" s="1" t="s">
        <v>63</v>
      </c>
      <c r="R129" s="1">
        <v>3</v>
      </c>
      <c r="S129" s="1">
        <v>2.5</v>
      </c>
      <c r="T129" s="1">
        <f>Таблица13[[#This Row],[Сечение фазного]]</f>
        <v>2.5</v>
      </c>
      <c r="U129" s="1">
        <v>20</v>
      </c>
      <c r="V129" s="2">
        <f>IF(Таблица13[[#This Row],[Число фаз]]=1,2*O129*(22.5/S129*L129+0.08*SIN(ACOS(L129)))*(U129/1000)*(100/220),SQRT(3)*O129*(22.5/S129*L129+0.08*SIN(ACOS(L129)))*(U129/1000)*(100/380))</f>
        <v>1.494007565022649</v>
      </c>
      <c r="W12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ШС-6-1/M02-2,0-10,1-20</v>
      </c>
      <c r="X129" s="1" t="str">
        <f>TEXT(Таблица13[[#This Row],[Потери]],"0,0") &amp; "-" &amp;Таблица13[[#This Row],[Полная марка кабеля]]</f>
        <v>1,5-ВВГнг(A)-LS-3x2,5</v>
      </c>
      <c r="Y129" t="s">
        <v>428</v>
      </c>
      <c r="Z12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30" spans="1:26" x14ac:dyDescent="0.25">
      <c r="A130" s="1" t="s">
        <v>30</v>
      </c>
      <c r="B130" s="1">
        <v>129</v>
      </c>
      <c r="C130" s="4">
        <v>3</v>
      </c>
      <c r="D130" s="4" t="str">
        <f>"Acti9 DPN N Vigi C" &amp; Таблица13[[#This Row],[Номинал АВ]]&amp; " 1P+N 30 мА"</f>
        <v>Acti9 DPN N Vigi C16 1P+N 30 мА</v>
      </c>
      <c r="E130" s="1">
        <v>16</v>
      </c>
      <c r="F130" s="9"/>
      <c r="G130" s="1"/>
      <c r="H130" s="1" t="s">
        <v>72</v>
      </c>
      <c r="I130" s="1" t="s">
        <v>156</v>
      </c>
      <c r="J130" s="16">
        <v>2</v>
      </c>
      <c r="K130" s="1">
        <v>1</v>
      </c>
      <c r="L130" s="15">
        <v>0.9</v>
      </c>
      <c r="M130" s="1">
        <v>1</v>
      </c>
      <c r="N130" s="2">
        <f>Таблица13[[#This Row],[Pуст, кВт]]*Таблица13[[#This Row],[Kи]]</f>
        <v>2</v>
      </c>
      <c r="O130" s="2">
        <f>IF(Таблица13[[#This Row],[Число фаз]]=1,J130/220/L130*M130*1000,J130/3/220/L130*M130*1000)</f>
        <v>10.1010101010101</v>
      </c>
      <c r="P130" s="2" t="str">
        <f>Таблица13[[#This Row],[Коды щитков]] &amp; "/M" &amp; TEXT( Таблица13[[#This Row],[Номер АВ]], "00")</f>
        <v>ШС-6-1/M03</v>
      </c>
      <c r="Q130" s="1" t="s">
        <v>63</v>
      </c>
      <c r="R130" s="1">
        <v>3</v>
      </c>
      <c r="S130" s="1">
        <v>2.5</v>
      </c>
      <c r="T130" s="1">
        <f>Таблица13[[#This Row],[Сечение фазного]]</f>
        <v>2.5</v>
      </c>
      <c r="U130" s="1">
        <v>20</v>
      </c>
      <c r="V130" s="2">
        <f>IF(Таблица13[[#This Row],[Число фаз]]=1,2*O130*(22.5/S130*L130+0.08*SIN(ACOS(L130)))*(U130/1000)*(100/220),SQRT(3)*O130*(22.5/S130*L130+0.08*SIN(ACOS(L130)))*(U130/1000)*(100/380))</f>
        <v>1.494007565022649</v>
      </c>
      <c r="W13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ШС-6-1/M03-2,0-10,1-20</v>
      </c>
      <c r="X130" s="1" t="str">
        <f>TEXT(Таблица13[[#This Row],[Потери]],"0,0") &amp; "-" &amp;Таблица13[[#This Row],[Полная марка кабеля]]</f>
        <v>1,5-ВВГнг(A)-LS-3x2,5</v>
      </c>
      <c r="Y130" t="s">
        <v>428</v>
      </c>
      <c r="Z13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31" spans="1:26" x14ac:dyDescent="0.25">
      <c r="A131" s="1" t="s">
        <v>30</v>
      </c>
      <c r="B131" s="1">
        <v>130</v>
      </c>
      <c r="C131" s="4">
        <v>4</v>
      </c>
      <c r="D131" s="4" t="str">
        <f>"Acti9 DPN N Vigi C" &amp; Таблица13[[#This Row],[Номинал АВ]]&amp; " 1P+N 30 мА"</f>
        <v>Acti9 DPN N Vigi C16 1P+N 30 мА</v>
      </c>
      <c r="E131" s="1">
        <v>16</v>
      </c>
      <c r="F131" s="9"/>
      <c r="G131" s="1"/>
      <c r="H131" s="1" t="s">
        <v>72</v>
      </c>
      <c r="I131" s="1" t="s">
        <v>156</v>
      </c>
      <c r="J131" s="16">
        <v>2</v>
      </c>
      <c r="K131" s="1">
        <v>1</v>
      </c>
      <c r="L131" s="15">
        <v>0.9</v>
      </c>
      <c r="M131" s="1">
        <v>1</v>
      </c>
      <c r="N131" s="2">
        <f>Таблица13[[#This Row],[Pуст, кВт]]*Таблица13[[#This Row],[Kи]]</f>
        <v>2</v>
      </c>
      <c r="O131" s="2">
        <f>IF(Таблица13[[#This Row],[Число фаз]]=1,J131/220/L131*M131*1000,J131/3/220/L131*M131*1000)</f>
        <v>10.1010101010101</v>
      </c>
      <c r="P131" s="2" t="str">
        <f>Таблица13[[#This Row],[Коды щитков]] &amp; "/M" &amp; TEXT( Таблица13[[#This Row],[Номер АВ]], "00")</f>
        <v>ШС-6-1/M04</v>
      </c>
      <c r="Q131" s="1" t="s">
        <v>63</v>
      </c>
      <c r="R131" s="1">
        <v>3</v>
      </c>
      <c r="S131" s="1">
        <v>2.5</v>
      </c>
      <c r="T131" s="1">
        <f>Таблица13[[#This Row],[Сечение фазного]]</f>
        <v>2.5</v>
      </c>
      <c r="U131" s="1">
        <v>20</v>
      </c>
      <c r="V131" s="2">
        <f>IF(Таблица13[[#This Row],[Число фаз]]=1,2*O131*(22.5/S131*L131+0.08*SIN(ACOS(L131)))*(U131/1000)*(100/220),SQRT(3)*O131*(22.5/S131*L131+0.08*SIN(ACOS(L131)))*(U131/1000)*(100/380))</f>
        <v>1.494007565022649</v>
      </c>
      <c r="W1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ШС-6-1/M04-2,0-10,1-20</v>
      </c>
      <c r="X131" s="1" t="str">
        <f>TEXT(Таблица13[[#This Row],[Потери]],"0,0") &amp; "-" &amp;Таблица13[[#This Row],[Полная марка кабеля]]</f>
        <v>1,5-ВВГнг(A)-LS-3x2,5</v>
      </c>
      <c r="Y131" t="s">
        <v>428</v>
      </c>
      <c r="Z13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32" spans="1:26" x14ac:dyDescent="0.25">
      <c r="A132" s="1" t="s">
        <v>30</v>
      </c>
      <c r="B132" s="1">
        <v>131</v>
      </c>
      <c r="C132" s="4">
        <v>5</v>
      </c>
      <c r="D132" s="4" t="str">
        <f>"Acti9 DPN N Vigi C" &amp; Таблица13[[#This Row],[Номинал АВ]]&amp; " 1P+N 30 мА"</f>
        <v>Acti9 DPN N Vigi C25 1P+N 30 мА</v>
      </c>
      <c r="E132" s="1">
        <v>25</v>
      </c>
      <c r="F132" s="9"/>
      <c r="G132" s="1"/>
      <c r="H132" s="1" t="s">
        <v>153</v>
      </c>
      <c r="I132" s="1" t="s">
        <v>156</v>
      </c>
      <c r="J132" s="16">
        <v>2</v>
      </c>
      <c r="K132" s="1">
        <v>1</v>
      </c>
      <c r="L132" s="15">
        <v>0.9</v>
      </c>
      <c r="M132" s="1">
        <v>1</v>
      </c>
      <c r="N132" s="2">
        <f>Таблица13[[#This Row],[Pуст, кВт]]*Таблица13[[#This Row],[Kи]]</f>
        <v>2</v>
      </c>
      <c r="O132" s="2">
        <f>IF(Таблица13[[#This Row],[Число фаз]]=1,J132/220/L132*M132*1000,J132/3/220/L132*M132*1000)</f>
        <v>10.1010101010101</v>
      </c>
      <c r="P132" s="2" t="str">
        <f>Таблица13[[#This Row],[Коды щитков]] &amp; "/M" &amp; TEXT( Таблица13[[#This Row],[Номер АВ]], "00")</f>
        <v>ШС-6-1/M05</v>
      </c>
      <c r="Q132" s="1" t="s">
        <v>63</v>
      </c>
      <c r="R132" s="1">
        <v>3</v>
      </c>
      <c r="S132" s="1">
        <v>2.5</v>
      </c>
      <c r="T132" s="1">
        <f>Таблица13[[#This Row],[Сечение фазного]]</f>
        <v>2.5</v>
      </c>
      <c r="U132" s="1">
        <v>30</v>
      </c>
      <c r="V132" s="2">
        <f>IF(Таблица13[[#This Row],[Число фаз]]=1,2*O132*(22.5/S132*L132+0.08*SIN(ACOS(L132)))*(U132/1000)*(100/220),SQRT(3)*O132*(22.5/S132*L132+0.08*SIN(ACOS(L132)))*(U132/1000)*(100/380))</f>
        <v>2.2410113475339735</v>
      </c>
      <c r="W1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ШС-6-1/M05-2,0-10,1-30</v>
      </c>
      <c r="X132" s="1" t="str">
        <f>TEXT(Таблица13[[#This Row],[Потери]],"0,0") &amp; "-" &amp;Таблица13[[#This Row],[Полная марка кабеля]]</f>
        <v>2,2-ВВГнг(A)-LS-3x2,5</v>
      </c>
      <c r="Y132" t="s">
        <v>428</v>
      </c>
      <c r="Z13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33" spans="1:26" x14ac:dyDescent="0.25">
      <c r="A133" s="1" t="s">
        <v>30</v>
      </c>
      <c r="B133" s="1">
        <v>132</v>
      </c>
      <c r="C133" s="4">
        <v>6</v>
      </c>
      <c r="D133" s="4" t="str">
        <f>"Acti9 iC60N C"&amp;Таблица13[[#This Row],[Номинал АВ]]&amp; " " &amp; Таблица13[[#This Row],[Число фаз]] &amp; "P"</f>
        <v>Acti9 iC60N C25 3P</v>
      </c>
      <c r="E133" s="1">
        <v>25</v>
      </c>
      <c r="F133" s="9"/>
      <c r="G133" s="1"/>
      <c r="H133" s="1" t="s">
        <v>123</v>
      </c>
      <c r="I133" s="1" t="s">
        <v>156</v>
      </c>
      <c r="J133" s="16">
        <v>5</v>
      </c>
      <c r="K133" s="1">
        <v>3</v>
      </c>
      <c r="L133" s="15">
        <v>0.9</v>
      </c>
      <c r="M133" s="1">
        <v>1</v>
      </c>
      <c r="N133" s="2">
        <f>Таблица13[[#This Row],[Pуст, кВт]]*Таблица13[[#This Row],[Kи]]</f>
        <v>5</v>
      </c>
      <c r="O133" s="2">
        <f>IF(Таблица13[[#This Row],[Число фаз]]=1,J133/220/L133*M133*1000,J133/3/220/L133*M133*1000)</f>
        <v>8.4175084175084169</v>
      </c>
      <c r="P133" s="2" t="str">
        <f>Таблица13[[#This Row],[Коды щитков]] &amp; "/M" &amp; TEXT( Таблица13[[#This Row],[Номер АВ]], "00")</f>
        <v>ШС-6-1/M06</v>
      </c>
      <c r="Q133" s="1" t="s">
        <v>63</v>
      </c>
      <c r="R133" s="1">
        <v>5</v>
      </c>
      <c r="S133" s="1">
        <v>4</v>
      </c>
      <c r="T133" s="1">
        <f>Таблица13[[#This Row],[Сечение фазного]]</f>
        <v>4</v>
      </c>
      <c r="U133" s="1">
        <v>10</v>
      </c>
      <c r="V133" s="2">
        <f>IF(Таблица13[[#This Row],[Число фаз]]=1,2*O133*(22.5/S133*L133+0.08*SIN(ACOS(L133)))*(U133/1000)*(100/220),SQRT(3)*O133*(22.5/S133*L133+0.08*SIN(ACOS(L133)))*(U133/1000)*(100/380))</f>
        <v>0.19557207799042189</v>
      </c>
      <c r="W13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ШС-6-1/M06-5,0-8,4-10</v>
      </c>
      <c r="X133" s="1" t="str">
        <f>TEXT(Таблица13[[#This Row],[Потери]],"0,0") &amp; "-" &amp;Таблица13[[#This Row],[Полная марка кабеля]]</f>
        <v>0,2-ВВГнг(A)-LS-5x4</v>
      </c>
      <c r="Y133" t="s">
        <v>428</v>
      </c>
      <c r="Z13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34" spans="1:26" x14ac:dyDescent="0.25">
      <c r="A134" s="1" t="s">
        <v>30</v>
      </c>
      <c r="B134" s="1">
        <v>133</v>
      </c>
      <c r="C134" s="4">
        <v>7</v>
      </c>
      <c r="D134" s="4" t="str">
        <f>"Acti9 iC60N C"&amp;Таблица13[[#This Row],[Номинал АВ]]&amp; " " &amp; Таблица13[[#This Row],[Число фаз]] &amp; "P"</f>
        <v>Acti9 iC60N C50 3P</v>
      </c>
      <c r="E134" s="1">
        <v>50</v>
      </c>
      <c r="F134" s="9"/>
      <c r="G134" s="1"/>
      <c r="H134" s="1" t="s">
        <v>154</v>
      </c>
      <c r="I134" s="1" t="s">
        <v>156</v>
      </c>
      <c r="J134" s="16">
        <v>10</v>
      </c>
      <c r="K134" s="1">
        <v>3</v>
      </c>
      <c r="L134" s="15">
        <v>0.9</v>
      </c>
      <c r="M134" s="1">
        <v>1</v>
      </c>
      <c r="N134" s="2">
        <f>Таблица13[[#This Row],[Pуст, кВт]]*Таблица13[[#This Row],[Kи]]</f>
        <v>10</v>
      </c>
      <c r="O134" s="2">
        <f>IF(Таблица13[[#This Row],[Число фаз]]=1,J134/220/L134*M134*1000,J134/3/220/L134*M134*1000)</f>
        <v>16.835016835016834</v>
      </c>
      <c r="P134" s="2" t="str">
        <f>Таблица13[[#This Row],[Коды щитков]] &amp; "/M" &amp; TEXT( Таблица13[[#This Row],[Номер АВ]], "00")</f>
        <v>ШС-6-1/M07</v>
      </c>
      <c r="Q134" s="1" t="s">
        <v>63</v>
      </c>
      <c r="R134" s="1">
        <v>5</v>
      </c>
      <c r="S134" s="1">
        <v>10</v>
      </c>
      <c r="T134" s="1">
        <f>Таблица13[[#This Row],[Сечение фазного]]</f>
        <v>10</v>
      </c>
      <c r="U134" s="1">
        <v>30</v>
      </c>
      <c r="V134" s="2">
        <f>IF(Таблица13[[#This Row],[Число фаз]]=1,2*O134*(22.5/S134*L134+0.08*SIN(ACOS(L134)))*(U134/1000)*(100/220),SQRT(3)*O134*(22.5/S134*L134+0.08*SIN(ACOS(L134)))*(U134/1000)*(100/380))</f>
        <v>0.47418946847543081</v>
      </c>
      <c r="W1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ШС-6-1/M07-10,0-16,8-30</v>
      </c>
      <c r="X134" s="1" t="str">
        <f>TEXT(Таблица13[[#This Row],[Потери]],"0,0") &amp; "-" &amp;Таблица13[[#This Row],[Полная марка кабеля]]</f>
        <v>0,5-ВВГнг(A)-LS-5x10</v>
      </c>
      <c r="Y134" t="s">
        <v>428</v>
      </c>
      <c r="Z13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35" spans="1:26" x14ac:dyDescent="0.25">
      <c r="A135" s="1" t="s">
        <v>30</v>
      </c>
      <c r="B135" s="1">
        <v>134</v>
      </c>
      <c r="C135" s="4">
        <v>8</v>
      </c>
      <c r="D135" s="4" t="str">
        <f>"Acti9 iC60N C"&amp;Таблица13[[#This Row],[Номинал АВ]]&amp; " " &amp; Таблица13[[#This Row],[Число фаз]] &amp; "P"</f>
        <v>Acti9 iC60N C50 3P</v>
      </c>
      <c r="E135" s="1">
        <v>50</v>
      </c>
      <c r="F135" s="9"/>
      <c r="G135" s="1"/>
      <c r="H135" s="1" t="s">
        <v>155</v>
      </c>
      <c r="I135" s="1" t="s">
        <v>156</v>
      </c>
      <c r="J135" s="16">
        <v>20</v>
      </c>
      <c r="K135" s="1">
        <v>3</v>
      </c>
      <c r="L135" s="15">
        <v>1</v>
      </c>
      <c r="M135" s="1">
        <v>1</v>
      </c>
      <c r="N135" s="2">
        <f>Таблица13[[#This Row],[Pуст, кВт]]*Таблица13[[#This Row],[Kи]]</f>
        <v>20</v>
      </c>
      <c r="O135" s="2">
        <f>IF(Таблица13[[#This Row],[Число фаз]]=1,J135/220/L135*M135*1000,J135/3/220/L135*M135*1000)</f>
        <v>30.303030303030305</v>
      </c>
      <c r="P135" s="2" t="str">
        <f>Таблица13[[#This Row],[Коды щитков]] &amp; "/M" &amp; TEXT( Таблица13[[#This Row],[Номер АВ]], "00")</f>
        <v>ШС-6-1/M08</v>
      </c>
      <c r="Q135" s="1" t="s">
        <v>63</v>
      </c>
      <c r="R135" s="1">
        <v>5</v>
      </c>
      <c r="S135" s="1">
        <v>10</v>
      </c>
      <c r="T135" s="1">
        <f>Таблица13[[#This Row],[Сечение фазного]]</f>
        <v>10</v>
      </c>
      <c r="U135" s="1">
        <v>40</v>
      </c>
      <c r="V135" s="2">
        <f>IF(Таблица13[[#This Row],[Число фаз]]=1,2*O135*(22.5/S135*L135+0.08*SIN(ACOS(L135)))*(U135/1000)*(100/220),SQRT(3)*O135*(22.5/S135*L135+0.08*SIN(ACOS(L135)))*(U135/1000)*(100/380))</f>
        <v>1.24309866571929</v>
      </c>
      <c r="W1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ШС-6-1/M08-20,0-30,3-40</v>
      </c>
      <c r="X135" s="1" t="str">
        <f>TEXT(Таблица13[[#This Row],[Потери]],"0,0") &amp; "-" &amp;Таблица13[[#This Row],[Полная марка кабеля]]</f>
        <v>1,2-ВВГнг(A)-LS-5x10</v>
      </c>
      <c r="Y135" t="s">
        <v>428</v>
      </c>
      <c r="Z13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36" spans="1:26" x14ac:dyDescent="0.25">
      <c r="A136" s="1" t="s">
        <v>31</v>
      </c>
      <c r="B136" s="1">
        <v>135</v>
      </c>
      <c r="C136" s="4">
        <v>0</v>
      </c>
      <c r="D136" s="4" t="str">
        <f>"Acti9 iC60N C"&amp;Таблица13[[#This Row],[Номинал АВ]]&amp; " " &amp; Таблица13[[#This Row],[Число фаз]] &amp; "P"</f>
        <v>Acti9 iC60N C63 3P</v>
      </c>
      <c r="E136" s="1">
        <v>63</v>
      </c>
      <c r="F136" s="9"/>
      <c r="G136" s="1"/>
      <c r="H136" s="1"/>
      <c r="I136" s="1"/>
      <c r="K136" s="1">
        <v>3</v>
      </c>
      <c r="N136" s="2">
        <f>Таблица13[[#This Row],[Pуст, кВт]]*Таблица13[[#This Row],[Kи]]</f>
        <v>0</v>
      </c>
      <c r="O136" s="2" t="e">
        <f>IF(Таблица13[[#This Row],[Число фаз]]=1,J136/220/L136*M136*1000,J136/3/220/L136*M136*1000)</f>
        <v>#DIV/0!</v>
      </c>
      <c r="P136" s="2" t="str">
        <f>Таблица13[[#This Row],[Коды щитков]] &amp; "/M" &amp; TEXT( Таблица13[[#This Row],[Номер АВ]], "00")</f>
        <v>/M00</v>
      </c>
      <c r="Q136" s="1"/>
      <c r="R136" s="1"/>
      <c r="S136" s="1"/>
      <c r="T136" s="25">
        <f>Таблица13[[#This Row],[Сечение фазного]]</f>
        <v>0</v>
      </c>
      <c r="U136" s="1"/>
      <c r="V136" s="2" t="e">
        <f>IF(Таблица13[[#This Row],[Число фаз]]=1,2*O136*(22.5/S136*L136+0.08*SIN(ACOS(L136)))*(U136/1000)*(100/220),SQRT(3)*O136*(22.5/S136*L136+0.08*SIN(ACOS(L136)))*(U136/1000)*(100/380))</f>
        <v>#DIV/0!</v>
      </c>
      <c r="W13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36" s="25" t="e">
        <f>TEXT(Таблица13[[#This Row],[Потери]],"0,0") &amp; "-" &amp;Таблица13[[#This Row],[Полная марка кабеля]]</f>
        <v>#DIV/0!</v>
      </c>
      <c r="Y136" s="1"/>
      <c r="Z136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37" spans="1:26" x14ac:dyDescent="0.25">
      <c r="A137" s="1" t="s">
        <v>31</v>
      </c>
      <c r="B137" s="1">
        <v>136</v>
      </c>
      <c r="C137" s="4">
        <v>1</v>
      </c>
      <c r="D137" s="4" t="str">
        <f>"Acti9 iC60N C"&amp;Таблица13[[#This Row],[Номинал АВ]]&amp; " " &amp; Таблица13[[#This Row],[Число фаз]] &amp; "P"</f>
        <v>Acti9 iC60N C16 1P</v>
      </c>
      <c r="E137" s="1">
        <v>16</v>
      </c>
      <c r="F137" s="9"/>
      <c r="G137" s="1"/>
      <c r="H137" s="1" t="s">
        <v>73</v>
      </c>
      <c r="I137" s="1" t="s">
        <v>157</v>
      </c>
      <c r="J137" s="16">
        <f>6*0.033</f>
        <v>0.19800000000000001</v>
      </c>
      <c r="K137" s="1">
        <v>1</v>
      </c>
      <c r="L137" s="15">
        <v>0.96</v>
      </c>
      <c r="M137" s="1">
        <v>1</v>
      </c>
      <c r="N137" s="2">
        <f>Таблица13[[#This Row],[Pуст, кВт]]*Таблица13[[#This Row],[Kи]]</f>
        <v>0.19800000000000001</v>
      </c>
      <c r="O137" s="2">
        <f>IF(Таблица13[[#This Row],[Число фаз]]=1,J137/220/L137*M137*1000,J137/3/220/L137*M137*1000)</f>
        <v>0.93750000000000011</v>
      </c>
      <c r="P137" s="2" t="str">
        <f>Таблица13[[#This Row],[Коды щитков]] &amp; "/M" &amp; TEXT( Таблица13[[#This Row],[Номер АВ]], "00")</f>
        <v>ШС-6-3/M01</v>
      </c>
      <c r="Q137" s="1" t="s">
        <v>63</v>
      </c>
      <c r="R137" s="1">
        <v>3</v>
      </c>
      <c r="S137" s="1">
        <v>1.5</v>
      </c>
      <c r="T137" s="1">
        <f>Таблица13[[#This Row],[Сечение фазного]]</f>
        <v>1.5</v>
      </c>
      <c r="U137" s="1">
        <v>25</v>
      </c>
      <c r="V137" s="2">
        <f>IF(Таблица13[[#This Row],[Число фаз]]=1,2*O137*(22.5/S137*L137+0.08*SIN(ACOS(L137)))*(U137/1000)*(100/220),SQRT(3)*O137*(22.5/S137*L137+0.08*SIN(ACOS(L137)))*(U137/1000)*(100/380))</f>
        <v>0.30729545454545454</v>
      </c>
      <c r="W1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ШС-6-3/M01-0,2-0,9-25</v>
      </c>
      <c r="X137" s="1" t="str">
        <f>TEXT(Таблица13[[#This Row],[Потери]],"0,0") &amp; "-" &amp;Таблица13[[#This Row],[Полная марка кабеля]]</f>
        <v>0,3-ВВГнг(A)-LS-3x1,5</v>
      </c>
      <c r="Y137" t="s">
        <v>429</v>
      </c>
      <c r="Z13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38" spans="1:26" x14ac:dyDescent="0.25">
      <c r="A138" s="1" t="s">
        <v>31</v>
      </c>
      <c r="B138" s="1">
        <v>137</v>
      </c>
      <c r="C138" s="4">
        <v>2</v>
      </c>
      <c r="D138" s="4" t="str">
        <f>"Acti9 iC60N C"&amp;Таблица13[[#This Row],[Номинал АВ]]&amp; " " &amp; Таблица13[[#This Row],[Число фаз]] &amp; "P"</f>
        <v>Acti9 iC60N C16 1P</v>
      </c>
      <c r="E138" s="1">
        <v>16</v>
      </c>
      <c r="F138" s="9"/>
      <c r="G138" s="1"/>
      <c r="H138" s="1" t="s">
        <v>73</v>
      </c>
      <c r="I138" s="1" t="s">
        <v>157</v>
      </c>
      <c r="J138" s="16">
        <f>6*0.033</f>
        <v>0.19800000000000001</v>
      </c>
      <c r="K138" s="1">
        <v>1</v>
      </c>
      <c r="L138" s="15">
        <v>0.96</v>
      </c>
      <c r="M138" s="1">
        <v>1</v>
      </c>
      <c r="N138" s="2">
        <f>Таблица13[[#This Row],[Pуст, кВт]]*Таблица13[[#This Row],[Kи]]</f>
        <v>0.19800000000000001</v>
      </c>
      <c r="O138" s="2">
        <f>IF(Таблица13[[#This Row],[Число фаз]]=1,J138/220/L138*M138*1000,J138/3/220/L138*M138*1000)</f>
        <v>0.93750000000000011</v>
      </c>
      <c r="P138" s="2" t="str">
        <f>Таблица13[[#This Row],[Коды щитков]] &amp; "/M" &amp; TEXT( Таблица13[[#This Row],[Номер АВ]], "00")</f>
        <v>ШС-6-3/M02</v>
      </c>
      <c r="Q138" s="1" t="s">
        <v>63</v>
      </c>
      <c r="R138" s="1">
        <v>3</v>
      </c>
      <c r="S138" s="1">
        <v>1.5</v>
      </c>
      <c r="T138" s="1">
        <f>Таблица13[[#This Row],[Сечение фазного]]</f>
        <v>1.5</v>
      </c>
      <c r="U138" s="1">
        <v>30</v>
      </c>
      <c r="V138" s="2">
        <f>IF(Таблица13[[#This Row],[Число фаз]]=1,2*O138*(22.5/S138*L138+0.08*SIN(ACOS(L138)))*(U138/1000)*(100/220),SQRT(3)*O138*(22.5/S138*L138+0.08*SIN(ACOS(L138)))*(U138/1000)*(100/380))</f>
        <v>0.36875454545454539</v>
      </c>
      <c r="W1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ШС-6-3/M02-0,2-0,9-30</v>
      </c>
      <c r="X138" s="1" t="str">
        <f>TEXT(Таблица13[[#This Row],[Потери]],"0,0") &amp; "-" &amp;Таблица13[[#This Row],[Полная марка кабеля]]</f>
        <v>0,4-ВВГнг(A)-LS-3x1,5</v>
      </c>
      <c r="Y138" t="s">
        <v>429</v>
      </c>
      <c r="Z13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39" spans="1:26" x14ac:dyDescent="0.25">
      <c r="A139" s="1" t="s">
        <v>31</v>
      </c>
      <c r="B139" s="1">
        <v>138</v>
      </c>
      <c r="C139" s="4">
        <v>3</v>
      </c>
      <c r="D139" s="4" t="str">
        <f>"Acti9 iC60N C"&amp;Таблица13[[#This Row],[Номинал АВ]]&amp; " " &amp; Таблица13[[#This Row],[Число фаз]] &amp; "P"</f>
        <v>Acti9 iC60N C16 1P</v>
      </c>
      <c r="E139" s="1">
        <v>16</v>
      </c>
      <c r="F139" s="9"/>
      <c r="G139" s="1"/>
      <c r="H139" s="1" t="s">
        <v>73</v>
      </c>
      <c r="I139" s="1" t="s">
        <v>157</v>
      </c>
      <c r="J139" s="16">
        <f>13*0.033</f>
        <v>0.42900000000000005</v>
      </c>
      <c r="K139" s="1">
        <v>1</v>
      </c>
      <c r="L139" s="15">
        <v>0.96</v>
      </c>
      <c r="M139" s="1">
        <v>1</v>
      </c>
      <c r="N139" s="2">
        <f>Таблица13[[#This Row],[Pуст, кВт]]*Таблица13[[#This Row],[Kи]]</f>
        <v>0.42900000000000005</v>
      </c>
      <c r="O139" s="2">
        <f>IF(Таблица13[[#This Row],[Число фаз]]=1,J139/220/L139*M139*1000,J139/3/220/L139*M139*1000)</f>
        <v>2.03125</v>
      </c>
      <c r="P139" s="2" t="str">
        <f>Таблица13[[#This Row],[Коды щитков]] &amp; "/M" &amp; TEXT( Таблица13[[#This Row],[Номер АВ]], "00")</f>
        <v>ШС-6-3/M03</v>
      </c>
      <c r="Q139" s="1" t="s">
        <v>63</v>
      </c>
      <c r="R139" s="1">
        <v>3</v>
      </c>
      <c r="S139" s="1">
        <v>1.5</v>
      </c>
      <c r="T139" s="1">
        <f>Таблица13[[#This Row],[Сечение фазного]]</f>
        <v>1.5</v>
      </c>
      <c r="U139" s="1">
        <v>50</v>
      </c>
      <c r="V139" s="2">
        <f>IF(Таблица13[[#This Row],[Число фаз]]=1,2*O139*(22.5/S139*L139+0.08*SIN(ACOS(L139)))*(U139/1000)*(100/220),SQRT(3)*O139*(22.5/S139*L139+0.08*SIN(ACOS(L139)))*(U139/1000)*(100/380))</f>
        <v>1.3316136363636362</v>
      </c>
      <c r="W1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ШС-6-3/M03-0,4-2,0-50</v>
      </c>
      <c r="X139" s="1" t="str">
        <f>TEXT(Таблица13[[#This Row],[Потери]],"0,0") &amp; "-" &amp;Таблица13[[#This Row],[Полная марка кабеля]]</f>
        <v>1,3-ВВГнг(A)-LS-3x1,5</v>
      </c>
      <c r="Y139" t="s">
        <v>429</v>
      </c>
      <c r="Z13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40" spans="1:26" x14ac:dyDescent="0.25">
      <c r="A140" s="1" t="s">
        <v>31</v>
      </c>
      <c r="B140" s="1">
        <v>139</v>
      </c>
      <c r="C140" s="4">
        <v>4</v>
      </c>
      <c r="D140" s="4" t="str">
        <f>"Acti9 DPN N Vigi C" &amp; Таблица13[[#This Row],[Номинал АВ]]&amp; " 1P+N 30 мА"</f>
        <v>Acti9 DPN N Vigi C25 1P+N 30 мА</v>
      </c>
      <c r="E140" s="1">
        <v>25</v>
      </c>
      <c r="F140" s="9"/>
      <c r="G140" s="1"/>
      <c r="H140" s="1" t="s">
        <v>72</v>
      </c>
      <c r="I140" s="1" t="s">
        <v>157</v>
      </c>
      <c r="J140" s="16">
        <v>2</v>
      </c>
      <c r="K140" s="1">
        <v>1</v>
      </c>
      <c r="L140" s="15">
        <v>0.9</v>
      </c>
      <c r="M140" s="1">
        <v>1</v>
      </c>
      <c r="N140" s="2">
        <f>Таблица13[[#This Row],[Pуст, кВт]]*Таблица13[[#This Row],[Kи]]</f>
        <v>2</v>
      </c>
      <c r="O140" s="2">
        <f>IF(Таблица13[[#This Row],[Число фаз]]=1,J140/220/L140*M140*1000,J140/3/220/L140*M140*1000)</f>
        <v>10.1010101010101</v>
      </c>
      <c r="P140" s="2" t="str">
        <f>Таблица13[[#This Row],[Коды щитков]] &amp; "/M" &amp; TEXT( Таблица13[[#This Row],[Номер АВ]], "00")</f>
        <v>ШС-6-3/M04</v>
      </c>
      <c r="Q140" s="1" t="s">
        <v>63</v>
      </c>
      <c r="R140" s="1">
        <v>3</v>
      </c>
      <c r="S140" s="1">
        <v>2.5</v>
      </c>
      <c r="T140" s="1">
        <f>Таблица13[[#This Row],[Сечение фазного]]</f>
        <v>2.5</v>
      </c>
      <c r="U140" s="1">
        <v>25</v>
      </c>
      <c r="V140" s="2">
        <f>IF(Таблица13[[#This Row],[Число фаз]]=1,2*O140*(22.5/S140*L140+0.08*SIN(ACOS(L140)))*(U140/1000)*(100/220),SQRT(3)*O140*(22.5/S140*L140+0.08*SIN(ACOS(L140)))*(U140/1000)*(100/380))</f>
        <v>1.8675094562783117</v>
      </c>
      <c r="W1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ШС-6-3/M04-2,0-10,1-25</v>
      </c>
      <c r="X140" s="1" t="str">
        <f>TEXT(Таблица13[[#This Row],[Потери]],"0,0") &amp; "-" &amp;Таблица13[[#This Row],[Полная марка кабеля]]</f>
        <v>1,9-ВВГнг(A)-LS-3x2,5</v>
      </c>
      <c r="Y140" t="s">
        <v>429</v>
      </c>
      <c r="Z14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41" spans="1:26" x14ac:dyDescent="0.25">
      <c r="A141" s="1" t="s">
        <v>31</v>
      </c>
      <c r="B141" s="1">
        <v>140</v>
      </c>
      <c r="C141" s="4">
        <v>5</v>
      </c>
      <c r="D141" s="4" t="str">
        <f>"Acti9 DPN N Vigi C" &amp; Таблица13[[#This Row],[Номинал АВ]]&amp; " 1P+N 30 мА"</f>
        <v>Acti9 DPN N Vigi C25 1P+N 30 мА</v>
      </c>
      <c r="E141" s="1">
        <v>25</v>
      </c>
      <c r="F141" s="9"/>
      <c r="G141" s="1"/>
      <c r="H141" s="1" t="s">
        <v>72</v>
      </c>
      <c r="I141" s="1" t="s">
        <v>157</v>
      </c>
      <c r="J141" s="16">
        <v>2</v>
      </c>
      <c r="K141" s="1">
        <v>1</v>
      </c>
      <c r="L141" s="15">
        <v>0.9</v>
      </c>
      <c r="M141" s="1">
        <v>1</v>
      </c>
      <c r="N141" s="2">
        <f>Таблица13[[#This Row],[Pуст, кВт]]*Таблица13[[#This Row],[Kи]]</f>
        <v>2</v>
      </c>
      <c r="O141" s="2">
        <f>IF(Таблица13[[#This Row],[Число фаз]]=1,J141/220/L141*M141*1000,J141/3/220/L141*M141*1000)</f>
        <v>10.1010101010101</v>
      </c>
      <c r="P141" s="2" t="str">
        <f>Таблица13[[#This Row],[Коды щитков]] &amp; "/M" &amp; TEXT( Таблица13[[#This Row],[Номер АВ]], "00")</f>
        <v>ШС-6-3/M05</v>
      </c>
      <c r="Q141" s="1" t="s">
        <v>63</v>
      </c>
      <c r="R141" s="1">
        <v>3</v>
      </c>
      <c r="S141" s="1">
        <v>2.5</v>
      </c>
      <c r="T141" s="1">
        <f>Таблица13[[#This Row],[Сечение фазного]]</f>
        <v>2.5</v>
      </c>
      <c r="U141" s="1">
        <v>30</v>
      </c>
      <c r="V141" s="2">
        <f>IF(Таблица13[[#This Row],[Число фаз]]=1,2*O141*(22.5/S141*L141+0.08*SIN(ACOS(L141)))*(U141/1000)*(100/220),SQRT(3)*O141*(22.5/S141*L141+0.08*SIN(ACOS(L141)))*(U141/1000)*(100/380))</f>
        <v>2.2410113475339735</v>
      </c>
      <c r="W14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ШС-6-3/M05-2,0-10,1-30</v>
      </c>
      <c r="X141" s="1" t="str">
        <f>TEXT(Таблица13[[#This Row],[Потери]],"0,0") &amp; "-" &amp;Таблица13[[#This Row],[Полная марка кабеля]]</f>
        <v>2,2-ВВГнг(A)-LS-3x2,5</v>
      </c>
      <c r="Y141" t="s">
        <v>429</v>
      </c>
      <c r="Z14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42" spans="1:26" x14ac:dyDescent="0.25">
      <c r="A142" s="1" t="s">
        <v>31</v>
      </c>
      <c r="B142" s="1">
        <v>141</v>
      </c>
      <c r="C142" s="4">
        <v>6</v>
      </c>
      <c r="D142" s="4" t="str">
        <f>"Acti9 DPN N Vigi C" &amp; Таблица13[[#This Row],[Номинал АВ]]&amp; " 1P+N 30 мА"</f>
        <v>Acti9 DPN N Vigi C25 1P+N 30 мА</v>
      </c>
      <c r="E142" s="1">
        <v>25</v>
      </c>
      <c r="F142" s="9"/>
      <c r="G142" s="1"/>
      <c r="H142" s="1" t="s">
        <v>72</v>
      </c>
      <c r="I142" s="1" t="s">
        <v>157</v>
      </c>
      <c r="J142" s="16">
        <v>2</v>
      </c>
      <c r="K142" s="1">
        <v>1</v>
      </c>
      <c r="L142" s="15">
        <v>0.9</v>
      </c>
      <c r="M142" s="1">
        <v>1</v>
      </c>
      <c r="N142" s="2">
        <f>Таблица13[[#This Row],[Pуст, кВт]]*Таблица13[[#This Row],[Kи]]</f>
        <v>2</v>
      </c>
      <c r="O142" s="2">
        <f>IF(Таблица13[[#This Row],[Число фаз]]=1,J142/220/L142*M142*1000,J142/3/220/L142*M142*1000)</f>
        <v>10.1010101010101</v>
      </c>
      <c r="P142" s="2" t="str">
        <f>Таблица13[[#This Row],[Коды щитков]] &amp; "/M" &amp; TEXT( Таблица13[[#This Row],[Номер АВ]], "00")</f>
        <v>ШС-6-3/M06</v>
      </c>
      <c r="Q142" s="1" t="s">
        <v>63</v>
      </c>
      <c r="R142" s="1">
        <v>3</v>
      </c>
      <c r="S142" s="1">
        <v>2.5</v>
      </c>
      <c r="T142" s="1">
        <f>Таблица13[[#This Row],[Сечение фазного]]</f>
        <v>2.5</v>
      </c>
      <c r="U142" s="1">
        <v>50</v>
      </c>
      <c r="V142" s="2">
        <f>IF(Таблица13[[#This Row],[Число фаз]]=1,2*O142*(22.5/S142*L142+0.08*SIN(ACOS(L142)))*(U142/1000)*(100/220),SQRT(3)*O142*(22.5/S142*L142+0.08*SIN(ACOS(L142)))*(U142/1000)*(100/380))</f>
        <v>3.7350189125566233</v>
      </c>
      <c r="W14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ШС-6-3/M06-2,0-10,1-50</v>
      </c>
      <c r="X142" s="1" t="str">
        <f>TEXT(Таблица13[[#This Row],[Потери]],"0,0") &amp; "-" &amp;Таблица13[[#This Row],[Полная марка кабеля]]</f>
        <v>3,7-ВВГнг(A)-LS-3x2,5</v>
      </c>
      <c r="Y142" t="s">
        <v>429</v>
      </c>
      <c r="Z14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43" spans="1:26" x14ac:dyDescent="0.25">
      <c r="A143" s="1" t="s">
        <v>32</v>
      </c>
      <c r="B143" s="1">
        <v>142</v>
      </c>
      <c r="C143" s="4">
        <v>0</v>
      </c>
      <c r="D143" s="4" t="str">
        <f>"ВА57-35 "&amp; Таблица13[[#This Row],[Число фаз]] &amp; "P " &amp;Таблица13[[#This Row],[Номинал АВ]] &amp; " А"</f>
        <v>ВА57-35 3P 250 А</v>
      </c>
      <c r="E143" s="1">
        <v>250</v>
      </c>
      <c r="F143" s="9"/>
      <c r="G143" s="1"/>
      <c r="H143" s="1"/>
      <c r="I143" s="1"/>
      <c r="K143" s="1">
        <v>3</v>
      </c>
      <c r="N143" s="2">
        <f>Таблица13[[#This Row],[Pуст, кВт]]*Таблица13[[#This Row],[Kи]]</f>
        <v>0</v>
      </c>
      <c r="O143" s="2" t="e">
        <f>IF(Таблица13[[#This Row],[Число фаз]]=1,J143/220/L143*M143*1000,J143/3/220/L143*M143*1000)</f>
        <v>#DIV/0!</v>
      </c>
      <c r="P143" s="2" t="str">
        <f>Таблица13[[#This Row],[Коды щитков]] &amp; "/M" &amp; TEXT( Таблица13[[#This Row],[Номер АВ]], "00")</f>
        <v>/M00</v>
      </c>
      <c r="Q143" s="1"/>
      <c r="R143" s="1"/>
      <c r="S143" s="1"/>
      <c r="T143" s="25">
        <f>Таблица13[[#This Row],[Сечение фазного]]</f>
        <v>0</v>
      </c>
      <c r="U143" s="1"/>
      <c r="V143" s="2" t="e">
        <f>IF(Таблица13[[#This Row],[Число фаз]]=1,2*O143*(22.5/S143*L143+0.08*SIN(ACOS(L143)))*(U143/1000)*(100/220),SQRT(3)*O143*(22.5/S143*L143+0.08*SIN(ACOS(L143)))*(U143/1000)*(100/380))</f>
        <v>#DIV/0!</v>
      </c>
      <c r="W14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43" s="25" t="e">
        <f>TEXT(Таблица13[[#This Row],[Потери]],"0,0") &amp; "-" &amp;Таблица13[[#This Row],[Полная марка кабеля]]</f>
        <v>#DIV/0!</v>
      </c>
      <c r="Y143" s="1"/>
      <c r="Z143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44" spans="1:26" x14ac:dyDescent="0.25">
      <c r="A144" s="1" t="s">
        <v>32</v>
      </c>
      <c r="B144" s="1">
        <v>143</v>
      </c>
      <c r="C144" s="4">
        <v>1</v>
      </c>
      <c r="D144" s="4" t="str">
        <f>"ВА57-35 "&amp; Таблица13[[#This Row],[Число фаз]] &amp; "P " &amp;Таблица13[[#This Row],[Номинал АВ]] &amp; " А"</f>
        <v>ВА57-35 3P 250 А</v>
      </c>
      <c r="E144" s="1">
        <v>250</v>
      </c>
      <c r="F144" s="9" t="s">
        <v>31</v>
      </c>
      <c r="G144" s="1" t="s">
        <v>514</v>
      </c>
      <c r="H144" s="1" t="s">
        <v>263</v>
      </c>
      <c r="I144" s="1" t="s">
        <v>157</v>
      </c>
      <c r="J144" s="2">
        <v>6.8250000000000002</v>
      </c>
      <c r="K144" s="1">
        <v>3</v>
      </c>
      <c r="L144" s="15">
        <v>0.90685121107266431</v>
      </c>
      <c r="M144" s="1">
        <v>0.8</v>
      </c>
      <c r="N144" s="2">
        <f>Таблица13[[#This Row],[Pуст, кВт]]*Таблица13[[#This Row],[Kи]]</f>
        <v>5.4600000000000009</v>
      </c>
      <c r="O144" s="2">
        <f>IF(Таблица13[[#This Row],[Число фаз]]=1,J144/220/L144*M144*1000,J144/3/220/L144*M144*1000)</f>
        <v>9.1224747474747474</v>
      </c>
      <c r="P144" s="2" t="str">
        <f>Таблица13[[#This Row],[Коды щитков]] &amp; "/M" &amp; TEXT( Таблица13[[#This Row],[Номер АВ]], "00")</f>
        <v>ШС-6/M01</v>
      </c>
      <c r="Q144" s="1" t="s">
        <v>9</v>
      </c>
      <c r="R144" s="1">
        <v>5</v>
      </c>
      <c r="S144" s="1">
        <v>16</v>
      </c>
      <c r="T144" s="1">
        <f>Таблица13[[#This Row],[Сечение фазного]]</f>
        <v>16</v>
      </c>
      <c r="U144" s="1">
        <v>20</v>
      </c>
      <c r="V144" s="2">
        <f>IF(Таблица13[[#This Row],[Число фаз]]=1,2*O144*(22.5/S144*L144+0.08*SIN(ACOS(L144)))*(U144/1000)*(100/220),SQRT(3)*O144*(22.5/S144*L144+0.08*SIN(ACOS(L144)))*(U144/1000)*(100/380))</f>
        <v>0.10885571729580014</v>
      </c>
      <c r="W14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ШС-6/M01-6,8-9,1-20</v>
      </c>
      <c r="X144" s="1" t="str">
        <f>TEXT(Таблица13[[#This Row],[Потери]],"0,0") &amp; "-" &amp;Таблица13[[#This Row],[Полная марка кабеля]]</f>
        <v>0,1-ПВС-5x16</v>
      </c>
      <c r="Y144" t="s">
        <v>430</v>
      </c>
      <c r="Z14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ПВС-5x16</v>
      </c>
    </row>
    <row r="145" spans="1:26" x14ac:dyDescent="0.25">
      <c r="A145" s="1" t="s">
        <v>32</v>
      </c>
      <c r="B145" s="1">
        <v>144</v>
      </c>
      <c r="C145" s="4">
        <v>2</v>
      </c>
      <c r="D145" s="4" t="str">
        <f>"ВА57-35 "&amp; Таблица13[[#This Row],[Число фаз]] &amp; "P " &amp;Таблица13[[#This Row],[Номинал АВ]] &amp; " А"</f>
        <v>ВА57-35 3P 250 А</v>
      </c>
      <c r="E145" s="1">
        <v>250</v>
      </c>
      <c r="F145" s="9" t="s">
        <v>29</v>
      </c>
      <c r="G145" s="1" t="s">
        <v>511</v>
      </c>
      <c r="H145" s="1" t="s">
        <v>263</v>
      </c>
      <c r="I145" s="1" t="s">
        <v>150</v>
      </c>
      <c r="J145" s="2">
        <v>78.996000000000009</v>
      </c>
      <c r="K145" s="1">
        <v>3</v>
      </c>
      <c r="L145" s="15">
        <v>0.8070882052446362</v>
      </c>
      <c r="M145" s="1">
        <v>0.8</v>
      </c>
      <c r="N145" s="2">
        <f>Таблица13[[#This Row],[Pуст, кВт]]*Таблица13[[#This Row],[Kи]]</f>
        <v>63.19680000000001</v>
      </c>
      <c r="O145" s="2">
        <f>IF(Таблица13[[#This Row],[Число фаз]]=1,J145/220/L145*M145*1000,J145/3/220/L145*M145*1000)</f>
        <v>118.63973063973066</v>
      </c>
      <c r="P145" s="2" t="str">
        <f>Таблица13[[#This Row],[Коды щитков]] &amp; "/M" &amp; TEXT( Таблица13[[#This Row],[Номер АВ]], "00")</f>
        <v>ШС-6/M02</v>
      </c>
      <c r="Q145" s="1" t="s">
        <v>7</v>
      </c>
      <c r="R145" s="1">
        <v>4</v>
      </c>
      <c r="S145" s="1">
        <v>50</v>
      </c>
      <c r="T145" s="1">
        <v>16</v>
      </c>
      <c r="U145" s="1">
        <v>40</v>
      </c>
      <c r="V145" s="2">
        <f>IF(Таблица13[[#This Row],[Число фаз]]=1,2*O145*(22.5/S145*L145+0.08*SIN(ACOS(L145)))*(U145/1000)*(100/220),SQRT(3)*O145*(22.5/S145*L145+0.08*SIN(ACOS(L145)))*(U145/1000)*(100/380))</f>
        <v>0.88776924431173099</v>
      </c>
      <c r="W14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ШС-6/M02-79,0-118,6-40</v>
      </c>
      <c r="X145" s="1" t="str">
        <f>TEXT(Таблица13[[#This Row],[Потери]],"0,0") &amp; "-" &amp;Таблица13[[#This Row],[Полная марка кабеля]]</f>
        <v>0,9-КГ-3x50+1x16</v>
      </c>
      <c r="Y145" t="s">
        <v>430</v>
      </c>
      <c r="Z14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КГ-3x50+1x16</v>
      </c>
    </row>
    <row r="146" spans="1:26" x14ac:dyDescent="0.25">
      <c r="A146" s="1" t="s">
        <v>32</v>
      </c>
      <c r="B146" s="1">
        <v>145</v>
      </c>
      <c r="C146" s="4">
        <v>4</v>
      </c>
      <c r="D146" s="4" t="str">
        <f>"Acti9 DPN N Vigi C" &amp; Таблица13[[#This Row],[Номинал АВ]]&amp; " 1P+N 30 мА"</f>
        <v>Acti9 DPN N Vigi C16 1P+N 30 мА</v>
      </c>
      <c r="E146" s="1">
        <v>16</v>
      </c>
      <c r="F146" s="9"/>
      <c r="G146" s="1"/>
      <c r="H146" s="1" t="s">
        <v>72</v>
      </c>
      <c r="I146" s="1"/>
      <c r="J146" s="16">
        <v>2</v>
      </c>
      <c r="K146" s="1">
        <v>1</v>
      </c>
      <c r="L146" s="15">
        <v>0.9</v>
      </c>
      <c r="M146" s="1">
        <v>1</v>
      </c>
      <c r="N146" s="2">
        <f>Таблица13[[#This Row],[Pуст, кВт]]*Таблица13[[#This Row],[Kи]]</f>
        <v>2</v>
      </c>
      <c r="O146" s="2">
        <f>IF(Таблица13[[#This Row],[Число фаз]]=1,J146/220/L146*M146*1000,J146/3/220/L146*M146*1000)</f>
        <v>10.1010101010101</v>
      </c>
      <c r="P146" s="2" t="str">
        <f>Таблица13[[#This Row],[Коды щитков]] &amp; "/M" &amp; TEXT( Таблица13[[#This Row],[Номер АВ]], "00")</f>
        <v>ШС-6/M04</v>
      </c>
      <c r="Q146" s="1" t="s">
        <v>63</v>
      </c>
      <c r="R146" s="1">
        <v>3</v>
      </c>
      <c r="S146" s="1">
        <v>2.5</v>
      </c>
      <c r="T146" s="1">
        <f>Таблица13[[#This Row],[Сечение фазного]]</f>
        <v>2.5</v>
      </c>
      <c r="U146" s="1">
        <v>10</v>
      </c>
      <c r="V146" s="2">
        <f>IF(Таблица13[[#This Row],[Число фаз]]=1,2*O146*(22.5/S146*L146+0.08*SIN(ACOS(L146)))*(U146/1000)*(100/220),SQRT(3)*O146*(22.5/S146*L146+0.08*SIN(ACOS(L146)))*(U146/1000)*(100/380))</f>
        <v>0.74700378251132449</v>
      </c>
      <c r="W14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ШС-6/M04-2,0-10,1-10</v>
      </c>
      <c r="X146" s="1" t="str">
        <f>TEXT(Таблица13[[#This Row],[Потери]],"0,0") &amp; "-" &amp;Таблица13[[#This Row],[Полная марка кабеля]]</f>
        <v>0,7-ВВГнг(A)-LS-3x2,5</v>
      </c>
      <c r="Y146" t="s">
        <v>430</v>
      </c>
      <c r="Z14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47" spans="1:26" x14ac:dyDescent="0.25">
      <c r="A147" s="1" t="s">
        <v>32</v>
      </c>
      <c r="B147" s="1">
        <v>146</v>
      </c>
      <c r="C147" s="4">
        <v>5</v>
      </c>
      <c r="D147" s="4" t="str">
        <f>"Acti9 iC60N C"&amp;Таблица13[[#This Row],[Номинал АВ]]&amp; " " &amp; Таблица13[[#This Row],[Число фаз]] &amp; "P"</f>
        <v>Acti9 iC60N C10 1P</v>
      </c>
      <c r="E147" s="1">
        <v>10</v>
      </c>
      <c r="F147" s="9"/>
      <c r="G147" s="1"/>
      <c r="H147" s="1" t="s">
        <v>158</v>
      </c>
      <c r="I147" s="1"/>
      <c r="J147" s="16">
        <v>1.5</v>
      </c>
      <c r="K147" s="1">
        <v>1</v>
      </c>
      <c r="L147" s="15">
        <v>1</v>
      </c>
      <c r="M147" s="1">
        <v>1</v>
      </c>
      <c r="N147" s="2">
        <f>Таблица13[[#This Row],[Pуст, кВт]]*Таблица13[[#This Row],[Kи]]</f>
        <v>1.5</v>
      </c>
      <c r="O147" s="2">
        <f>IF(Таблица13[[#This Row],[Число фаз]]=1,J147/220/L147*M147*1000,J147/3/220/L147*M147*1000)</f>
        <v>6.8181818181818175</v>
      </c>
      <c r="P147" s="2" t="str">
        <f>Таблица13[[#This Row],[Коды щитков]] &amp; "/M" &amp; TEXT( Таблица13[[#This Row],[Номер АВ]], "00")</f>
        <v>ШС-6/M05</v>
      </c>
      <c r="Q147" s="1" t="s">
        <v>63</v>
      </c>
      <c r="R147" s="1">
        <v>3</v>
      </c>
      <c r="S147" s="1">
        <v>2.5</v>
      </c>
      <c r="T147" s="1">
        <f>Таблица13[[#This Row],[Сечение фазного]]</f>
        <v>2.5</v>
      </c>
      <c r="U147" s="1">
        <v>10</v>
      </c>
      <c r="V147" s="2">
        <f>IF(Таблица13[[#This Row],[Число фаз]]=1,2*O147*(22.5/S147*L147+0.08*SIN(ACOS(L147)))*(U147/1000)*(100/220),SQRT(3)*O147*(22.5/S147*L147+0.08*SIN(ACOS(L147)))*(U147/1000)*(100/380))</f>
        <v>0.55785123966942152</v>
      </c>
      <c r="W14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ШС-6/M05-1,5-6,8-10</v>
      </c>
      <c r="X147" s="1" t="str">
        <f>TEXT(Таблица13[[#This Row],[Потери]],"0,0") &amp; "-" &amp;Таблица13[[#This Row],[Полная марка кабеля]]</f>
        <v>0,6-ВВГнг(A)-LS-3x2,5</v>
      </c>
      <c r="Y147" t="s">
        <v>430</v>
      </c>
      <c r="Z14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48" spans="1:26" x14ac:dyDescent="0.25">
      <c r="A148" s="1" t="s">
        <v>32</v>
      </c>
      <c r="B148" s="1">
        <v>147</v>
      </c>
      <c r="C148" s="4">
        <v>6</v>
      </c>
      <c r="D148" s="4" t="str">
        <f>"Acti9 iC60N C"&amp;Таблица13[[#This Row],[Номинал АВ]]&amp; " " &amp; Таблица13[[#This Row],[Число фаз]] &amp; "P"</f>
        <v>Acti9 iC60N C25 3P</v>
      </c>
      <c r="E148" s="1">
        <v>25</v>
      </c>
      <c r="F148" s="9"/>
      <c r="G148" s="1"/>
      <c r="H148" s="1" t="s">
        <v>159</v>
      </c>
      <c r="I148" s="1"/>
      <c r="J148" s="16">
        <v>6</v>
      </c>
      <c r="K148" s="1">
        <v>3</v>
      </c>
      <c r="L148" s="15">
        <v>0.9</v>
      </c>
      <c r="M148" s="1">
        <v>1</v>
      </c>
      <c r="N148" s="2">
        <f>Таблица13[[#This Row],[Pуст, кВт]]*Таблица13[[#This Row],[Kи]]</f>
        <v>6</v>
      </c>
      <c r="O148" s="2">
        <f>IF(Таблица13[[#This Row],[Число фаз]]=1,J148/220/L148*M148*1000,J148/3/220/L148*M148*1000)</f>
        <v>10.1010101010101</v>
      </c>
      <c r="P148" s="2" t="str">
        <f>Таблица13[[#This Row],[Коды щитков]] &amp; "/M" &amp; TEXT( Таблица13[[#This Row],[Номер АВ]], "00")</f>
        <v>ШС-6/M06</v>
      </c>
      <c r="Q148" s="1" t="s">
        <v>63</v>
      </c>
      <c r="R148" s="1">
        <v>5</v>
      </c>
      <c r="S148" s="1">
        <v>2.5</v>
      </c>
      <c r="T148" s="1">
        <f>Таблица13[[#This Row],[Сечение фазного]]</f>
        <v>2.5</v>
      </c>
      <c r="U148" s="1">
        <v>15</v>
      </c>
      <c r="V148" s="2">
        <f>IF(Таблица13[[#This Row],[Число фаз]]=1,2*O148*(22.5/S148*L148+0.08*SIN(ACOS(L148)))*(U148/1000)*(100/220),SQRT(3)*O148*(22.5/S148*L148+0.08*SIN(ACOS(L148)))*(U148/1000)*(100/380))</f>
        <v>0.56180264022288939</v>
      </c>
      <c r="W14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ШС-6/M06-6,0-10,1-15</v>
      </c>
      <c r="X148" s="1" t="str">
        <f>TEXT(Таблица13[[#This Row],[Потери]],"0,0") &amp; "-" &amp;Таблица13[[#This Row],[Полная марка кабеля]]</f>
        <v>0,6-ВВГнг(A)-LS-5x2,5</v>
      </c>
      <c r="Y148" t="s">
        <v>430</v>
      </c>
      <c r="Z14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149" spans="1:26" x14ac:dyDescent="0.25">
      <c r="A149" s="1" t="s">
        <v>32</v>
      </c>
      <c r="B149" s="1">
        <v>148</v>
      </c>
      <c r="C149" s="4">
        <v>7</v>
      </c>
      <c r="D149" s="4" t="str">
        <f>"Acti9 iC60N C"&amp;Таблица13[[#This Row],[Номинал АВ]]&amp; " " &amp; Таблица13[[#This Row],[Число фаз]] &amp; "P"</f>
        <v>Acti9 iC60N C16 1P</v>
      </c>
      <c r="E149" s="1">
        <v>16</v>
      </c>
      <c r="F149" s="9"/>
      <c r="G149" s="1"/>
      <c r="H149" s="1" t="s">
        <v>71</v>
      </c>
      <c r="I149" s="1"/>
      <c r="J149" s="16">
        <v>2</v>
      </c>
      <c r="K149" s="1">
        <v>1</v>
      </c>
      <c r="L149" s="15">
        <v>0.9</v>
      </c>
      <c r="M149" s="1">
        <v>1</v>
      </c>
      <c r="N149" s="2">
        <f>Таблица13[[#This Row],[Pуст, кВт]]*Таблица13[[#This Row],[Kи]]</f>
        <v>2</v>
      </c>
      <c r="O149" s="2">
        <f>IF(Таблица13[[#This Row],[Число фаз]]=1,J149/220/L149*M149*1000,J149/3/220/L149*M149*1000)</f>
        <v>10.1010101010101</v>
      </c>
      <c r="P149" s="2" t="str">
        <f>Таблица13[[#This Row],[Коды щитков]] &amp; "/M" &amp; TEXT( Таблица13[[#This Row],[Номер АВ]], "00")</f>
        <v>ШС-6/M07</v>
      </c>
      <c r="Q149" s="1" t="s">
        <v>63</v>
      </c>
      <c r="R149" s="1">
        <v>3</v>
      </c>
      <c r="S149" s="1">
        <v>2.5</v>
      </c>
      <c r="T149" s="1">
        <f>Таблица13[[#This Row],[Сечение фазного]]</f>
        <v>2.5</v>
      </c>
      <c r="U149" s="1">
        <v>20</v>
      </c>
      <c r="V149" s="2">
        <f>IF(Таблица13[[#This Row],[Число фаз]]=1,2*O149*(22.5/S149*L149+0.08*SIN(ACOS(L149)))*(U149/1000)*(100/220),SQRT(3)*O149*(22.5/S149*L149+0.08*SIN(ACOS(L149)))*(U149/1000)*(100/380))</f>
        <v>1.494007565022649</v>
      </c>
      <c r="W14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ШС-6/M07-2,0-10,1-20</v>
      </c>
      <c r="X149" s="1" t="str">
        <f>TEXT(Таблица13[[#This Row],[Потери]],"0,0") &amp; "-" &amp;Таблица13[[#This Row],[Полная марка кабеля]]</f>
        <v>1,5-ВВГнг(A)-LS-3x2,5</v>
      </c>
      <c r="Y149" t="s">
        <v>430</v>
      </c>
      <c r="Z14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50" spans="1:26" x14ac:dyDescent="0.25">
      <c r="A150" s="1" t="s">
        <v>32</v>
      </c>
      <c r="B150" s="1">
        <v>149</v>
      </c>
      <c r="C150" s="4">
        <v>8</v>
      </c>
      <c r="D150" s="4" t="str">
        <f>"Acti9 iC60N C"&amp;Таблица13[[#This Row],[Номинал АВ]]&amp; " " &amp; Таблица13[[#This Row],[Число фаз]] &amp; "P"</f>
        <v>Acti9 iC60N C50 3P</v>
      </c>
      <c r="E150" s="1">
        <v>50</v>
      </c>
      <c r="F150" s="9"/>
      <c r="G150" s="1"/>
      <c r="H150" s="1" t="s">
        <v>237</v>
      </c>
      <c r="I150" s="1"/>
      <c r="J150" s="16">
        <v>15</v>
      </c>
      <c r="K150" s="1">
        <v>3</v>
      </c>
      <c r="L150" s="15">
        <v>0.9</v>
      </c>
      <c r="M150" s="1">
        <v>1</v>
      </c>
      <c r="N150" s="2">
        <f>Таблица13[[#This Row],[Pуст, кВт]]*Таблица13[[#This Row],[Kи]]</f>
        <v>15</v>
      </c>
      <c r="O150" s="2">
        <f>IF(Таблица13[[#This Row],[Число фаз]]=1,J150/220/L150*M150*1000,J150/3/220/L150*M150*1000)</f>
        <v>25.252525252525253</v>
      </c>
      <c r="P150" s="2" t="str">
        <f>Таблица13[[#This Row],[Коды щитков]] &amp; "/M" &amp; TEXT( Таблица13[[#This Row],[Номер АВ]], "00")</f>
        <v>ШС-6/M08</v>
      </c>
      <c r="Q150" s="1" t="s">
        <v>63</v>
      </c>
      <c r="R150" s="1">
        <v>5</v>
      </c>
      <c r="S150" s="1">
        <v>10</v>
      </c>
      <c r="T150" s="1">
        <f>Таблица13[[#This Row],[Сечение фазного]]</f>
        <v>10</v>
      </c>
      <c r="U150" s="1">
        <v>15</v>
      </c>
      <c r="V150" s="2">
        <f>IF(Таблица13[[#This Row],[Число фаз]]=1,2*O150*(22.5/S150*L150+0.08*SIN(ACOS(L150)))*(U150/1000)*(100/220),SQRT(3)*O150*(22.5/S150*L150+0.08*SIN(ACOS(L150)))*(U150/1000)*(100/380))</f>
        <v>0.35564210135657315</v>
      </c>
      <c r="W15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ШС-6/M08-15,0-25,3-15</v>
      </c>
      <c r="X150" s="1" t="str">
        <f>TEXT(Таблица13[[#This Row],[Потери]],"0,0") &amp; "-" &amp;Таблица13[[#This Row],[Полная марка кабеля]]</f>
        <v>0,4-ВВГнг(A)-LS-5x10</v>
      </c>
      <c r="Y150" t="s">
        <v>430</v>
      </c>
      <c r="Z15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51" spans="1:26" x14ac:dyDescent="0.25">
      <c r="A151" s="1" t="s">
        <v>32</v>
      </c>
      <c r="B151" s="1">
        <v>150</v>
      </c>
      <c r="C151" s="4">
        <v>9</v>
      </c>
      <c r="D151" s="4" t="str">
        <f>"Acti9 iC60N C"&amp;Таблица13[[#This Row],[Номинал АВ]]&amp; " " &amp; Таблица13[[#This Row],[Число фаз]] &amp; "P"</f>
        <v>Acti9 iC60N C16 1P</v>
      </c>
      <c r="E151" s="1">
        <v>16</v>
      </c>
      <c r="F151" s="9"/>
      <c r="G151" s="1"/>
      <c r="H151" s="1" t="s">
        <v>160</v>
      </c>
      <c r="I151" s="1"/>
      <c r="J151" s="16">
        <v>2</v>
      </c>
      <c r="K151" s="1">
        <v>1</v>
      </c>
      <c r="L151" s="15">
        <v>0.9</v>
      </c>
      <c r="M151" s="1">
        <v>1</v>
      </c>
      <c r="N151" s="2">
        <f>Таблица13[[#This Row],[Pуст, кВт]]*Таблица13[[#This Row],[Kи]]</f>
        <v>2</v>
      </c>
      <c r="O151" s="2">
        <f>IF(Таблица13[[#This Row],[Число фаз]]=1,J151/220/L151*M151*1000,J151/3/220/L151*M151*1000)</f>
        <v>10.1010101010101</v>
      </c>
      <c r="P151" s="2" t="str">
        <f>Таблица13[[#This Row],[Коды щитков]] &amp; "/M" &amp; TEXT( Таблица13[[#This Row],[Номер АВ]], "00")</f>
        <v>ШС-6/M09</v>
      </c>
      <c r="Q151" s="1" t="s">
        <v>63</v>
      </c>
      <c r="R151" s="1">
        <v>3</v>
      </c>
      <c r="S151" s="1">
        <v>2.5</v>
      </c>
      <c r="T151" s="1">
        <f>Таблица13[[#This Row],[Сечение фазного]]</f>
        <v>2.5</v>
      </c>
      <c r="U151" s="1">
        <v>10</v>
      </c>
      <c r="V151" s="2">
        <f>IF(Таблица13[[#This Row],[Число фаз]]=1,2*O151*(22.5/S151*L151+0.08*SIN(ACOS(L151)))*(U151/1000)*(100/220),SQRT(3)*O151*(22.5/S151*L151+0.08*SIN(ACOS(L151)))*(U151/1000)*(100/380))</f>
        <v>0.74700378251132449</v>
      </c>
      <c r="W15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ШС-6/M09-2,0-10,1-10</v>
      </c>
      <c r="X151" s="1" t="str">
        <f>TEXT(Таблица13[[#This Row],[Потери]],"0,0") &amp; "-" &amp;Таблица13[[#This Row],[Полная марка кабеля]]</f>
        <v>0,7-ВВГнг(A)-LS-3x2,5</v>
      </c>
      <c r="Y151" t="s">
        <v>430</v>
      </c>
      <c r="Z15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52" spans="1:26" x14ac:dyDescent="0.25">
      <c r="A152" s="1" t="s">
        <v>32</v>
      </c>
      <c r="B152" s="1">
        <v>151</v>
      </c>
      <c r="C152" s="4">
        <v>3</v>
      </c>
      <c r="D152" s="4" t="str">
        <f>"ВА57-35 "&amp; Таблица13[[#This Row],[Число фаз]] &amp; "P " &amp;Таблица13[[#This Row],[Номинал АВ]] &amp; " А"</f>
        <v>ВА57-35 3P 100 А</v>
      </c>
      <c r="E152" s="1">
        <v>100</v>
      </c>
      <c r="F152" s="9" t="s">
        <v>30</v>
      </c>
      <c r="G152" s="1" t="s">
        <v>511</v>
      </c>
      <c r="H152" s="1" t="s">
        <v>263</v>
      </c>
      <c r="I152" s="1" t="s">
        <v>482</v>
      </c>
      <c r="J152" s="2">
        <v>43.76</v>
      </c>
      <c r="K152" s="1">
        <v>3</v>
      </c>
      <c r="L152" s="15">
        <v>0.94417740485465984</v>
      </c>
      <c r="M152" s="1">
        <v>0.8</v>
      </c>
      <c r="N152" s="2">
        <f>Таблица13[[#This Row],[Pуст, кВт]]*Таблица13[[#This Row],[Kи]]</f>
        <v>35.008000000000003</v>
      </c>
      <c r="O152" s="2">
        <f>IF(Таблица13[[#This Row],[Число фаз]]=1,J152/220/L152*M152*1000,J152/3/220/L152*M152*1000)</f>
        <v>56.178451178451176</v>
      </c>
      <c r="P152" s="2" t="str">
        <f>Таблица13[[#This Row],[Коды щитков]] &amp; "/M" &amp; TEXT( Таблица13[[#This Row],[Номер АВ]], "00")</f>
        <v>ШС-6/M03</v>
      </c>
      <c r="Q152" s="1" t="s">
        <v>7</v>
      </c>
      <c r="R152" s="1">
        <v>4</v>
      </c>
      <c r="S152" s="1">
        <v>35</v>
      </c>
      <c r="T152" s="1">
        <v>10</v>
      </c>
      <c r="U152" s="1">
        <v>30</v>
      </c>
      <c r="V152" s="2">
        <f>IF(Таблица13[[#This Row],[Число фаз]]=1,2*O152*(22.5/S152*L152+0.08*SIN(ACOS(L152)))*(U152/1000)*(100/220),SQRT(3)*O152*(22.5/S152*L152+0.08*SIN(ACOS(L152)))*(U152/1000)*(100/380))</f>
        <v>0.48651416676641207</v>
      </c>
      <c r="W15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ШС-6/M03-43,8-56,2-30</v>
      </c>
      <c r="X152" s="1" t="str">
        <f>TEXT(Таблица13[[#This Row],[Потери]],"0,0") &amp; "-" &amp;Таблица13[[#This Row],[Полная марка кабеля]]</f>
        <v>0,5-КГ-3x35+1x10</v>
      </c>
      <c r="Y152" t="s">
        <v>430</v>
      </c>
      <c r="Z15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КГ-3x35+1x10</v>
      </c>
    </row>
    <row r="153" spans="1:26" x14ac:dyDescent="0.25">
      <c r="A153" s="1" t="s">
        <v>33</v>
      </c>
      <c r="B153" s="1">
        <v>152</v>
      </c>
      <c r="C153" s="4">
        <v>0</v>
      </c>
      <c r="D153" s="4" t="str">
        <f>"ВА57-39 "&amp; Таблица13[[#This Row],[Число фаз]] &amp; "P " &amp;Таблица13[[#This Row],[Номинал АВ]] &amp; " А"</f>
        <v>ВА57-39 3P 500 А</v>
      </c>
      <c r="E153" s="1">
        <v>500</v>
      </c>
      <c r="F153" s="9"/>
      <c r="G153" s="1"/>
      <c r="H153" s="1"/>
      <c r="I153" s="1"/>
      <c r="K153" s="1">
        <v>3</v>
      </c>
      <c r="N153" s="2">
        <f>Таблица13[[#This Row],[Pуст, кВт]]*Таблица13[[#This Row],[Kи]]</f>
        <v>0</v>
      </c>
      <c r="O153" s="2" t="e">
        <f>IF(Таблица13[[#This Row],[Число фаз]]=1,J153/220/L153*M153*1000,J153/3/220/L153*M153*1000)</f>
        <v>#DIV/0!</v>
      </c>
      <c r="P153" s="2" t="str">
        <f>Таблица13[[#This Row],[Коды щитков]] &amp; "/M" &amp; TEXT( Таблица13[[#This Row],[Номер АВ]], "00")</f>
        <v>/M00</v>
      </c>
      <c r="Q153" s="1"/>
      <c r="R153" s="1"/>
      <c r="S153" s="1"/>
      <c r="T153" s="25">
        <f>Таблица13[[#This Row],[Сечение фазного]]</f>
        <v>0</v>
      </c>
      <c r="U153" s="1"/>
      <c r="V153" s="2" t="e">
        <f>IF(Таблица13[[#This Row],[Число фаз]]=1,2*O153*(22.5/S153*L153+0.08*SIN(ACOS(L153)))*(U153/1000)*(100/220),SQRT(3)*O153*(22.5/S153*L153+0.08*SIN(ACOS(L153)))*(U153/1000)*(100/380))</f>
        <v>#DIV/0!</v>
      </c>
      <c r="W15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53" s="25" t="e">
        <f>TEXT(Таблица13[[#This Row],[Потери]],"0,0") &amp; "-" &amp;Таблица13[[#This Row],[Полная марка кабеля]]</f>
        <v>#DIV/0!</v>
      </c>
      <c r="Y153" s="1"/>
      <c r="Z153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54" spans="1:26" x14ac:dyDescent="0.25">
      <c r="A154" s="1" t="s">
        <v>33</v>
      </c>
      <c r="B154" s="1">
        <v>153</v>
      </c>
      <c r="C154" s="4">
        <v>1</v>
      </c>
      <c r="D154" s="4" t="str">
        <f>"ВА57-35 "&amp; Таблица13[[#This Row],[Число фаз]] &amp; "P " &amp;Таблица13[[#This Row],[Номинал АВ]] &amp; " А"</f>
        <v>ВА57-35 3P 250 А</v>
      </c>
      <c r="E154" s="1">
        <v>250</v>
      </c>
      <c r="F154" s="13" t="s">
        <v>349</v>
      </c>
      <c r="G154" s="1" t="s">
        <v>161</v>
      </c>
      <c r="H154" s="1" t="s">
        <v>74</v>
      </c>
      <c r="I154" s="1" t="s">
        <v>141</v>
      </c>
      <c r="J154" s="16">
        <v>207</v>
      </c>
      <c r="K154" s="1">
        <v>3</v>
      </c>
      <c r="L154" s="15">
        <v>0.8</v>
      </c>
      <c r="M154" s="1">
        <v>0.6</v>
      </c>
      <c r="N154" s="2">
        <f>Таблица13[[#This Row],[Pуст, кВт]]*Таблица13[[#This Row],[Kи]]</f>
        <v>124.19999999999999</v>
      </c>
      <c r="O154" s="2">
        <f>IF(Таблица13[[#This Row],[Число фаз]]=1,J154/220/L154*M154*1000,J154/3/220/L154*M154*1000)</f>
        <v>235.22727272727269</v>
      </c>
      <c r="P154" s="2" t="str">
        <f>Таблица13[[#This Row],[Коды щитков]] &amp; "/M" &amp; TEXT( Таблица13[[#This Row],[Номер АВ]], "00")</f>
        <v>ВРУ-В2/M01</v>
      </c>
      <c r="Q154" s="1" t="s">
        <v>7</v>
      </c>
      <c r="R154" s="1">
        <v>4</v>
      </c>
      <c r="S154" s="1">
        <v>95</v>
      </c>
      <c r="T154" s="1">
        <v>35</v>
      </c>
      <c r="U154" s="1">
        <v>50</v>
      </c>
      <c r="V154" s="2">
        <f>IF(Таблица13[[#This Row],[Число фаз]]=1,2*O154*(22.5/S154*L154+0.08*SIN(ACOS(L154)))*(U154/1000)*(100/220),SQRT(3)*O154*(22.5/S154*L154+0.08*SIN(ACOS(L154)))*(U154/1000)*(100/380))</f>
        <v>1.2730638861876808</v>
      </c>
      <c r="W15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ВРУ-В2/M01-207,0-235,2-50</v>
      </c>
      <c r="X154" s="1" t="str">
        <f>TEXT(Таблица13[[#This Row],[Потери]],"0,0") &amp; "-" &amp;Таблица13[[#This Row],[Полная марка кабеля]]</f>
        <v>1,3-КГ-3x95+1x35</v>
      </c>
      <c r="Y154" t="s">
        <v>491</v>
      </c>
      <c r="Z15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55" spans="1:26" x14ac:dyDescent="0.25">
      <c r="A155" s="1" t="s">
        <v>33</v>
      </c>
      <c r="B155" s="1">
        <v>154</v>
      </c>
      <c r="C155" s="4">
        <v>2</v>
      </c>
      <c r="D155" s="4" t="str">
        <f>"ВА57-35 "&amp; Таблица13[[#This Row],[Число фаз]] &amp; "P " &amp;Таблица13[[#This Row],[Номинал АВ]] &amp; " А"</f>
        <v>ВА57-35 3P 250 А</v>
      </c>
      <c r="E155" s="1">
        <v>250</v>
      </c>
      <c r="F155" s="13" t="s">
        <v>333</v>
      </c>
      <c r="G155" s="1" t="s">
        <v>114</v>
      </c>
      <c r="H155" s="1" t="s">
        <v>407</v>
      </c>
      <c r="I155" s="1" t="s">
        <v>112</v>
      </c>
      <c r="J155" s="16">
        <v>116</v>
      </c>
      <c r="K155" s="1">
        <v>3</v>
      </c>
      <c r="L155" s="15">
        <v>1</v>
      </c>
      <c r="M155" s="1">
        <v>1</v>
      </c>
      <c r="N155" s="2">
        <f>Таблица13[[#This Row],[Pуст, кВт]]*Таблица13[[#This Row],[Kи]]</f>
        <v>116</v>
      </c>
      <c r="O155" s="2">
        <f>IF(Таблица13[[#This Row],[Число фаз]]=1,J155/220/L155*M155*1000,J155/3/220/L155*M155*1000)</f>
        <v>175.75757575757575</v>
      </c>
      <c r="P155" s="2" t="str">
        <f>Таблица13[[#This Row],[Коды щитков]] &amp; "/M" &amp; TEXT( Таблица13[[#This Row],[Номер АВ]], "00")</f>
        <v>ВРУ-В2/M02</v>
      </c>
      <c r="Q155" s="1" t="s">
        <v>7</v>
      </c>
      <c r="R155" s="1">
        <v>4</v>
      </c>
      <c r="S155" s="1">
        <v>95</v>
      </c>
      <c r="T155" s="1">
        <v>35</v>
      </c>
      <c r="U155" s="1">
        <v>80</v>
      </c>
      <c r="V155" s="2">
        <f>IF(Таблица13[[#This Row],[Число фаз]]=1,2*O155*(22.5/S155*L155+0.08*SIN(ACOS(L155)))*(U155/1000)*(100/220),SQRT(3)*O155*(22.5/S155*L155+0.08*SIN(ACOS(L155)))*(U155/1000)*(100/380))</f>
        <v>1.5178888970888169</v>
      </c>
      <c r="W15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ВРУ-В2/M02-116,0-175,8-80</v>
      </c>
      <c r="X155" s="1" t="str">
        <f>TEXT(Таблица13[[#This Row],[Потери]],"0,0") &amp; "-" &amp;Таблица13[[#This Row],[Полная марка кабеля]]</f>
        <v>1,5-КГ-3x95+1x35</v>
      </c>
      <c r="Y155" t="s">
        <v>491</v>
      </c>
      <c r="Z15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56" spans="1:26" x14ac:dyDescent="0.25">
      <c r="A156" s="1" t="s">
        <v>33</v>
      </c>
      <c r="B156" s="1">
        <v>155</v>
      </c>
      <c r="C156" s="4">
        <v>3</v>
      </c>
      <c r="D156" s="4" t="str">
        <f>"ВА57-35 "&amp; Таблица13[[#This Row],[Число фаз]] &amp; "P " &amp;Таблица13[[#This Row],[Номинал АВ]] &amp; " А"</f>
        <v>ВА57-35 3P 250 А</v>
      </c>
      <c r="E156" s="1">
        <v>250</v>
      </c>
      <c r="F156" s="9" t="s">
        <v>32</v>
      </c>
      <c r="G156" s="1" t="s">
        <v>512</v>
      </c>
      <c r="H156" s="1" t="s">
        <v>263</v>
      </c>
      <c r="I156" s="1" t="s">
        <v>162</v>
      </c>
      <c r="J156" s="2">
        <v>158.08099999999999</v>
      </c>
      <c r="K156" s="1">
        <v>3</v>
      </c>
      <c r="L156" s="15">
        <v>0.86264721096401242</v>
      </c>
      <c r="M156" s="1">
        <v>0.8</v>
      </c>
      <c r="N156" s="2">
        <f>Таблица13[[#This Row],[Pуст, кВт]]*Таблица13[[#This Row],[Kи]]</f>
        <v>126.4648</v>
      </c>
      <c r="O156" s="2">
        <f>IF(Таблица13[[#This Row],[Число фаз]]=1,J156/220/L156*M156*1000,J156/3/220/L156*M156*1000)</f>
        <v>222.12247474747471</v>
      </c>
      <c r="P156" s="2" t="str">
        <f>Таблица13[[#This Row],[Коды щитков]] &amp; "/M" &amp; TEXT( Таблица13[[#This Row],[Номер АВ]], "00")</f>
        <v>ВРУ-В2/M03</v>
      </c>
      <c r="Q156" s="1" t="s">
        <v>7</v>
      </c>
      <c r="R156" s="1">
        <v>4</v>
      </c>
      <c r="S156" s="1">
        <v>95</v>
      </c>
      <c r="T156" s="1">
        <v>35</v>
      </c>
      <c r="U156" s="1">
        <v>90</v>
      </c>
      <c r="V156" s="2">
        <f>IF(Таблица13[[#This Row],[Число фаз]]=1,2*O156*(22.5/S156*L156+0.08*SIN(ACOS(L156)))*(U156/1000)*(100/220),SQRT(3)*O156*(22.5/S156*L156+0.08*SIN(ACOS(L156)))*(U156/1000)*(100/380))</f>
        <v>2.2303873221244648</v>
      </c>
      <c r="W15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ВРУ-В2/M03-158,1-222,1-90</v>
      </c>
      <c r="X156" s="1" t="str">
        <f>TEXT(Таблица13[[#This Row],[Потери]],"0,0") &amp; "-" &amp;Таблица13[[#This Row],[Полная марка кабеля]]</f>
        <v>2,2-КГ-3x95+1x35</v>
      </c>
      <c r="Y156" t="s">
        <v>491</v>
      </c>
      <c r="Z15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57" spans="1:26" x14ac:dyDescent="0.25">
      <c r="A157" s="1" t="s">
        <v>33</v>
      </c>
      <c r="B157" s="1">
        <v>156</v>
      </c>
      <c r="C157" s="4">
        <v>4</v>
      </c>
      <c r="D157" s="4" t="str">
        <f>"ВА57-35 "&amp; Таблица13[[#This Row],[Число фаз]] &amp; "P " &amp;Таблица13[[#This Row],[Номинал АВ]] &amp; " А"</f>
        <v>ВА57-35 3P 250 А</v>
      </c>
      <c r="E157" s="1">
        <v>250</v>
      </c>
      <c r="F157" s="13" t="s">
        <v>330</v>
      </c>
      <c r="G157" s="1" t="s">
        <v>134</v>
      </c>
      <c r="H157" s="1" t="s">
        <v>407</v>
      </c>
      <c r="I157" s="1" t="s">
        <v>112</v>
      </c>
      <c r="J157" s="16">
        <v>114</v>
      </c>
      <c r="K157" s="1">
        <v>3</v>
      </c>
      <c r="L157" s="15">
        <v>1</v>
      </c>
      <c r="M157" s="1">
        <v>1</v>
      </c>
      <c r="N157" s="2">
        <f>Таблица13[[#This Row],[Pуст, кВт]]*Таблица13[[#This Row],[Kи]]</f>
        <v>114</v>
      </c>
      <c r="O157" s="2">
        <f>IF(Таблица13[[#This Row],[Число фаз]]=1,J157/220/L157*M157*1000,J157/3/220/L157*M157*1000)</f>
        <v>172.72727272727272</v>
      </c>
      <c r="P157" s="2" t="str">
        <f>Таблица13[[#This Row],[Коды щитков]] &amp; "/M" &amp; TEXT( Таблица13[[#This Row],[Номер АВ]], "00")</f>
        <v>ВРУ-В2/M04</v>
      </c>
      <c r="Q157" s="1" t="s">
        <v>7</v>
      </c>
      <c r="R157" s="1">
        <v>4</v>
      </c>
      <c r="S157" s="1">
        <v>95</v>
      </c>
      <c r="T157" s="1">
        <v>35</v>
      </c>
      <c r="U157" s="1">
        <v>80</v>
      </c>
      <c r="V157" s="2">
        <f>IF(Таблица13[[#This Row],[Число фаз]]=1,2*O157*(22.5/S157*L157+0.08*SIN(ACOS(L157)))*(U157/1000)*(100/220),SQRT(3)*O157*(22.5/S157*L157+0.08*SIN(ACOS(L157)))*(U157/1000)*(100/380))</f>
        <v>1.4917183988631477</v>
      </c>
      <c r="W15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ВРУ-В2/M04-114,0-172,7-80</v>
      </c>
      <c r="X157" s="1" t="str">
        <f>TEXT(Таблица13[[#This Row],[Потери]],"0,0") &amp; "-" &amp;Таблица13[[#This Row],[Полная марка кабеля]]</f>
        <v>1,5-КГ-3x95+1x35</v>
      </c>
      <c r="Y157" t="s">
        <v>491</v>
      </c>
      <c r="Z15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58" spans="1:26" x14ac:dyDescent="0.25">
      <c r="A158" s="1" t="s">
        <v>33</v>
      </c>
      <c r="B158" s="1">
        <v>157</v>
      </c>
      <c r="C158" s="4">
        <v>5</v>
      </c>
      <c r="D158" s="4" t="str">
        <f>"ВА57-35 "&amp; Таблица13[[#This Row],[Число фаз]] &amp; "P " &amp;Таблица13[[#This Row],[Номинал АВ]] &amp; " А"</f>
        <v>ВА57-35 3P 200 А</v>
      </c>
      <c r="E158" s="1">
        <v>200</v>
      </c>
      <c r="F158" s="13" t="s">
        <v>364</v>
      </c>
      <c r="G158" s="1" t="s">
        <v>163</v>
      </c>
      <c r="H158" s="1" t="s">
        <v>406</v>
      </c>
      <c r="I158" s="1" t="s">
        <v>404</v>
      </c>
      <c r="J158" s="16">
        <v>110</v>
      </c>
      <c r="K158" s="1">
        <v>3</v>
      </c>
      <c r="L158" s="15">
        <v>1</v>
      </c>
      <c r="M158" s="1">
        <v>1</v>
      </c>
      <c r="N158" s="2">
        <f>Таблица13[[#This Row],[Pуст, кВт]]*Таблица13[[#This Row],[Kи]]</f>
        <v>110</v>
      </c>
      <c r="O158" s="2">
        <f>IF(Таблица13[[#This Row],[Число фаз]]=1,J158/220/L158*M158*1000,J158/3/220/L158*M158*1000)</f>
        <v>166.66666666666666</v>
      </c>
      <c r="P158" s="2" t="str">
        <f>Таблица13[[#This Row],[Коды щитков]] &amp; "/M" &amp; TEXT( Таблица13[[#This Row],[Номер АВ]], "00")</f>
        <v>ВРУ-В2/M05</v>
      </c>
      <c r="Q158" s="1" t="s">
        <v>7</v>
      </c>
      <c r="R158" s="1">
        <v>4</v>
      </c>
      <c r="S158" s="1">
        <v>95</v>
      </c>
      <c r="T158" s="1">
        <v>35</v>
      </c>
      <c r="U158" s="1">
        <v>35</v>
      </c>
      <c r="V158" s="2">
        <f>IF(Таблица13[[#This Row],[Число фаз]]=1,2*O158*(22.5/S158*L158+0.08*SIN(ACOS(L158)))*(U158/1000)*(100/220),SQRT(3)*O158*(22.5/S158*L158+0.08*SIN(ACOS(L158)))*(U158/1000)*(100/380))</f>
        <v>0.62972761355516649</v>
      </c>
      <c r="W15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ВРУ-В2/M05-110,0-166,7-35</v>
      </c>
      <c r="X158" s="1" t="str">
        <f>TEXT(Таблица13[[#This Row],[Потери]],"0,0") &amp; "-" &amp;Таблица13[[#This Row],[Полная марка кабеля]]</f>
        <v>0,6-КГ-3x95+1x35</v>
      </c>
      <c r="Y158" t="s">
        <v>491</v>
      </c>
      <c r="Z15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59" spans="1:26" x14ac:dyDescent="0.25">
      <c r="A159" s="1" t="s">
        <v>33</v>
      </c>
      <c r="B159" s="1">
        <v>158</v>
      </c>
      <c r="C159" s="4">
        <v>6</v>
      </c>
      <c r="D159" s="4" t="str">
        <f>"Acti9 iC60N C"&amp;Таблица13[[#This Row],[Номинал АВ]]&amp; " " &amp; Таблица13[[#This Row],[Число фаз]] &amp; "P"</f>
        <v>Acti9 iC60N C40 3P</v>
      </c>
      <c r="E159" s="1">
        <v>40</v>
      </c>
      <c r="F159" s="13" t="s">
        <v>290</v>
      </c>
      <c r="G159" s="1" t="s">
        <v>167</v>
      </c>
      <c r="H159" s="1" t="s">
        <v>94</v>
      </c>
      <c r="I159" s="1" t="s">
        <v>410</v>
      </c>
      <c r="J159" s="16">
        <v>11.7</v>
      </c>
      <c r="K159" s="1">
        <v>3</v>
      </c>
      <c r="L159" s="15">
        <v>0.8</v>
      </c>
      <c r="M159" s="1">
        <v>1</v>
      </c>
      <c r="N159" s="2">
        <f>Таблица13[[#This Row],[Pуст, кВт]]*Таблица13[[#This Row],[Kи]]</f>
        <v>11.7</v>
      </c>
      <c r="O159" s="2">
        <f>IF(Таблица13[[#This Row],[Число фаз]]=1,J159/220/L159*M159*1000,J159/3/220/L159*M159*1000)</f>
        <v>22.159090909090907</v>
      </c>
      <c r="P159" s="2" t="str">
        <f>Таблица13[[#This Row],[Коды щитков]] &amp; "/M" &amp; TEXT( Таблица13[[#This Row],[Номер АВ]], "00")</f>
        <v>ВРУ-В2/M06</v>
      </c>
      <c r="Q159" s="1" t="s">
        <v>63</v>
      </c>
      <c r="R159" s="1">
        <v>5</v>
      </c>
      <c r="S159" s="1">
        <v>10</v>
      </c>
      <c r="T159" s="1">
        <f>Таблица13[[#This Row],[Сечение фазного]]</f>
        <v>10</v>
      </c>
      <c r="U159" s="1">
        <v>10</v>
      </c>
      <c r="V159" s="2">
        <f>IF(Таблица13[[#This Row],[Число фаз]]=1,2*O159*(22.5/S159*L159+0.08*SIN(ACOS(L159)))*(U159/1000)*(100/220),SQRT(3)*O159*(22.5/S159*L159+0.08*SIN(ACOS(L159)))*(U159/1000)*(100/380))</f>
        <v>0.18665126465775136</v>
      </c>
      <c r="W15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ВРУ-В2/M06-11,7-22,2-10</v>
      </c>
      <c r="X159" s="1" t="str">
        <f>TEXT(Таблица13[[#This Row],[Потери]],"0,0") &amp; "-" &amp;Таблица13[[#This Row],[Полная марка кабеля]]</f>
        <v>0,2-ВВГнг(A)-LS-5x10</v>
      </c>
      <c r="Y159" t="s">
        <v>491</v>
      </c>
      <c r="Z15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60" spans="1:26" x14ac:dyDescent="0.25">
      <c r="A160" s="1" t="s">
        <v>33</v>
      </c>
      <c r="B160" s="1">
        <v>159</v>
      </c>
      <c r="C160" s="4">
        <v>7</v>
      </c>
      <c r="D160" s="4" t="str">
        <f>"ВА57-35 "&amp; Таблица13[[#This Row],[Число фаз]] &amp; "P " &amp;Таблица13[[#This Row],[Номинал АВ]] &amp; " А"</f>
        <v>ВА57-35 3P 80 А</v>
      </c>
      <c r="E160" s="1">
        <v>80</v>
      </c>
      <c r="F160" s="13" t="s">
        <v>291</v>
      </c>
      <c r="G160" s="1" t="s">
        <v>168</v>
      </c>
      <c r="H160" s="1" t="s">
        <v>94</v>
      </c>
      <c r="I160" s="1" t="s">
        <v>409</v>
      </c>
      <c r="J160" s="16">
        <v>32.700000000000003</v>
      </c>
      <c r="K160" s="1">
        <v>3</v>
      </c>
      <c r="L160" s="15">
        <v>0.8</v>
      </c>
      <c r="M160" s="1">
        <v>1</v>
      </c>
      <c r="N160" s="2">
        <f>Таблица13[[#This Row],[Pуст, кВт]]*Таблица13[[#This Row],[Kи]]</f>
        <v>32.700000000000003</v>
      </c>
      <c r="O160" s="2">
        <f>IF(Таблица13[[#This Row],[Число фаз]]=1,J160/220/L160*M160*1000,J160/3/220/L160*M160*1000)</f>
        <v>61.93181818181818</v>
      </c>
      <c r="P160" s="2" t="str">
        <f>Таблица13[[#This Row],[Коды щитков]] &amp; "/M" &amp; TEXT( Таблица13[[#This Row],[Номер АВ]], "00")</f>
        <v>ВРУ-В2/M07</v>
      </c>
      <c r="Q160" s="1" t="s">
        <v>63</v>
      </c>
      <c r="R160" s="1">
        <v>5</v>
      </c>
      <c r="S160" s="1">
        <v>16</v>
      </c>
      <c r="T160" s="1">
        <f>Таблица13[[#This Row],[Сечение фазного]]</f>
        <v>16</v>
      </c>
      <c r="U160" s="1">
        <v>20</v>
      </c>
      <c r="V160" s="2">
        <f>IF(Таблица13[[#This Row],[Число фаз]]=1,2*O160*(22.5/S160*L160+0.08*SIN(ACOS(L160)))*(U160/1000)*(100/220),SQRT(3)*O160*(22.5/S160*L160+0.08*SIN(ACOS(L160)))*(U160/1000)*(100/380))</f>
        <v>0.66224527542863021</v>
      </c>
      <c r="W16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ВРУ-В2/M07-32,7-61,9-20</v>
      </c>
      <c r="X160" s="1" t="str">
        <f>TEXT(Таблица13[[#This Row],[Потери]],"0,0") &amp; "-" &amp;Таблица13[[#This Row],[Полная марка кабеля]]</f>
        <v>0,7-ВВГнг(A)-LS-5x16</v>
      </c>
      <c r="Y160" t="s">
        <v>491</v>
      </c>
      <c r="Z16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161" spans="1:26" x14ac:dyDescent="0.25">
      <c r="A161" s="1" t="s">
        <v>33</v>
      </c>
      <c r="B161" s="1">
        <v>160</v>
      </c>
      <c r="C161" s="4">
        <v>8</v>
      </c>
      <c r="D161" s="4" t="str">
        <f>"ВА57-35 "&amp; Таблица13[[#This Row],[Число фаз]] &amp; "P " &amp;Таблица13[[#This Row],[Номинал АВ]] &amp; " А"</f>
        <v>ВА57-35 3P 100 А</v>
      </c>
      <c r="E161" s="1">
        <v>100</v>
      </c>
      <c r="F161" s="9" t="s">
        <v>28</v>
      </c>
      <c r="G161" s="1" t="s">
        <v>511</v>
      </c>
      <c r="H161" s="1" t="s">
        <v>263</v>
      </c>
      <c r="I161" s="1" t="s">
        <v>483</v>
      </c>
      <c r="J161" s="2">
        <v>50.4</v>
      </c>
      <c r="K161" s="1">
        <v>3</v>
      </c>
      <c r="L161" s="15">
        <v>0.80354295837023915</v>
      </c>
      <c r="M161" s="1">
        <v>0.8</v>
      </c>
      <c r="N161" s="2">
        <f>Таблица13[[#This Row],[Pуст, кВт]]*Таблица13[[#This Row],[Kи]]</f>
        <v>40.32</v>
      </c>
      <c r="O161" s="2">
        <f>IF(Таблица13[[#This Row],[Число фаз]]=1,J161/220/L161*M161*1000,J161/3/220/L161*M161*1000)</f>
        <v>76.026936026936042</v>
      </c>
      <c r="P161" s="2" t="str">
        <f>Таблица13[[#This Row],[Коды щитков]] &amp; "/M" &amp; TEXT( Таблица13[[#This Row],[Номер АВ]], "00")</f>
        <v>ВРУ-В2/M08</v>
      </c>
      <c r="Q161" s="1" t="s">
        <v>7</v>
      </c>
      <c r="R161" s="1">
        <v>4</v>
      </c>
      <c r="S161" s="1">
        <v>35</v>
      </c>
      <c r="T161" s="1">
        <v>10</v>
      </c>
      <c r="U161" s="1">
        <v>60</v>
      </c>
      <c r="V161" s="2">
        <f>IF(Таблица13[[#This Row],[Число фаз]]=1,2*O161*(22.5/S161*L161+0.08*SIN(ACOS(L161)))*(U161/1000)*(100/220),SQRT(3)*O161*(22.5/S161*L161+0.08*SIN(ACOS(L161)))*(U161/1000)*(100/380))</f>
        <v>1.173048100149074</v>
      </c>
      <c r="W16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ВРУ-В2/M08-50,4-76,0-60</v>
      </c>
      <c r="X161" s="1" t="str">
        <f>TEXT(Таблица13[[#This Row],[Потери]],"0,0") &amp; "-" &amp;Таблица13[[#This Row],[Полная марка кабеля]]</f>
        <v>1,2-КГ-3x35+1x10</v>
      </c>
      <c r="Y161" t="s">
        <v>491</v>
      </c>
      <c r="Z16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КГ-3x35+1x10</v>
      </c>
    </row>
    <row r="162" spans="1:26" x14ac:dyDescent="0.25">
      <c r="A162" s="1" t="s">
        <v>33</v>
      </c>
      <c r="B162" s="1">
        <v>161</v>
      </c>
      <c r="C162" s="4">
        <v>9</v>
      </c>
      <c r="D162" s="4" t="str">
        <f>"ВА57-35 "&amp; Таблица13[[#This Row],[Число фаз]] &amp; "P " &amp;Таблица13[[#This Row],[Номинал АВ]] &amp; " А"</f>
        <v>ВА57-35 3P 200 А</v>
      </c>
      <c r="E162" s="1">
        <v>200</v>
      </c>
      <c r="F162" s="9" t="s">
        <v>27</v>
      </c>
      <c r="G162" s="1" t="s">
        <v>511</v>
      </c>
      <c r="H162" s="1" t="s">
        <v>263</v>
      </c>
      <c r="I162" s="1" t="s">
        <v>68</v>
      </c>
      <c r="J162" s="2">
        <v>58</v>
      </c>
      <c r="K162" s="1">
        <v>3</v>
      </c>
      <c r="L162" s="15">
        <v>0.82269503546099287</v>
      </c>
      <c r="M162" s="1">
        <v>1</v>
      </c>
      <c r="N162" s="2">
        <f>Таблица13[[#This Row],[Pуст, кВт]]*Таблица13[[#This Row],[Kи]]</f>
        <v>58</v>
      </c>
      <c r="O162" s="2">
        <f>IF(Таблица13[[#This Row],[Число фаз]]=1,J162/220/L162*M162*1000,J162/3/220/L162*M162*1000)</f>
        <v>106.81818181818181</v>
      </c>
      <c r="P162" s="2" t="str">
        <f>Таблица13[[#This Row],[Коды щитков]] &amp; "/M" &amp; TEXT( Таблица13[[#This Row],[Номер АВ]], "00")</f>
        <v>ВРУ-В2/M09</v>
      </c>
      <c r="Q162" s="1" t="s">
        <v>7</v>
      </c>
      <c r="R162" s="1">
        <v>4</v>
      </c>
      <c r="S162" s="1">
        <v>70</v>
      </c>
      <c r="T162" s="1">
        <v>25</v>
      </c>
      <c r="U162" s="1">
        <v>40</v>
      </c>
      <c r="V162" s="2">
        <f>IF(Таблица13[[#This Row],[Число фаз]]=1,2*O162*(22.5/S162*L162+0.08*SIN(ACOS(L162)))*(U162/1000)*(100/220),SQRT(3)*O162*(22.5/S162*L162+0.08*SIN(ACOS(L162)))*(U162/1000)*(100/380))</f>
        <v>0.60356863031009322</v>
      </c>
      <c r="W16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ВРУ-В2/M09-58,0-106,8-40</v>
      </c>
      <c r="X162" s="1" t="str">
        <f>TEXT(Таблица13[[#This Row],[Потери]],"0,0") &amp; "-" &amp;Таблица13[[#This Row],[Полная марка кабеля]]</f>
        <v>0,6-КГ-3x70+1x25</v>
      </c>
      <c r="Y162" t="s">
        <v>491</v>
      </c>
      <c r="Z16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КГ-3x70+1x25</v>
      </c>
    </row>
    <row r="163" spans="1:26" x14ac:dyDescent="0.25">
      <c r="A163" s="1" t="s">
        <v>34</v>
      </c>
      <c r="B163" s="1">
        <v>162</v>
      </c>
      <c r="C163" s="4">
        <v>1</v>
      </c>
      <c r="D163" s="4" t="str">
        <f>"Acti9 iC60N C"&amp;Таблица13[[#This Row],[Номинал АВ]]&amp; " " &amp; Таблица13[[#This Row],[Число фаз]] &amp; "P"</f>
        <v>Acti9 iC60N C50 3P</v>
      </c>
      <c r="E163" s="1">
        <v>50</v>
      </c>
      <c r="F163" s="13" t="s">
        <v>282</v>
      </c>
      <c r="G163" s="1" t="s">
        <v>172</v>
      </c>
      <c r="H163" s="1" t="s">
        <v>94</v>
      </c>
      <c r="I163" s="1" t="s">
        <v>171</v>
      </c>
      <c r="J163" s="16">
        <v>13.8</v>
      </c>
      <c r="K163" s="1">
        <v>3</v>
      </c>
      <c r="L163" s="15">
        <v>0.8</v>
      </c>
      <c r="M163" s="1">
        <v>1</v>
      </c>
      <c r="N163" s="2">
        <f>Таблица13[[#This Row],[Pуст, кВт]]*Таблица13[[#This Row],[Kи]]</f>
        <v>13.8</v>
      </c>
      <c r="O163" s="2">
        <f>IF(Таблица13[[#This Row],[Число фаз]]=1,J163/220/L163*M163*1000,J163/3/220/L163*M163*1000)</f>
        <v>26.136363636363637</v>
      </c>
      <c r="P163" s="2" t="str">
        <f>Таблица13[[#This Row],[Коды щитков]] &amp; "/M" &amp; TEXT( Таблица13[[#This Row],[Номер АВ]], "00")</f>
        <v>ШС-2-1/M01</v>
      </c>
      <c r="Q163" s="1" t="s">
        <v>63</v>
      </c>
      <c r="R163" s="1">
        <v>5</v>
      </c>
      <c r="S163" s="1">
        <v>10</v>
      </c>
      <c r="T163" s="1">
        <f>Таблица13[[#This Row],[Сечение фазного]]</f>
        <v>10</v>
      </c>
      <c r="U163" s="1">
        <v>25</v>
      </c>
      <c r="V163" s="2">
        <f>IF(Таблица13[[#This Row],[Число фаз]]=1,2*O163*(22.5/S163*L163+0.08*SIN(ACOS(L163)))*(U163/1000)*(100/220),SQRT(3)*O163*(22.5/S163*L163+0.08*SIN(ACOS(L163)))*(U163/1000)*(100/380))</f>
        <v>0.5503819342472156</v>
      </c>
      <c r="W16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ШС-2-1/M01-13,8-26,1-25</v>
      </c>
      <c r="X163" s="1" t="str">
        <f>TEXT(Таблица13[[#This Row],[Потери]],"0,0") &amp; "-" &amp;Таблица13[[#This Row],[Полная марка кабеля]]</f>
        <v>0,6-ВВГнг(A)-LS-5x10</v>
      </c>
      <c r="Y163" t="s">
        <v>431</v>
      </c>
      <c r="Z16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64" spans="1:26" x14ac:dyDescent="0.25">
      <c r="A164" s="1" t="s">
        <v>34</v>
      </c>
      <c r="B164" s="1">
        <v>163</v>
      </c>
      <c r="C164" s="4">
        <v>2</v>
      </c>
      <c r="D164" s="4" t="str">
        <f>"Acti9 iC60N C"&amp;Таблица13[[#This Row],[Номинал АВ]]&amp; " " &amp; Таблица13[[#This Row],[Число фаз]] &amp; "P"</f>
        <v>Acti9 iC60N C50 3P</v>
      </c>
      <c r="E164" s="1">
        <v>50</v>
      </c>
      <c r="F164" s="13" t="s">
        <v>288</v>
      </c>
      <c r="G164" s="1" t="s">
        <v>173</v>
      </c>
      <c r="H164" s="1" t="s">
        <v>94</v>
      </c>
      <c r="I164" s="1" t="s">
        <v>171</v>
      </c>
      <c r="J164" s="16">
        <v>7.9</v>
      </c>
      <c r="K164" s="1">
        <v>3</v>
      </c>
      <c r="L164" s="15">
        <v>0.8</v>
      </c>
      <c r="M164" s="1">
        <v>1</v>
      </c>
      <c r="N164" s="2">
        <f>Таблица13[[#This Row],[Pуст, кВт]]*Таблица13[[#This Row],[Kи]]</f>
        <v>7.9</v>
      </c>
      <c r="O164" s="2">
        <f>IF(Таблица13[[#This Row],[Число фаз]]=1,J164/220/L164*M164*1000,J164/3/220/L164*M164*1000)</f>
        <v>14.962121212121209</v>
      </c>
      <c r="P164" s="2" t="str">
        <f>Таблица13[[#This Row],[Коды щитков]] &amp; "/M" &amp; TEXT( Таблица13[[#This Row],[Номер АВ]], "00")</f>
        <v>ШС-2-1/M02</v>
      </c>
      <c r="Q164" s="1" t="s">
        <v>63</v>
      </c>
      <c r="R164" s="1">
        <v>5</v>
      </c>
      <c r="S164" s="1">
        <v>10</v>
      </c>
      <c r="T164" s="1">
        <f>Таблица13[[#This Row],[Сечение фазного]]</f>
        <v>10</v>
      </c>
      <c r="U164" s="1">
        <v>25</v>
      </c>
      <c r="V164" s="2">
        <f>IF(Таблица13[[#This Row],[Число фаз]]=1,2*O164*(22.5/S164*L164+0.08*SIN(ACOS(L164)))*(U164/1000)*(100/220),SQRT(3)*O164*(22.5/S164*L164+0.08*SIN(ACOS(L164)))*(U164/1000)*(100/380))</f>
        <v>0.31507371598210165</v>
      </c>
      <c r="W16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ШС-2-1/M02-7,9-15,0-25</v>
      </c>
      <c r="X164" s="1" t="str">
        <f>TEXT(Таблица13[[#This Row],[Потери]],"0,0") &amp; "-" &amp;Таблица13[[#This Row],[Полная марка кабеля]]</f>
        <v>0,3-ВВГнг(A)-LS-5x10</v>
      </c>
      <c r="Y164" t="s">
        <v>431</v>
      </c>
      <c r="Z16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65" spans="1:26" x14ac:dyDescent="0.25">
      <c r="A165" s="1" t="s">
        <v>34</v>
      </c>
      <c r="B165" s="1">
        <v>164</v>
      </c>
      <c r="C165" s="4">
        <v>3</v>
      </c>
      <c r="D165" s="4" t="str">
        <f>"Acti9 iC60N C"&amp;Таблица13[[#This Row],[Номинал АВ]]&amp; " " &amp; Таблица13[[#This Row],[Число фаз]] &amp; "P"</f>
        <v>Acti9 iC60N C50 3P</v>
      </c>
      <c r="E165" s="1">
        <v>50</v>
      </c>
      <c r="F165" s="9"/>
      <c r="G165" s="1"/>
      <c r="H165" s="1" t="s">
        <v>169</v>
      </c>
      <c r="I165" s="1" t="s">
        <v>112</v>
      </c>
      <c r="J165" s="16">
        <v>15</v>
      </c>
      <c r="K165" s="1">
        <v>3</v>
      </c>
      <c r="L165" s="15">
        <v>0.8</v>
      </c>
      <c r="M165" s="1">
        <v>1</v>
      </c>
      <c r="N165" s="2">
        <f>Таблица13[[#This Row],[Pуст, кВт]]*Таблица13[[#This Row],[Kи]]</f>
        <v>15</v>
      </c>
      <c r="O165" s="2">
        <f>IF(Таблица13[[#This Row],[Число фаз]]=1,J165/220/L165*M165*1000,J165/3/220/L165*M165*1000)</f>
        <v>28.409090909090907</v>
      </c>
      <c r="P165" s="2" t="str">
        <f>Таблица13[[#This Row],[Коды щитков]] &amp; "/M" &amp; TEXT( Таблица13[[#This Row],[Номер АВ]], "00")</f>
        <v>ШС-2-1/M03</v>
      </c>
      <c r="Q165" s="1" t="s">
        <v>63</v>
      </c>
      <c r="R165" s="1">
        <v>5</v>
      </c>
      <c r="S165" s="1">
        <v>10</v>
      </c>
      <c r="T165" s="1">
        <f>Таблица13[[#This Row],[Сечение фазного]]</f>
        <v>10</v>
      </c>
      <c r="U165" s="1">
        <v>20</v>
      </c>
      <c r="V165" s="2">
        <f>IF(Таблица13[[#This Row],[Число фаз]]=1,2*O165*(22.5/S165*L165+0.08*SIN(ACOS(L165)))*(U165/1000)*(100/220),SQRT(3)*O165*(22.5/S165*L165+0.08*SIN(ACOS(L165)))*(U165/1000)*(100/380))</f>
        <v>0.47859298630192654</v>
      </c>
      <c r="W16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ШС-2-1/M03-15,0-28,4-20</v>
      </c>
      <c r="X165" s="1" t="str">
        <f>TEXT(Таблица13[[#This Row],[Потери]],"0,0") &amp; "-" &amp;Таблица13[[#This Row],[Полная марка кабеля]]</f>
        <v>0,5-ВВГнг(A)-LS-5x10</v>
      </c>
      <c r="Y165" t="s">
        <v>431</v>
      </c>
      <c r="Z16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66" spans="1:26" x14ac:dyDescent="0.25">
      <c r="A166" s="1" t="s">
        <v>34</v>
      </c>
      <c r="B166" s="1">
        <v>165</v>
      </c>
      <c r="C166" s="4">
        <v>4</v>
      </c>
      <c r="D166" s="4" t="str">
        <f>"Acti9 iC60N C"&amp;Таблица13[[#This Row],[Номинал АВ]]&amp; " " &amp; Таблица13[[#This Row],[Число фаз]] &amp; "P"</f>
        <v>Acti9 iC60N C16 1P</v>
      </c>
      <c r="E166" s="1">
        <v>16</v>
      </c>
      <c r="F166" s="9"/>
      <c r="G166" s="1"/>
      <c r="H166" s="1" t="s">
        <v>170</v>
      </c>
      <c r="I166" s="1" t="s">
        <v>112</v>
      </c>
      <c r="J166" s="16">
        <v>2</v>
      </c>
      <c r="K166" s="1">
        <v>1</v>
      </c>
      <c r="L166" s="15">
        <v>0.9</v>
      </c>
      <c r="M166" s="1">
        <v>1</v>
      </c>
      <c r="N166" s="2">
        <f>Таблица13[[#This Row],[Pуст, кВт]]*Таблица13[[#This Row],[Kи]]</f>
        <v>2</v>
      </c>
      <c r="O166" s="2">
        <f>IF(Таблица13[[#This Row],[Число фаз]]=1,J166/220/L166*M166*1000,J166/3/220/L166*M166*1000)</f>
        <v>10.1010101010101</v>
      </c>
      <c r="P166" s="2" t="str">
        <f>Таблица13[[#This Row],[Коды щитков]] &amp; "/M" &amp; TEXT( Таблица13[[#This Row],[Номер АВ]], "00")</f>
        <v>ШС-2-1/M04</v>
      </c>
      <c r="Q166" s="1" t="s">
        <v>63</v>
      </c>
      <c r="R166" s="1">
        <v>3</v>
      </c>
      <c r="S166" s="1">
        <v>2.5</v>
      </c>
      <c r="T166" s="1">
        <f>Таблица13[[#This Row],[Сечение фазного]]</f>
        <v>2.5</v>
      </c>
      <c r="U166" s="1">
        <v>10</v>
      </c>
      <c r="V166" s="2">
        <f>IF(Таблица13[[#This Row],[Число фаз]]=1,2*O166*(22.5/S166*L166+0.08*SIN(ACOS(L166)))*(U166/1000)*(100/220),SQRT(3)*O166*(22.5/S166*L166+0.08*SIN(ACOS(L166)))*(U166/1000)*(100/380))</f>
        <v>0.74700378251132449</v>
      </c>
      <c r="W16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ШС-2-1/M04-2,0-10,1-10</v>
      </c>
      <c r="X166" s="1" t="str">
        <f>TEXT(Таблица13[[#This Row],[Потери]],"0,0") &amp; "-" &amp;Таблица13[[#This Row],[Полная марка кабеля]]</f>
        <v>0,7-ВВГнг(A)-LS-3x2,5</v>
      </c>
      <c r="Y166" t="s">
        <v>431</v>
      </c>
      <c r="Z16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67" spans="1:26" x14ac:dyDescent="0.25">
      <c r="A167" s="1" t="s">
        <v>34</v>
      </c>
      <c r="B167" s="1">
        <v>166</v>
      </c>
      <c r="C167" s="4">
        <v>5</v>
      </c>
      <c r="D167" s="4" t="str">
        <f>"Acti9 DPN N Vigi C" &amp; Таблица13[[#This Row],[Номинал АВ]]&amp; " 1P+N 30 мА"</f>
        <v>Acti9 DPN N Vigi C25 1P+N 30 мА</v>
      </c>
      <c r="E167" s="1">
        <v>25</v>
      </c>
      <c r="F167" s="9"/>
      <c r="G167" s="1"/>
      <c r="H167" s="1" t="s">
        <v>72</v>
      </c>
      <c r="I167" s="1"/>
      <c r="J167" s="16">
        <v>2</v>
      </c>
      <c r="K167" s="1">
        <v>1</v>
      </c>
      <c r="L167" s="15">
        <v>0.9</v>
      </c>
      <c r="M167" s="1">
        <v>1</v>
      </c>
      <c r="N167" s="2">
        <f>Таблица13[[#This Row],[Pуст, кВт]]*Таблица13[[#This Row],[Kи]]</f>
        <v>2</v>
      </c>
      <c r="O167" s="2">
        <f>IF(Таблица13[[#This Row],[Число фаз]]=1,J167/220/L167*M167*1000,J167/3/220/L167*M167*1000)</f>
        <v>10.1010101010101</v>
      </c>
      <c r="P167" s="2" t="str">
        <f>Таблица13[[#This Row],[Коды щитков]] &amp; "/M" &amp; TEXT( Таблица13[[#This Row],[Номер АВ]], "00")</f>
        <v>ШС-2-1/M05</v>
      </c>
      <c r="Q167" s="1" t="s">
        <v>63</v>
      </c>
      <c r="R167" s="1">
        <v>3</v>
      </c>
      <c r="S167" s="1">
        <v>2.5</v>
      </c>
      <c r="T167" s="1">
        <f>Таблица13[[#This Row],[Сечение фазного]]</f>
        <v>2.5</v>
      </c>
      <c r="U167" s="1">
        <v>10</v>
      </c>
      <c r="V167" s="2">
        <f>IF(Таблица13[[#This Row],[Число фаз]]=1,2*O167*(22.5/S167*L167+0.08*SIN(ACOS(L167)))*(U167/1000)*(100/220),SQRT(3)*O167*(22.5/S167*L167+0.08*SIN(ACOS(L167)))*(U167/1000)*(100/380))</f>
        <v>0.74700378251132449</v>
      </c>
      <c r="W16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ШС-2-1/M05-2,0-10,1-10</v>
      </c>
      <c r="X167" s="1" t="str">
        <f>TEXT(Таблица13[[#This Row],[Потери]],"0,0") &amp; "-" &amp;Таблица13[[#This Row],[Полная марка кабеля]]</f>
        <v>0,7-ВВГнг(A)-LS-3x2,5</v>
      </c>
      <c r="Y167" t="s">
        <v>431</v>
      </c>
      <c r="Z16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68" spans="1:26" x14ac:dyDescent="0.25">
      <c r="A168" s="1" t="s">
        <v>35</v>
      </c>
      <c r="B168" s="1">
        <v>167</v>
      </c>
      <c r="C168" s="4">
        <v>0</v>
      </c>
      <c r="D168" s="4"/>
      <c r="E168" s="1"/>
      <c r="F168" s="9" t="s">
        <v>34</v>
      </c>
      <c r="G168" s="1" t="s">
        <v>511</v>
      </c>
      <c r="H168" s="1" t="s">
        <v>263</v>
      </c>
      <c r="I168" s="1" t="s">
        <v>174</v>
      </c>
      <c r="J168" s="2">
        <v>40.700000000000003</v>
      </c>
      <c r="K168" s="1">
        <v>3</v>
      </c>
      <c r="L168" s="15">
        <v>0.80883245928788305</v>
      </c>
      <c r="M168" s="1">
        <v>0.8</v>
      </c>
      <c r="N168" s="2">
        <f>Таблица13[[#This Row],[Pуст, кВт]]*Таблица13[[#This Row],[Kи]]</f>
        <v>32.56</v>
      </c>
      <c r="O168" s="2">
        <f>IF(Таблица13[[#This Row],[Число фаз]]=1,J168/220/L168*M168*1000,J168/3/220/L168*M168*1000)</f>
        <v>60.993265993266</v>
      </c>
      <c r="P168" s="2" t="str">
        <f>Таблица13[[#This Row],[Коды щитков]] &amp; "/M" &amp; TEXT( Таблица13[[#This Row],[Номер АВ]], "00")</f>
        <v>ШС-2/M00</v>
      </c>
      <c r="Q168" s="1" t="s">
        <v>7</v>
      </c>
      <c r="R168" s="1">
        <v>4</v>
      </c>
      <c r="S168" s="1">
        <v>95</v>
      </c>
      <c r="T168" s="1">
        <v>35</v>
      </c>
      <c r="U168" s="1">
        <v>30</v>
      </c>
      <c r="V168" s="2">
        <f>IF(Таблица13[[#This Row],[Число фаз]]=1,2*O168*(22.5/S168*L168+0.08*SIN(ACOS(L168)))*(U168/1000)*(100/220),SQRT(3)*O168*(22.5/S168*L168+0.08*SIN(ACOS(L168)))*(U168/1000)*(100/380))</f>
        <v>0.19900614033806055</v>
      </c>
      <c r="W16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ШС-2/M00-40,7-61,0-30</v>
      </c>
      <c r="X168" s="1" t="str">
        <f>TEXT(Таблица13[[#This Row],[Потери]],"0,0") &amp; "-" &amp;Таблица13[[#This Row],[Полная марка кабеля]]</f>
        <v>0,2-КГ-3x95+1x35</v>
      </c>
      <c r="Y168" t="s">
        <v>432</v>
      </c>
      <c r="Z16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69" spans="1:26" x14ac:dyDescent="0.25">
      <c r="A169" s="1" t="s">
        <v>35</v>
      </c>
      <c r="B169" s="1">
        <v>168</v>
      </c>
      <c r="C169" s="4">
        <v>1</v>
      </c>
      <c r="D169" s="4" t="str">
        <f>"ВА57-35 "&amp; Таблица13[[#This Row],[Число фаз]] &amp; "P " &amp;Таблица13[[#This Row],[Номинал АВ]] &amp; " А"</f>
        <v>ВА57-35 3P 80 А</v>
      </c>
      <c r="E169" s="1">
        <v>80</v>
      </c>
      <c r="F169" s="13" t="s">
        <v>292</v>
      </c>
      <c r="G169" s="8" t="s">
        <v>177</v>
      </c>
      <c r="H169" s="8" t="s">
        <v>94</v>
      </c>
      <c r="I169" s="1" t="s">
        <v>141</v>
      </c>
      <c r="J169" s="16">
        <v>30.1</v>
      </c>
      <c r="K169" s="1">
        <v>3</v>
      </c>
      <c r="L169" s="15">
        <v>0.8</v>
      </c>
      <c r="M169" s="1">
        <v>1</v>
      </c>
      <c r="N169" s="2">
        <f>Таблица13[[#This Row],[Pуст, кВт]]*Таблица13[[#This Row],[Kи]]</f>
        <v>30.1</v>
      </c>
      <c r="O169" s="2">
        <f>IF(Таблица13[[#This Row],[Число фаз]]=1,J169/220/L169*M169*1000,J169/3/220/L169*M169*1000)</f>
        <v>57.007575757575758</v>
      </c>
      <c r="P169" s="2" t="str">
        <f>Таблица13[[#This Row],[Коды щитков]] &amp; "/M" &amp; TEXT( Таблица13[[#This Row],[Номер АВ]], "00")</f>
        <v>ШС-2/M01</v>
      </c>
      <c r="Q169" s="1" t="s">
        <v>63</v>
      </c>
      <c r="R169" s="1">
        <v>5</v>
      </c>
      <c r="S169" s="1">
        <v>25</v>
      </c>
      <c r="T169" s="1">
        <f>Таблица13[[#This Row],[Сечение фазного]]</f>
        <v>25</v>
      </c>
      <c r="U169" s="1">
        <v>10</v>
      </c>
      <c r="V169" s="2">
        <f>IF(Таблица13[[#This Row],[Число фаз]]=1,2*O169*(22.5/S169*L169+0.08*SIN(ACOS(L169)))*(U169/1000)*(100/220),SQRT(3)*O169*(22.5/S169*L169+0.08*SIN(ACOS(L169)))*(U169/1000)*(100/380))</f>
        <v>0.19955877247013665</v>
      </c>
      <c r="W16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ШС-2/M01-30,1-57,0-10</v>
      </c>
      <c r="X169" s="1" t="str">
        <f>TEXT(Таблица13[[#This Row],[Потери]],"0,0") &amp; "-" &amp;Таблица13[[#This Row],[Полная марка кабеля]]</f>
        <v>0,2-ВВГнг(A)-LS-5x25</v>
      </c>
      <c r="Y169" t="s">
        <v>432</v>
      </c>
      <c r="Z16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170" spans="1:26" x14ac:dyDescent="0.25">
      <c r="A170" s="1" t="s">
        <v>35</v>
      </c>
      <c r="B170" s="1">
        <v>169</v>
      </c>
      <c r="C170" s="4">
        <v>2</v>
      </c>
      <c r="D170" s="4" t="str">
        <f>"ВА57-35 "&amp; Таблица13[[#This Row],[Число фаз]] &amp; "P " &amp;Таблица13[[#This Row],[Номинал АВ]] &amp; " А"</f>
        <v>ВА57-35 3P 80 А</v>
      </c>
      <c r="E170" s="1">
        <v>80</v>
      </c>
      <c r="F170" s="13" t="s">
        <v>293</v>
      </c>
      <c r="G170" s="8" t="s">
        <v>177</v>
      </c>
      <c r="H170" s="8" t="s">
        <v>94</v>
      </c>
      <c r="I170" s="1" t="s">
        <v>141</v>
      </c>
      <c r="J170" s="16">
        <v>30.1</v>
      </c>
      <c r="K170" s="1">
        <v>3</v>
      </c>
      <c r="L170" s="15">
        <v>0.8</v>
      </c>
      <c r="M170" s="1">
        <v>1</v>
      </c>
      <c r="N170" s="2">
        <f>Таблица13[[#This Row],[Pуст, кВт]]*Таблица13[[#This Row],[Kи]]</f>
        <v>30.1</v>
      </c>
      <c r="O170" s="2">
        <f>IF(Таблица13[[#This Row],[Число фаз]]=1,J170/220/L170*M170*1000,J170/3/220/L170*M170*1000)</f>
        <v>57.007575757575758</v>
      </c>
      <c r="P170" s="2" t="str">
        <f>Таблица13[[#This Row],[Коды щитков]] &amp; "/M" &amp; TEXT( Таблица13[[#This Row],[Номер АВ]], "00")</f>
        <v>ШС-2/M02</v>
      </c>
      <c r="Q170" s="1" t="s">
        <v>63</v>
      </c>
      <c r="R170" s="1">
        <v>5</v>
      </c>
      <c r="S170" s="1">
        <v>25</v>
      </c>
      <c r="T170" s="1">
        <f>Таблица13[[#This Row],[Сечение фазного]]</f>
        <v>25</v>
      </c>
      <c r="U170" s="1">
        <v>10</v>
      </c>
      <c r="V170" s="2">
        <f>IF(Таблица13[[#This Row],[Число фаз]]=1,2*O170*(22.5/S170*L170+0.08*SIN(ACOS(L170)))*(U170/1000)*(100/220),SQRT(3)*O170*(22.5/S170*L170+0.08*SIN(ACOS(L170)))*(U170/1000)*(100/380))</f>
        <v>0.19955877247013665</v>
      </c>
      <c r="W17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ШС-2/M02-30,1-57,0-10</v>
      </c>
      <c r="X170" s="1" t="str">
        <f>TEXT(Таблица13[[#This Row],[Потери]],"0,0") &amp; "-" &amp;Таблица13[[#This Row],[Полная марка кабеля]]</f>
        <v>0,2-ВВГнг(A)-LS-5x25</v>
      </c>
      <c r="Y170" t="s">
        <v>432</v>
      </c>
      <c r="Z17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171" spans="1:26" x14ac:dyDescent="0.25">
      <c r="A171" s="1" t="s">
        <v>35</v>
      </c>
      <c r="B171" s="1">
        <v>170</v>
      </c>
      <c r="C171" s="4">
        <v>3</v>
      </c>
      <c r="D171" s="4" t="str">
        <f>"Acti9 iC60N C"&amp;Таблица13[[#This Row],[Номинал АВ]]&amp; " " &amp; Таблица13[[#This Row],[Число фаз]] &amp; "P"</f>
        <v>Acti9 iC60N C10 1P</v>
      </c>
      <c r="E171" s="1">
        <v>10</v>
      </c>
      <c r="F171" s="9"/>
      <c r="G171" s="1"/>
      <c r="H171" s="1" t="s">
        <v>175</v>
      </c>
      <c r="I171" s="1"/>
      <c r="J171" s="16">
        <v>0.1</v>
      </c>
      <c r="K171" s="1">
        <v>1</v>
      </c>
      <c r="L171" s="15">
        <v>0.96</v>
      </c>
      <c r="M171" s="1">
        <v>1</v>
      </c>
      <c r="N171" s="2">
        <f>Таблица13[[#This Row],[Pуст, кВт]]*Таблица13[[#This Row],[Kи]]</f>
        <v>0.1</v>
      </c>
      <c r="O171" s="2">
        <f>IF(Таблица13[[#This Row],[Число фаз]]=1,J171/220/L171*M171*1000,J171/3/220/L171*M171*1000)</f>
        <v>0.47348484848484851</v>
      </c>
      <c r="P171" s="2" t="str">
        <f>Таблица13[[#This Row],[Коды щитков]] &amp; "/M" &amp; TEXT( Таблица13[[#This Row],[Номер АВ]], "00")</f>
        <v>ШС-2/M03</v>
      </c>
      <c r="Q171" s="1" t="s">
        <v>63</v>
      </c>
      <c r="R171" s="1">
        <v>3</v>
      </c>
      <c r="S171" s="1">
        <v>1.5</v>
      </c>
      <c r="T171" s="1">
        <f>Таблица13[[#This Row],[Сечение фазного]]</f>
        <v>1.5</v>
      </c>
      <c r="U171" s="1">
        <v>10</v>
      </c>
      <c r="V171" s="2">
        <f>IF(Таблица13[[#This Row],[Число фаз]]=1,2*O171*(22.5/S171*L171+0.08*SIN(ACOS(L171)))*(U171/1000)*(100/220),SQRT(3)*O171*(22.5/S171*L171+0.08*SIN(ACOS(L171)))*(U171/1000)*(100/380))</f>
        <v>6.207988980716253E-2</v>
      </c>
      <c r="W17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ШС-2/M03-0,1-0,5-10</v>
      </c>
      <c r="X171" s="1" t="str">
        <f>TEXT(Таблица13[[#This Row],[Потери]],"0,0") &amp; "-" &amp;Таблица13[[#This Row],[Полная марка кабеля]]</f>
        <v>0,1-ВВГнг(A)-LS-3x1,5</v>
      </c>
      <c r="Y171" t="s">
        <v>432</v>
      </c>
      <c r="Z17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72" spans="1:26" x14ac:dyDescent="0.25">
      <c r="A172" s="1" t="s">
        <v>35</v>
      </c>
      <c r="B172" s="1">
        <v>171</v>
      </c>
      <c r="C172" s="4">
        <v>4</v>
      </c>
      <c r="D172" s="4" t="str">
        <f>"Acti9 iC60N C"&amp;Таблица13[[#This Row],[Номинал АВ]]&amp; " " &amp; Таблица13[[#This Row],[Число фаз]] &amp; "P"</f>
        <v>Acti9 iC60N C10 1P</v>
      </c>
      <c r="E172" s="1">
        <v>10</v>
      </c>
      <c r="F172" s="9"/>
      <c r="G172" s="1"/>
      <c r="H172" s="1" t="s">
        <v>176</v>
      </c>
      <c r="I172" s="1" t="s">
        <v>141</v>
      </c>
      <c r="J172" s="16">
        <v>0.4</v>
      </c>
      <c r="K172" s="1">
        <v>1</v>
      </c>
      <c r="L172" s="15">
        <v>0.9</v>
      </c>
      <c r="M172" s="1">
        <v>1</v>
      </c>
      <c r="N172" s="2">
        <f>Таблица13[[#This Row],[Pуст, кВт]]*Таблица13[[#This Row],[Kи]]</f>
        <v>0.4</v>
      </c>
      <c r="O172" s="2">
        <f>IF(Таблица13[[#This Row],[Число фаз]]=1,J172/220/L172*M172*1000,J172/3/220/L172*M172*1000)</f>
        <v>2.0202020202020203</v>
      </c>
      <c r="P172" s="2" t="str">
        <f>Таблица13[[#This Row],[Коды щитков]] &amp; "/M" &amp; TEXT( Таблица13[[#This Row],[Номер АВ]], "00")</f>
        <v>ШС-2/M04</v>
      </c>
      <c r="Q172" s="1" t="s">
        <v>63</v>
      </c>
      <c r="R172" s="1">
        <v>3</v>
      </c>
      <c r="S172" s="1">
        <v>1.5</v>
      </c>
      <c r="T172" s="1">
        <f>Таблица13[[#This Row],[Сечение фазного]]</f>
        <v>1.5</v>
      </c>
      <c r="U172" s="1">
        <v>10</v>
      </c>
      <c r="V172" s="2">
        <f>IF(Таблица13[[#This Row],[Число фаз]]=1,2*O172*(22.5/S172*L172+0.08*SIN(ACOS(L172)))*(U172/1000)*(100/220),SQRT(3)*O172*(22.5/S172*L172+0.08*SIN(ACOS(L172)))*(U172/1000)*(100/380))</f>
        <v>0.24857431022127319</v>
      </c>
      <c r="W17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ШС-2/M04-0,4-2,0-10</v>
      </c>
      <c r="X172" s="1" t="str">
        <f>TEXT(Таблица13[[#This Row],[Потери]],"0,0") &amp; "-" &amp;Таблица13[[#This Row],[Полная марка кабеля]]</f>
        <v>0,2-ВВГнг(A)-LS-3x1,5</v>
      </c>
      <c r="Y172" t="s">
        <v>432</v>
      </c>
      <c r="Z17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73" spans="1:26" x14ac:dyDescent="0.25">
      <c r="A173" s="1" t="s">
        <v>36</v>
      </c>
      <c r="B173" s="1">
        <v>172</v>
      </c>
      <c r="C173" s="4">
        <v>1</v>
      </c>
      <c r="D173" s="4" t="str">
        <f>"Acti9 iC60N C"&amp;Таблица13[[#This Row],[Номинал АВ]]&amp; " " &amp; Таблица13[[#This Row],[Число фаз]] &amp; "P"</f>
        <v>Acti9 iC60N C25 3P</v>
      </c>
      <c r="E173" s="1">
        <v>25</v>
      </c>
      <c r="F173" s="13" t="s">
        <v>337</v>
      </c>
      <c r="G173" s="1" t="s">
        <v>179</v>
      </c>
      <c r="H173" s="1" t="s">
        <v>178</v>
      </c>
      <c r="I173" s="1" t="s">
        <v>183</v>
      </c>
      <c r="J173" s="16">
        <v>5</v>
      </c>
      <c r="K173" s="1">
        <v>3</v>
      </c>
      <c r="L173" s="15">
        <v>0.9</v>
      </c>
      <c r="M173" s="1">
        <v>1</v>
      </c>
      <c r="N173" s="2">
        <f>Таблица13[[#This Row],[Pуст, кВт]]*Таблица13[[#This Row],[Kи]]</f>
        <v>5</v>
      </c>
      <c r="O173" s="2">
        <f>IF(Таблица13[[#This Row],[Число фаз]]=1,J173/220/L173*M173*1000,J173/3/220/L173*M173*1000)</f>
        <v>8.4175084175084169</v>
      </c>
      <c r="P173" s="2" t="str">
        <f>Таблица13[[#This Row],[Коды щитков]] &amp; "/M" &amp; TEXT( Таблица13[[#This Row],[Номер АВ]], "00")</f>
        <v>ШС-1-2Б/M01</v>
      </c>
      <c r="Q173" s="1" t="s">
        <v>63</v>
      </c>
      <c r="R173" s="1">
        <v>5</v>
      </c>
      <c r="S173" s="1">
        <v>4</v>
      </c>
      <c r="T173" s="1">
        <f>Таблица13[[#This Row],[Сечение фазного]]</f>
        <v>4</v>
      </c>
      <c r="U173" s="1">
        <v>10</v>
      </c>
      <c r="V173" s="2">
        <f>IF(Таблица13[[#This Row],[Число фаз]]=1,2*O173*(22.5/S173*L173+0.08*SIN(ACOS(L173)))*(U173/1000)*(100/220),SQRT(3)*O173*(22.5/S173*L173+0.08*SIN(ACOS(L173)))*(U173/1000)*(100/380))</f>
        <v>0.19557207799042189</v>
      </c>
      <c r="W17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ШС-1-2Б/M01-5,0-8,4-10</v>
      </c>
      <c r="X173" s="1" t="str">
        <f>TEXT(Таблица13[[#This Row],[Потери]],"0,0") &amp; "-" &amp;Таблица13[[#This Row],[Полная марка кабеля]]</f>
        <v>0,2-ВВГнг(A)-LS-5x4</v>
      </c>
      <c r="Y173" t="s">
        <v>433</v>
      </c>
      <c r="Z17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74" spans="1:26" x14ac:dyDescent="0.25">
      <c r="A174" s="1" t="s">
        <v>36</v>
      </c>
      <c r="B174" s="1">
        <v>173</v>
      </c>
      <c r="C174" s="4">
        <v>2</v>
      </c>
      <c r="D174" s="4" t="str">
        <f>"Acti9 iC60N C"&amp;Таблица13[[#This Row],[Номинал АВ]]&amp; " " &amp; Таблица13[[#This Row],[Число фаз]] &amp; "P"</f>
        <v>Acti9 iC60N C25 3P</v>
      </c>
      <c r="E174" s="1">
        <v>25</v>
      </c>
      <c r="F174" s="13" t="s">
        <v>338</v>
      </c>
      <c r="G174" s="1" t="s">
        <v>180</v>
      </c>
      <c r="H174" s="1" t="s">
        <v>178</v>
      </c>
      <c r="I174" s="1" t="s">
        <v>183</v>
      </c>
      <c r="J174" s="16">
        <v>12</v>
      </c>
      <c r="K174" s="1">
        <v>3</v>
      </c>
      <c r="L174" s="15">
        <v>0.9</v>
      </c>
      <c r="M174" s="1">
        <v>1</v>
      </c>
      <c r="N174" s="2">
        <f>Таблица13[[#This Row],[Pуст, кВт]]*Таблица13[[#This Row],[Kи]]</f>
        <v>12</v>
      </c>
      <c r="O174" s="2">
        <f>IF(Таблица13[[#This Row],[Число фаз]]=1,J174/220/L174*M174*1000,J174/3/220/L174*M174*1000)</f>
        <v>20.202020202020201</v>
      </c>
      <c r="P174" s="2" t="str">
        <f>Таблица13[[#This Row],[Коды щитков]] &amp; "/M" &amp; TEXT( Таблица13[[#This Row],[Номер АВ]], "00")</f>
        <v>ШС-1-2Б/M02</v>
      </c>
      <c r="Q174" s="1" t="s">
        <v>63</v>
      </c>
      <c r="R174" s="1">
        <v>5</v>
      </c>
      <c r="S174" s="1">
        <v>4</v>
      </c>
      <c r="T174" s="1">
        <f>Таблица13[[#This Row],[Сечение фазного]]</f>
        <v>4</v>
      </c>
      <c r="U174" s="1">
        <v>10</v>
      </c>
      <c r="V174" s="2">
        <f>IF(Таблица13[[#This Row],[Число фаз]]=1,2*O174*(22.5/S174*L174+0.08*SIN(ACOS(L174)))*(U174/1000)*(100/220),SQRT(3)*O174*(22.5/S174*L174+0.08*SIN(ACOS(L174)))*(U174/1000)*(100/380))</f>
        <v>0.46937298717701259</v>
      </c>
      <c r="W17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ШС-1-2Б/M02-12,0-20,2-10</v>
      </c>
      <c r="X174" s="1" t="str">
        <f>TEXT(Таблица13[[#This Row],[Потери]],"0,0") &amp; "-" &amp;Таблица13[[#This Row],[Полная марка кабеля]]</f>
        <v>0,5-ВВГнг(A)-LS-5x4</v>
      </c>
      <c r="Y174" t="s">
        <v>433</v>
      </c>
      <c r="Z17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75" spans="1:26" x14ac:dyDescent="0.25">
      <c r="A175" s="1" t="s">
        <v>36</v>
      </c>
      <c r="B175" s="1">
        <v>174</v>
      </c>
      <c r="C175" s="4">
        <v>3</v>
      </c>
      <c r="D175" s="4" t="str">
        <f>"Acti9 iC60N C"&amp;Таблица13[[#This Row],[Номинал АВ]]&amp; " " &amp; Таблица13[[#This Row],[Число фаз]] &amp; "P"</f>
        <v>Acti9 iC60N C25 3P</v>
      </c>
      <c r="E175" s="1">
        <v>25</v>
      </c>
      <c r="F175" s="13" t="s">
        <v>339</v>
      </c>
      <c r="G175" s="1" t="s">
        <v>181</v>
      </c>
      <c r="H175" s="1" t="s">
        <v>178</v>
      </c>
      <c r="I175" s="1" t="s">
        <v>183</v>
      </c>
      <c r="J175" s="16">
        <v>12.5</v>
      </c>
      <c r="K175" s="1">
        <v>3</v>
      </c>
      <c r="L175" s="15">
        <v>0.9</v>
      </c>
      <c r="M175" s="1">
        <v>1</v>
      </c>
      <c r="N175" s="2">
        <f>Таблица13[[#This Row],[Pуст, кВт]]*Таблица13[[#This Row],[Kи]]</f>
        <v>12.5</v>
      </c>
      <c r="O175" s="2">
        <f>IF(Таблица13[[#This Row],[Число фаз]]=1,J175/220/L175*M175*1000,J175/3/220/L175*M175*1000)</f>
        <v>21.043771043771045</v>
      </c>
      <c r="P175" s="2" t="str">
        <f>Таблица13[[#This Row],[Коды щитков]] &amp; "/M" &amp; TEXT( Таблица13[[#This Row],[Номер АВ]], "00")</f>
        <v>ШС-1-2Б/M03</v>
      </c>
      <c r="Q175" s="1" t="s">
        <v>63</v>
      </c>
      <c r="R175" s="1">
        <v>5</v>
      </c>
      <c r="S175" s="1">
        <v>4</v>
      </c>
      <c r="T175" s="1">
        <f>Таблица13[[#This Row],[Сечение фазного]]</f>
        <v>4</v>
      </c>
      <c r="U175" s="1">
        <v>10</v>
      </c>
      <c r="V175" s="2">
        <f>IF(Таблица13[[#This Row],[Число фаз]]=1,2*O175*(22.5/S175*L175+0.08*SIN(ACOS(L175)))*(U175/1000)*(100/220),SQRT(3)*O175*(22.5/S175*L175+0.08*SIN(ACOS(L175)))*(U175/1000)*(100/380))</f>
        <v>0.48893019497605483</v>
      </c>
      <c r="W17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ШС-1-2Б/M03-12,5-21,0-10</v>
      </c>
      <c r="X175" s="1" t="str">
        <f>TEXT(Таблица13[[#This Row],[Потери]],"0,0") &amp; "-" &amp;Таблица13[[#This Row],[Полная марка кабеля]]</f>
        <v>0,5-ВВГнг(A)-LS-5x4</v>
      </c>
      <c r="Y175" t="s">
        <v>433</v>
      </c>
      <c r="Z17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176" spans="1:26" x14ac:dyDescent="0.25">
      <c r="A176" s="1" t="s">
        <v>36</v>
      </c>
      <c r="B176" s="1">
        <v>175</v>
      </c>
      <c r="C176" s="4">
        <v>4</v>
      </c>
      <c r="D176" s="4" t="str">
        <f>"Acti9 iC60N C"&amp;Таблица13[[#This Row],[Номинал АВ]]&amp; " " &amp; Таблица13[[#This Row],[Число фаз]] &amp; "P"</f>
        <v>Acti9 iC60N C50 3P</v>
      </c>
      <c r="E176" s="1">
        <v>50</v>
      </c>
      <c r="F176" s="13" t="s">
        <v>340</v>
      </c>
      <c r="G176" s="1" t="s">
        <v>182</v>
      </c>
      <c r="H176" s="1" t="s">
        <v>178</v>
      </c>
      <c r="I176" s="1" t="s">
        <v>183</v>
      </c>
      <c r="J176" s="16">
        <v>28.6</v>
      </c>
      <c r="K176" s="1">
        <v>3</v>
      </c>
      <c r="L176" s="15">
        <v>0.9</v>
      </c>
      <c r="M176" s="1">
        <v>1</v>
      </c>
      <c r="N176" s="2">
        <f>Таблица13[[#This Row],[Pуст, кВт]]*Таблица13[[#This Row],[Kи]]</f>
        <v>28.6</v>
      </c>
      <c r="O176" s="2">
        <f>IF(Таблица13[[#This Row],[Число фаз]]=1,J176/220/L176*M176*1000,J176/3/220/L176*M176*1000)</f>
        <v>48.148148148148145</v>
      </c>
      <c r="P176" s="2" t="str">
        <f>Таблица13[[#This Row],[Коды щитков]] &amp; "/M" &amp; TEXT( Таблица13[[#This Row],[Номер АВ]], "00")</f>
        <v>ШС-1-2Б/M04</v>
      </c>
      <c r="Q176" s="1" t="s">
        <v>63</v>
      </c>
      <c r="R176" s="1">
        <v>5</v>
      </c>
      <c r="S176" s="1">
        <v>10</v>
      </c>
      <c r="T176" s="1">
        <f>Таблица13[[#This Row],[Сечение фазного]]</f>
        <v>10</v>
      </c>
      <c r="U176" s="1">
        <v>10</v>
      </c>
      <c r="V176" s="2">
        <f>IF(Таблица13[[#This Row],[Число фаз]]=1,2*O176*(22.5/S176*L176+0.08*SIN(ACOS(L176)))*(U176/1000)*(100/220),SQRT(3)*O176*(22.5/S176*L176+0.08*SIN(ACOS(L176)))*(U176/1000)*(100/380))</f>
        <v>0.45206062661324409</v>
      </c>
      <c r="W17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ШС-1-2Б/M04-28,6-48,1-10</v>
      </c>
      <c r="X176" s="1" t="str">
        <f>TEXT(Таблица13[[#This Row],[Потери]],"0,0") &amp; "-" &amp;Таблица13[[#This Row],[Полная марка кабеля]]</f>
        <v>0,5-ВВГнг(A)-LS-5x10</v>
      </c>
      <c r="Y176" t="s">
        <v>433</v>
      </c>
      <c r="Z17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77" spans="1:26" x14ac:dyDescent="0.25">
      <c r="A177" s="1" t="s">
        <v>38</v>
      </c>
      <c r="B177" s="1">
        <v>176</v>
      </c>
      <c r="C177" s="4">
        <v>3</v>
      </c>
      <c r="D177" s="4" t="str">
        <f>"Acti9 iC60N C"&amp;Таблица13[[#This Row],[Номинал АВ]]&amp; " " &amp; Таблица13[[#This Row],[Число фаз]] &amp; "P"</f>
        <v>Acti9 iC60N C63 3P</v>
      </c>
      <c r="E177" s="1">
        <v>63</v>
      </c>
      <c r="F177" s="13" t="s">
        <v>324</v>
      </c>
      <c r="G177" s="1"/>
      <c r="H177" s="1" t="s">
        <v>97</v>
      </c>
      <c r="I177" s="1" t="s">
        <v>183</v>
      </c>
      <c r="J177" s="16">
        <v>21</v>
      </c>
      <c r="K177" s="1">
        <v>3</v>
      </c>
      <c r="L177" s="15">
        <v>1</v>
      </c>
      <c r="M177" s="1">
        <v>1</v>
      </c>
      <c r="N177" s="2">
        <f>Таблица13[[#This Row],[Pуст, кВт]]*Таблица13[[#This Row],[Kи]]</f>
        <v>21</v>
      </c>
      <c r="O177" s="2">
        <f>IF(Таблица13[[#This Row],[Число фаз]]=1,J177/220/L177*M177*1000,J177/3/220/L177*M177*1000)</f>
        <v>31.818181818181817</v>
      </c>
      <c r="P177" s="2" t="str">
        <f>Таблица13[[#This Row],[Коды щитков]] &amp; "/M" &amp; TEXT( Таблица13[[#This Row],[Номер АВ]], "00")</f>
        <v>ШС-1-2Б/M03</v>
      </c>
      <c r="Q177" s="1" t="s">
        <v>63</v>
      </c>
      <c r="R177" s="1">
        <v>5</v>
      </c>
      <c r="S177" s="1">
        <v>16</v>
      </c>
      <c r="T177" s="1">
        <f>Таблица13[[#This Row],[Сечение фазного]]</f>
        <v>16</v>
      </c>
      <c r="U177" s="1">
        <v>45</v>
      </c>
      <c r="V177" s="2">
        <f>IF(Таблица13[[#This Row],[Число фаз]]=1,2*O177*(22.5/S177*L177+0.08*SIN(ACOS(L177)))*(U177/1000)*(100/220),SQRT(3)*O177*(22.5/S177*L177+0.08*SIN(ACOS(L177)))*(U177/1000)*(100/380))</f>
        <v>0.91775643680056929</v>
      </c>
      <c r="W17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ШС-1-2Б/M03-21,0-31,8-45</v>
      </c>
      <c r="X177" s="1" t="str">
        <f>TEXT(Таблица13[[#This Row],[Потери]],"0,0") &amp; "-" &amp;Таблица13[[#This Row],[Полная марка кабеля]]</f>
        <v>0,9-ВВГнг(A)-LS-5x16</v>
      </c>
      <c r="Y177" t="s">
        <v>433</v>
      </c>
      <c r="Z17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178" spans="1:26" x14ac:dyDescent="0.25">
      <c r="A178" s="1" t="s">
        <v>36</v>
      </c>
      <c r="B178" s="1">
        <v>177</v>
      </c>
      <c r="C178" s="4">
        <v>6</v>
      </c>
      <c r="D178" s="4" t="str">
        <f>"Acti9 DPN N Vigi C" &amp; Таблица13[[#This Row],[Номинал АВ]]&amp; " 1P+N 30 мА"</f>
        <v>Acti9 DPN N Vigi C16 1P+N 30 мА</v>
      </c>
      <c r="E178" s="1">
        <v>16</v>
      </c>
      <c r="F178" s="9"/>
      <c r="G178" s="1"/>
      <c r="H178" s="1" t="s">
        <v>72</v>
      </c>
      <c r="I178" s="1" t="s">
        <v>183</v>
      </c>
      <c r="J178" s="16">
        <v>2</v>
      </c>
      <c r="K178" s="1">
        <v>1</v>
      </c>
      <c r="L178" s="15">
        <v>0.9</v>
      </c>
      <c r="M178" s="1">
        <v>1</v>
      </c>
      <c r="N178" s="2">
        <f>Таблица13[[#This Row],[Pуст, кВт]]*Таблица13[[#This Row],[Kи]]</f>
        <v>2</v>
      </c>
      <c r="O178" s="2">
        <f>IF(Таблица13[[#This Row],[Число фаз]]=1,J178/220/L178*M178*1000,J178/3/220/L178*M178*1000)</f>
        <v>10.1010101010101</v>
      </c>
      <c r="P178" s="2" t="str">
        <f>Таблица13[[#This Row],[Коды щитков]] &amp; "/M" &amp; TEXT( Таблица13[[#This Row],[Номер АВ]], "00")</f>
        <v>ШС-1-2Б/M06</v>
      </c>
      <c r="Q178" s="1" t="s">
        <v>63</v>
      </c>
      <c r="R178" s="1">
        <v>3</v>
      </c>
      <c r="S178" s="1">
        <v>2.5</v>
      </c>
      <c r="T178" s="1">
        <f>Таблица13[[#This Row],[Сечение фазного]]</f>
        <v>2.5</v>
      </c>
      <c r="U178" s="1">
        <v>10</v>
      </c>
      <c r="V178" s="2">
        <f>IF(Таблица13[[#This Row],[Число фаз]]=1,2*O178*(22.5/S178*L178+0.08*SIN(ACOS(L178)))*(U178/1000)*(100/220),SQRT(3)*O178*(22.5/S178*L178+0.08*SIN(ACOS(L178)))*(U178/1000)*(100/380))</f>
        <v>0.74700378251132449</v>
      </c>
      <c r="W17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ШС-1-2Б/M06-2,0-10,1-10</v>
      </c>
      <c r="X178" s="1" t="str">
        <f>TEXT(Таблица13[[#This Row],[Потери]],"0,0") &amp; "-" &amp;Таблица13[[#This Row],[Полная марка кабеля]]</f>
        <v>0,7-ВВГнг(A)-LS-3x2,5</v>
      </c>
      <c r="Y178" t="s">
        <v>433</v>
      </c>
      <c r="Z17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79" spans="1:26" x14ac:dyDescent="0.25">
      <c r="A179" s="1" t="s">
        <v>36</v>
      </c>
      <c r="B179" s="1">
        <v>178</v>
      </c>
      <c r="C179" s="4">
        <v>7</v>
      </c>
      <c r="D179" s="4" t="str">
        <f>"Acti9 iC60N C"&amp;Таблица13[[#This Row],[Номинал АВ]]&amp; " " &amp; Таблица13[[#This Row],[Число фаз]] &amp; "P"</f>
        <v>Acti9 iC60N C10 1P</v>
      </c>
      <c r="E179" s="1">
        <v>10</v>
      </c>
      <c r="F179" s="9"/>
      <c r="G179" s="1"/>
      <c r="H179" s="1" t="s">
        <v>73</v>
      </c>
      <c r="I179" s="1" t="s">
        <v>183</v>
      </c>
      <c r="J179" s="16">
        <f>16*0.033</f>
        <v>0.52800000000000002</v>
      </c>
      <c r="K179" s="1">
        <v>1</v>
      </c>
      <c r="L179" s="15">
        <v>0.96</v>
      </c>
      <c r="M179" s="1">
        <v>1</v>
      </c>
      <c r="N179" s="2">
        <f>Таблица13[[#This Row],[Pуст, кВт]]*Таблица13[[#This Row],[Kи]]</f>
        <v>0.52800000000000002</v>
      </c>
      <c r="O179" s="2">
        <f>IF(Таблица13[[#This Row],[Число фаз]]=1,J179/220/L179*M179*1000,J179/3/220/L179*M179*1000)</f>
        <v>2.5000000000000004</v>
      </c>
      <c r="P179" s="2" t="str">
        <f>Таблица13[[#This Row],[Коды щитков]] &amp; "/M" &amp; TEXT( Таблица13[[#This Row],[Номер АВ]], "00")</f>
        <v>ШС-1-2Б/M07</v>
      </c>
      <c r="Q179" s="1" t="s">
        <v>63</v>
      </c>
      <c r="R179" s="1">
        <v>3</v>
      </c>
      <c r="S179" s="1">
        <v>1.5</v>
      </c>
      <c r="T179" s="1">
        <f>Таблица13[[#This Row],[Сечение фазного]]</f>
        <v>1.5</v>
      </c>
      <c r="U179" s="1">
        <v>70</v>
      </c>
      <c r="V179" s="2">
        <f>IF(Таблица13[[#This Row],[Число фаз]]=1,2*O179*(22.5/S179*L179+0.08*SIN(ACOS(L179)))*(U179/1000)*(100/220),SQRT(3)*O179*(22.5/S179*L179+0.08*SIN(ACOS(L179)))*(U179/1000)*(100/380))</f>
        <v>2.2944727272727277</v>
      </c>
      <c r="W17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ШС-1-2Б/M07-0,5-2,5-70</v>
      </c>
      <c r="X179" s="1" t="str">
        <f>TEXT(Таблица13[[#This Row],[Потери]],"0,0") &amp; "-" &amp;Таблица13[[#This Row],[Полная марка кабеля]]</f>
        <v>2,3-ВВГнг(A)-LS-3x1,5</v>
      </c>
      <c r="Y179" t="s">
        <v>433</v>
      </c>
      <c r="Z17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80" spans="1:26" x14ac:dyDescent="0.25">
      <c r="A180" s="1" t="s">
        <v>37</v>
      </c>
      <c r="B180" s="1">
        <v>179</v>
      </c>
      <c r="C180" s="4">
        <v>0</v>
      </c>
      <c r="D180" s="4"/>
      <c r="E180" s="1"/>
      <c r="F180" s="9" t="s">
        <v>36</v>
      </c>
      <c r="G180" s="1" t="s">
        <v>511</v>
      </c>
      <c r="H180" s="1" t="s">
        <v>263</v>
      </c>
      <c r="I180" s="1" t="s">
        <v>183</v>
      </c>
      <c r="J180" s="2">
        <v>60.628</v>
      </c>
      <c r="K180" s="1">
        <v>3</v>
      </c>
      <c r="L180" s="15">
        <v>0.90049013945044987</v>
      </c>
      <c r="M180" s="1">
        <v>0.65</v>
      </c>
      <c r="N180" s="2">
        <f>Таблица13[[#This Row],[Pуст, кВт]]*Таблица13[[#This Row],[Kи]]</f>
        <v>39.408200000000001</v>
      </c>
      <c r="O180" s="2">
        <f>IF(Таблица13[[#This Row],[Число фаз]]=1,J180/220/L180*M180*1000,J180/3/220/L180*M180*1000)</f>
        <v>66.307659932659931</v>
      </c>
      <c r="P180" s="2" t="str">
        <f>Таблица13[[#This Row],[Коды щитков]] &amp; "/M" &amp; TEXT( Таблица13[[#This Row],[Номер АВ]], "00")</f>
        <v>ШС-1-2А/M00</v>
      </c>
      <c r="Q180" s="1" t="s">
        <v>7</v>
      </c>
      <c r="R180" s="1">
        <v>4</v>
      </c>
      <c r="S180" s="1">
        <v>25</v>
      </c>
      <c r="T180" s="1">
        <f>Таблица13[[#This Row],[Сечение фазного]]</f>
        <v>25</v>
      </c>
      <c r="U180" s="1">
        <v>30</v>
      </c>
      <c r="V180" s="2">
        <f>IF(Таблица13[[#This Row],[Число фаз]]=1,2*O180*(22.5/S180*L180+0.08*SIN(ACOS(L180)))*(U180/1000)*(100/220),SQRT(3)*O180*(22.5/S180*L180+0.08*SIN(ACOS(L180)))*(U180/1000)*(100/380))</f>
        <v>0.76636829094658854</v>
      </c>
      <c r="W18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ШС-1-2А/M00-60,6-66,3-30</v>
      </c>
      <c r="X180" s="1" t="str">
        <f>TEXT(Таблица13[[#This Row],[Потери]],"0,0") &amp; "-" &amp;Таблица13[[#This Row],[Полная марка кабеля]]</f>
        <v>0,8-КГ-4x25</v>
      </c>
      <c r="Y180" t="s">
        <v>434</v>
      </c>
      <c r="Z18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КГ-4x25</v>
      </c>
    </row>
    <row r="181" spans="1:26" x14ac:dyDescent="0.25">
      <c r="A181" s="1" t="s">
        <v>37</v>
      </c>
      <c r="B181" s="1">
        <v>180</v>
      </c>
      <c r="C181" s="4">
        <v>1</v>
      </c>
      <c r="D181" s="4" t="str">
        <f>"Acti9 iC60N C"&amp;Таблица13[[#This Row],[Номинал АВ]]&amp; " " &amp; Таблица13[[#This Row],[Число фаз]] &amp; "P"</f>
        <v>Acti9 iC60N C25 3P</v>
      </c>
      <c r="E181" s="1">
        <v>25</v>
      </c>
      <c r="F181" s="9"/>
      <c r="G181" s="1"/>
      <c r="H181" s="1" t="s">
        <v>498</v>
      </c>
      <c r="I181" s="1"/>
      <c r="K181" s="1">
        <v>3</v>
      </c>
      <c r="N181" s="2">
        <f>Таблица13[[#This Row],[Pуст, кВт]]*Таблица13[[#This Row],[Kи]]</f>
        <v>0</v>
      </c>
      <c r="O181" s="2" t="e">
        <f>IF(Таблица13[[#This Row],[Число фаз]]=1,J181/220/L181*M181*1000,J181/3/220/L181*M181*1000)</f>
        <v>#DIV/0!</v>
      </c>
      <c r="P181" s="2" t="str">
        <f>Таблица13[[#This Row],[Коды щитков]] &amp; "/M" &amp; TEXT( Таблица13[[#This Row],[Номер АВ]], "00")</f>
        <v>/M01</v>
      </c>
      <c r="Q181" s="1"/>
      <c r="R181" s="1"/>
      <c r="S181" s="1"/>
      <c r="T181" s="25">
        <f>Таблица13[[#This Row],[Сечение фазного]]</f>
        <v>0</v>
      </c>
      <c r="U181" s="1"/>
      <c r="V181" s="2" t="e">
        <f>IF(Таблица13[[#This Row],[Число фаз]]=1,2*O181*(22.5/S181*L181+0.08*SIN(ACOS(L181)))*(U181/1000)*(100/220),SQRT(3)*O181*(22.5/S181*L181+0.08*SIN(ACOS(L181)))*(U181/1000)*(100/380))</f>
        <v>#DIV/0!</v>
      </c>
      <c r="W18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81" s="25" t="e">
        <f>TEXT(Таблица13[[#This Row],[Потери]],"0,0") &amp; "-" &amp;Таблица13[[#This Row],[Полная марка кабеля]]</f>
        <v>#DIV/0!</v>
      </c>
      <c r="Y181" s="1"/>
      <c r="Z181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82" spans="1:26" x14ac:dyDescent="0.25">
      <c r="A182" s="1" t="s">
        <v>37</v>
      </c>
      <c r="B182" s="1">
        <v>181</v>
      </c>
      <c r="C182" s="4">
        <v>2</v>
      </c>
      <c r="D182" s="4" t="str">
        <f>"Acti9 iC60N C"&amp;Таблица13[[#This Row],[Номинал АВ]]&amp; " " &amp; Таблица13[[#This Row],[Число фаз]] &amp; "P"</f>
        <v>Acti9 iC60N C25 3P</v>
      </c>
      <c r="E182" s="1">
        <v>25</v>
      </c>
      <c r="F182" s="9"/>
      <c r="G182" s="1"/>
      <c r="H182" s="1" t="s">
        <v>498</v>
      </c>
      <c r="I182" s="1"/>
      <c r="K182" s="1">
        <v>3</v>
      </c>
      <c r="N182" s="2">
        <f>Таблица13[[#This Row],[Pуст, кВт]]*Таблица13[[#This Row],[Kи]]</f>
        <v>0</v>
      </c>
      <c r="O182" s="2" t="e">
        <f>IF(Таблица13[[#This Row],[Число фаз]]=1,J182/220/L182*M182*1000,J182/3/220/L182*M182*1000)</f>
        <v>#DIV/0!</v>
      </c>
      <c r="P182" s="2" t="str">
        <f>Таблица13[[#This Row],[Коды щитков]] &amp; "/M" &amp; TEXT( Таблица13[[#This Row],[Номер АВ]], "00")</f>
        <v>/M02</v>
      </c>
      <c r="Q182" s="1"/>
      <c r="R182" s="1"/>
      <c r="S182" s="1"/>
      <c r="T182" s="25">
        <f>Таблица13[[#This Row],[Сечение фазного]]</f>
        <v>0</v>
      </c>
      <c r="U182" s="1"/>
      <c r="V182" s="2" t="e">
        <f>IF(Таблица13[[#This Row],[Число фаз]]=1,2*O182*(22.5/S182*L182+0.08*SIN(ACOS(L182)))*(U182/1000)*(100/220),SQRT(3)*O182*(22.5/S182*L182+0.08*SIN(ACOS(L182)))*(U182/1000)*(100/380))</f>
        <v>#DIV/0!</v>
      </c>
      <c r="W182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82" s="25" t="e">
        <f>TEXT(Таблица13[[#This Row],[Потери]],"0,0") &amp; "-" &amp;Таблица13[[#This Row],[Полная марка кабеля]]</f>
        <v>#DIV/0!</v>
      </c>
      <c r="Y182" s="1"/>
      <c r="Z182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83" spans="1:26" x14ac:dyDescent="0.25">
      <c r="A183" s="1" t="s">
        <v>37</v>
      </c>
      <c r="B183" s="1">
        <v>182</v>
      </c>
      <c r="C183" s="4">
        <v>3</v>
      </c>
      <c r="D183" s="4" t="str">
        <f>"Acti9 iC60N C"&amp;Таблица13[[#This Row],[Номинал АВ]]&amp; " " &amp; Таблица13[[#This Row],[Число фаз]] &amp; "P"</f>
        <v>Acti9 iC60N C25 3P</v>
      </c>
      <c r="E183" s="1">
        <v>25</v>
      </c>
      <c r="F183" s="9"/>
      <c r="G183" s="1"/>
      <c r="H183" s="1" t="s">
        <v>498</v>
      </c>
      <c r="I183" s="1"/>
      <c r="K183" s="1">
        <v>3</v>
      </c>
      <c r="N183" s="2">
        <f>Таблица13[[#This Row],[Pуст, кВт]]*Таблица13[[#This Row],[Kи]]</f>
        <v>0</v>
      </c>
      <c r="O183" s="2" t="e">
        <f>IF(Таблица13[[#This Row],[Число фаз]]=1,J183/220/L183*M183*1000,J183/3/220/L183*M183*1000)</f>
        <v>#DIV/0!</v>
      </c>
      <c r="P183" s="2" t="str">
        <f>Таблица13[[#This Row],[Коды щитков]] &amp; "/M" &amp; TEXT( Таблица13[[#This Row],[Номер АВ]], "00")</f>
        <v>/M03</v>
      </c>
      <c r="Q183" s="1"/>
      <c r="R183" s="1"/>
      <c r="S183" s="1"/>
      <c r="T183" s="25">
        <f>Таблица13[[#This Row],[Сечение фазного]]</f>
        <v>0</v>
      </c>
      <c r="U183" s="1"/>
      <c r="V183" s="2" t="e">
        <f>IF(Таблица13[[#This Row],[Число фаз]]=1,2*O183*(22.5/S183*L183+0.08*SIN(ACOS(L183)))*(U183/1000)*(100/220),SQRT(3)*O183*(22.5/S183*L183+0.08*SIN(ACOS(L183)))*(U183/1000)*(100/380))</f>
        <v>#DIV/0!</v>
      </c>
      <c r="W18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83" s="25" t="e">
        <f>TEXT(Таблица13[[#This Row],[Потери]],"0,0") &amp; "-" &amp;Таблица13[[#This Row],[Полная марка кабеля]]</f>
        <v>#DIV/0!</v>
      </c>
      <c r="Y183" s="1"/>
      <c r="Z183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84" spans="1:26" x14ac:dyDescent="0.25">
      <c r="A184" s="1" t="s">
        <v>37</v>
      </c>
      <c r="B184" s="1">
        <v>183</v>
      </c>
      <c r="C184" s="4">
        <v>4</v>
      </c>
      <c r="D184" s="4" t="str">
        <f>"Acti9 iC60N C"&amp;Таблица13[[#This Row],[Номинал АВ]]&amp; " " &amp; Таблица13[[#This Row],[Число фаз]] &amp; "P"</f>
        <v>Acti9 iC60N C10 3P</v>
      </c>
      <c r="E184" s="1">
        <v>10</v>
      </c>
      <c r="F184" s="9"/>
      <c r="G184" s="1"/>
      <c r="H184" s="1" t="s">
        <v>498</v>
      </c>
      <c r="I184" s="1"/>
      <c r="K184" s="1">
        <v>3</v>
      </c>
      <c r="N184" s="2">
        <f>Таблица13[[#This Row],[Pуст, кВт]]*Таблица13[[#This Row],[Kи]]</f>
        <v>0</v>
      </c>
      <c r="O184" s="2" t="e">
        <f>IF(Таблица13[[#This Row],[Число фаз]]=1,J184/220/L184*M184*1000,J184/3/220/L184*M184*1000)</f>
        <v>#DIV/0!</v>
      </c>
      <c r="P184" s="2" t="str">
        <f>Таблица13[[#This Row],[Коды щитков]] &amp; "/M" &amp; TEXT( Таблица13[[#This Row],[Номер АВ]], "00")</f>
        <v>/M04</v>
      </c>
      <c r="Q184" s="1"/>
      <c r="R184" s="1"/>
      <c r="S184" s="1"/>
      <c r="T184" s="25">
        <f>Таблица13[[#This Row],[Сечение фазного]]</f>
        <v>0</v>
      </c>
      <c r="U184" s="1"/>
      <c r="V184" s="2" t="e">
        <f>IF(Таблица13[[#This Row],[Число фаз]]=1,2*O184*(22.5/S184*L184+0.08*SIN(ACOS(L184)))*(U184/1000)*(100/220),SQRT(3)*O184*(22.5/S184*L184+0.08*SIN(ACOS(L184)))*(U184/1000)*(100/380))</f>
        <v>#DIV/0!</v>
      </c>
      <c r="W184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84" s="25" t="e">
        <f>TEXT(Таблица13[[#This Row],[Потери]],"0,0") &amp; "-" &amp;Таблица13[[#This Row],[Полная марка кабеля]]</f>
        <v>#DIV/0!</v>
      </c>
      <c r="Y184" s="1"/>
      <c r="Z184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85" spans="1:26" x14ac:dyDescent="0.25">
      <c r="A185" s="1" t="s">
        <v>37</v>
      </c>
      <c r="B185" s="1">
        <v>184</v>
      </c>
      <c r="C185" s="4">
        <v>5</v>
      </c>
      <c r="D185" s="4" t="str">
        <f>"Acti9 DPN N Vigi C" &amp; Таблица13[[#This Row],[Номинал АВ]]&amp; " 1P+N 30 мА"</f>
        <v>Acti9 DPN N Vigi C16 1P+N 30 мА</v>
      </c>
      <c r="E185" s="1">
        <v>16</v>
      </c>
      <c r="F185" s="9"/>
      <c r="G185" s="1"/>
      <c r="H185" s="1" t="s">
        <v>72</v>
      </c>
      <c r="I185" s="1" t="s">
        <v>184</v>
      </c>
      <c r="J185" s="16">
        <v>2</v>
      </c>
      <c r="K185" s="1">
        <v>1</v>
      </c>
      <c r="L185" s="15">
        <v>0.9</v>
      </c>
      <c r="M185" s="1">
        <v>1</v>
      </c>
      <c r="N185" s="2">
        <f>Таблица13[[#This Row],[Pуст, кВт]]*Таблица13[[#This Row],[Kи]]</f>
        <v>2</v>
      </c>
      <c r="O185" s="2">
        <f>IF(Таблица13[[#This Row],[Число фаз]]=1,J185/220/L185*M185*1000,J185/3/220/L185*M185*1000)</f>
        <v>10.1010101010101</v>
      </c>
      <c r="P185" s="2" t="str">
        <f>Таблица13[[#This Row],[Коды щитков]] &amp; "/M" &amp; TEXT( Таблица13[[#This Row],[Номер АВ]], "00")</f>
        <v>ШС-1-2А/M05</v>
      </c>
      <c r="Q185" s="1" t="s">
        <v>63</v>
      </c>
      <c r="R185" s="1">
        <v>3</v>
      </c>
      <c r="S185" s="1">
        <v>2.5</v>
      </c>
      <c r="T185" s="1">
        <f>Таблица13[[#This Row],[Сечение фазного]]</f>
        <v>2.5</v>
      </c>
      <c r="U185" s="1">
        <v>10</v>
      </c>
      <c r="V185" s="2">
        <f>IF(Таблица13[[#This Row],[Число фаз]]=1,2*O185*(22.5/S185*L185+0.08*SIN(ACOS(L185)))*(U185/1000)*(100/220),SQRT(3)*O185*(22.5/S185*L185+0.08*SIN(ACOS(L185)))*(U185/1000)*(100/380))</f>
        <v>0.74700378251132449</v>
      </c>
      <c r="W18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ШС-1-2А/M05-2,0-10,1-10</v>
      </c>
      <c r="X185" s="1" t="str">
        <f>TEXT(Таблица13[[#This Row],[Потери]],"0,0") &amp; "-" &amp;Таблица13[[#This Row],[Полная марка кабеля]]</f>
        <v>0,7-ВВГнг(A)-LS-3x2,5</v>
      </c>
      <c r="Y185" t="s">
        <v>434</v>
      </c>
      <c r="Z18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86" spans="1:26" x14ac:dyDescent="0.25">
      <c r="A186" s="1" t="s">
        <v>37</v>
      </c>
      <c r="B186" s="1">
        <v>185</v>
      </c>
      <c r="C186" s="4">
        <v>6</v>
      </c>
      <c r="D186" s="4" t="str">
        <f>"Acti9 iC60N C"&amp;Таблица13[[#This Row],[Номинал АВ]]&amp; " " &amp; Таблица13[[#This Row],[Число фаз]] &amp; "P"</f>
        <v>Acti9 iC60N C10 1P</v>
      </c>
      <c r="E186" s="1">
        <v>10</v>
      </c>
      <c r="F186" s="9"/>
      <c r="G186" s="1"/>
      <c r="H186" s="1" t="s">
        <v>73</v>
      </c>
      <c r="I186" s="1" t="s">
        <v>184</v>
      </c>
      <c r="J186" s="16">
        <f>16*0.033</f>
        <v>0.52800000000000002</v>
      </c>
      <c r="K186" s="1">
        <v>1</v>
      </c>
      <c r="L186" s="15">
        <v>0.96</v>
      </c>
      <c r="M186" s="1">
        <v>1</v>
      </c>
      <c r="N186" s="2">
        <f>Таблица13[[#This Row],[Pуст, кВт]]*Таблица13[[#This Row],[Kи]]</f>
        <v>0.52800000000000002</v>
      </c>
      <c r="O186" s="2">
        <f>IF(Таблица13[[#This Row],[Число фаз]]=1,J186/220/L186*M186*1000,J186/3/220/L186*M186*1000)</f>
        <v>2.5000000000000004</v>
      </c>
      <c r="P186" s="2" t="str">
        <f>Таблица13[[#This Row],[Коды щитков]] &amp; "/M" &amp; TEXT( Таблица13[[#This Row],[Номер АВ]], "00")</f>
        <v>ШС-1-2А/M06</v>
      </c>
      <c r="Q186" s="1" t="s">
        <v>63</v>
      </c>
      <c r="R186" s="1">
        <v>3</v>
      </c>
      <c r="S186" s="1">
        <v>1.5</v>
      </c>
      <c r="T186" s="1">
        <f>Таблица13[[#This Row],[Сечение фазного]]</f>
        <v>1.5</v>
      </c>
      <c r="U186" s="1">
        <v>70</v>
      </c>
      <c r="V186" s="2">
        <f>IF(Таблица13[[#This Row],[Число фаз]]=1,2*O186*(22.5/S186*L186+0.08*SIN(ACOS(L186)))*(U186/1000)*(100/220),SQRT(3)*O186*(22.5/S186*L186+0.08*SIN(ACOS(L186)))*(U186/1000)*(100/380))</f>
        <v>2.2944727272727277</v>
      </c>
      <c r="W18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ШС-1-2А/M06-0,5-2,5-70</v>
      </c>
      <c r="X186" s="1" t="str">
        <f>TEXT(Таблица13[[#This Row],[Потери]],"0,0") &amp; "-" &amp;Таблица13[[#This Row],[Полная марка кабеля]]</f>
        <v>2,3-ВВГнг(A)-LS-3x1,5</v>
      </c>
      <c r="Y186" t="s">
        <v>434</v>
      </c>
      <c r="Z18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87" spans="1:26" x14ac:dyDescent="0.25">
      <c r="A187" s="1" t="s">
        <v>38</v>
      </c>
      <c r="B187" s="1">
        <v>186</v>
      </c>
      <c r="C187" s="4">
        <v>1</v>
      </c>
      <c r="D187" s="4" t="str">
        <f>"ВА57-35 "&amp; Таблица13[[#This Row],[Число фаз]] &amp; "P " &amp;Таблица13[[#This Row],[Номинал АВ]] &amp; " А"</f>
        <v>ВА57-35 3P 80 А</v>
      </c>
      <c r="E187" s="1">
        <v>80</v>
      </c>
      <c r="F187" s="13" t="s">
        <v>309</v>
      </c>
      <c r="G187" s="1" t="s">
        <v>185</v>
      </c>
      <c r="H187" s="1" t="s">
        <v>94</v>
      </c>
      <c r="I187" s="1" t="s">
        <v>183</v>
      </c>
      <c r="J187" s="16">
        <v>21</v>
      </c>
      <c r="K187" s="1">
        <v>3</v>
      </c>
      <c r="L187" s="15">
        <v>0.8</v>
      </c>
      <c r="M187" s="1">
        <v>1</v>
      </c>
      <c r="N187" s="2">
        <f>Таблица13[[#This Row],[Pуст, кВт]]*Таблица13[[#This Row],[Kи]]</f>
        <v>21</v>
      </c>
      <c r="O187" s="2">
        <f>IF(Таблица13[[#This Row],[Число фаз]]=1,J187/220/L187*M187*1000,J187/3/220/L187*M187*1000)</f>
        <v>39.772727272727266</v>
      </c>
      <c r="P187" s="2" t="str">
        <f>Таблица13[[#This Row],[Коды щитков]] &amp; "/M" &amp; TEXT( Таблица13[[#This Row],[Номер АВ]], "00")</f>
        <v>ШС-1-2/M01</v>
      </c>
      <c r="Q187" s="1" t="s">
        <v>63</v>
      </c>
      <c r="R187" s="1">
        <v>5</v>
      </c>
      <c r="S187" s="1">
        <v>25</v>
      </c>
      <c r="T187" s="1">
        <f>Таблица13[[#This Row],[Сечение фазного]]</f>
        <v>25</v>
      </c>
      <c r="U187" s="1">
        <v>10</v>
      </c>
      <c r="V187" s="2">
        <f>IF(Таблица13[[#This Row],[Число фаз]]=1,2*O187*(22.5/S187*L187+0.08*SIN(ACOS(L187)))*(U187/1000)*(100/220),SQRT(3)*O187*(22.5/S187*L187+0.08*SIN(ACOS(L187)))*(U187/1000)*(100/380))</f>
        <v>0.13922705056056045</v>
      </c>
      <c r="W18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ШС-1-2/M01-21,0-39,8-10</v>
      </c>
      <c r="X187" s="1" t="str">
        <f>TEXT(Таблица13[[#This Row],[Потери]],"0,0") &amp; "-" &amp;Таблица13[[#This Row],[Полная марка кабеля]]</f>
        <v>0,1-ВВГнг(A)-LS-5x25</v>
      </c>
      <c r="Y187" t="s">
        <v>435</v>
      </c>
      <c r="Z18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188" spans="1:26" x14ac:dyDescent="0.25">
      <c r="A188" s="1" t="s">
        <v>38</v>
      </c>
      <c r="B188" s="1">
        <v>187</v>
      </c>
      <c r="C188" s="4">
        <v>2</v>
      </c>
      <c r="D188" s="4" t="str">
        <f>"ВА57-35 "&amp; Таблица13[[#This Row],[Число фаз]] &amp; "P " &amp;Таблица13[[#This Row],[Номинал АВ]] &amp; " А"</f>
        <v>ВА57-35 3P 80 А</v>
      </c>
      <c r="E188" s="1">
        <v>80</v>
      </c>
      <c r="F188" s="9" t="s">
        <v>37</v>
      </c>
      <c r="G188" s="1" t="s">
        <v>511</v>
      </c>
      <c r="H188" s="1" t="s">
        <v>263</v>
      </c>
      <c r="I188" s="1" t="s">
        <v>184</v>
      </c>
      <c r="J188" s="2">
        <v>63.155999999999999</v>
      </c>
      <c r="K188" s="1">
        <v>3</v>
      </c>
      <c r="L188" s="15">
        <v>0.90094151212553497</v>
      </c>
      <c r="M188" s="1">
        <v>0.8</v>
      </c>
      <c r="N188" s="2">
        <f>Таблица13[[#This Row],[Pуст, кВт]]*Таблица13[[#This Row],[Kи]]</f>
        <v>50.524799999999999</v>
      </c>
      <c r="O188" s="2">
        <f>IF(Таблица13[[#This Row],[Число фаз]]=1,J188/220/L188*M188*1000,J188/3/220/L188*M188*1000)</f>
        <v>84.969696969696969</v>
      </c>
      <c r="P188" s="2" t="str">
        <f>Таблица13[[#This Row],[Коды щитков]] &amp; "/M" &amp; TEXT( Таблица13[[#This Row],[Номер АВ]], "00")</f>
        <v>ШС-1-2/M02</v>
      </c>
      <c r="Q188" s="1" t="s">
        <v>7</v>
      </c>
      <c r="R188" s="1">
        <v>4</v>
      </c>
      <c r="S188" s="1">
        <v>25</v>
      </c>
      <c r="T188" s="1">
        <f>Таблица13[[#This Row],[Сечение фазного]]</f>
        <v>25</v>
      </c>
      <c r="U188" s="1">
        <v>10</v>
      </c>
      <c r="V188" s="2">
        <f>IF(Таблица13[[#This Row],[Число фаз]]=1,2*O188*(22.5/S188*L188+0.08*SIN(ACOS(L188)))*(U188/1000)*(100/220),SQRT(3)*O188*(22.5/S188*L188+0.08*SIN(ACOS(L188)))*(U188/1000)*(100/380))</f>
        <v>0.32748157296495262</v>
      </c>
      <c r="W18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ШС-1-2/M02-63,2-85,0-10</v>
      </c>
      <c r="X188" s="1" t="str">
        <f>TEXT(Таблица13[[#This Row],[Потери]],"0,0") &amp; "-" &amp;Таблица13[[#This Row],[Полная марка кабеля]]</f>
        <v>0,3-КГ-4x25</v>
      </c>
      <c r="Y188" t="s">
        <v>435</v>
      </c>
      <c r="Z18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КГ-4x25</v>
      </c>
    </row>
    <row r="189" spans="1:26" x14ac:dyDescent="0.25">
      <c r="A189" s="1" t="s">
        <v>39</v>
      </c>
      <c r="B189" s="1">
        <v>188</v>
      </c>
      <c r="C189" s="4">
        <v>1</v>
      </c>
      <c r="D189" s="4" t="str">
        <f>"Acti9 iC60N C"&amp;Таблица13[[#This Row],[Номинал АВ]]&amp; " " &amp; Таблица13[[#This Row],[Число фаз]] &amp; "P"</f>
        <v>Acti9 iC60N C50 3P</v>
      </c>
      <c r="E189" s="1">
        <v>50</v>
      </c>
      <c r="F189" s="13" t="s">
        <v>313</v>
      </c>
      <c r="G189" s="1"/>
      <c r="H189" s="1" t="s">
        <v>97</v>
      </c>
      <c r="I189" s="1" t="s">
        <v>132</v>
      </c>
      <c r="J189" s="16">
        <v>27</v>
      </c>
      <c r="K189" s="1">
        <v>3</v>
      </c>
      <c r="L189" s="15">
        <v>1</v>
      </c>
      <c r="M189" s="1">
        <v>1</v>
      </c>
      <c r="N189" s="2">
        <f>Таблица13[[#This Row],[Pуст, кВт]]*Таблица13[[#This Row],[Kи]]</f>
        <v>27</v>
      </c>
      <c r="O189" s="2">
        <f>IF(Таблица13[[#This Row],[Число фаз]]=1,J189/220/L189*M189*1000,J189/3/220/L189*M189*1000)</f>
        <v>40.909090909090907</v>
      </c>
      <c r="P189" s="2" t="str">
        <f>Таблица13[[#This Row],[Коды щитков]] &amp; "/M" &amp; TEXT( Таблица13[[#This Row],[Номер АВ]], "00")</f>
        <v>ШС-1-1А/M01</v>
      </c>
      <c r="Q189" s="1" t="s">
        <v>63</v>
      </c>
      <c r="R189" s="1">
        <v>5</v>
      </c>
      <c r="S189" s="1">
        <v>10</v>
      </c>
      <c r="T189" s="1">
        <f>Таблица13[[#This Row],[Сечение фазного]]</f>
        <v>10</v>
      </c>
      <c r="U189" s="1">
        <v>10</v>
      </c>
      <c r="V189" s="2">
        <f>IF(Таблица13[[#This Row],[Число фаз]]=1,2*O189*(22.5/S189*L189+0.08*SIN(ACOS(L189)))*(U189/1000)*(100/220),SQRT(3)*O189*(22.5/S189*L189+0.08*SIN(ACOS(L189)))*(U189/1000)*(100/380))</f>
        <v>0.41954579968026029</v>
      </c>
      <c r="W18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ШС-1-1А/M01-27,0-40,9-10</v>
      </c>
      <c r="X189" s="1" t="str">
        <f>TEXT(Таблица13[[#This Row],[Потери]],"0,0") &amp; "-" &amp;Таблица13[[#This Row],[Полная марка кабеля]]</f>
        <v>0,4-ВВГнг(A)-LS-5x10</v>
      </c>
      <c r="Y189" t="s">
        <v>436</v>
      </c>
      <c r="Z18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190" spans="1:26" x14ac:dyDescent="0.25">
      <c r="A190" s="1" t="s">
        <v>39</v>
      </c>
      <c r="B190" s="1">
        <v>189</v>
      </c>
      <c r="C190" s="4">
        <v>2</v>
      </c>
      <c r="D190" s="4" t="str">
        <f>"Acti9 iC60N C"&amp;Таблица13[[#This Row],[Номинал АВ]]&amp; " " &amp; Таблица13[[#This Row],[Число фаз]] &amp; "P"</f>
        <v>Acti9 iC60N C10 1P</v>
      </c>
      <c r="E190" s="1">
        <v>10</v>
      </c>
      <c r="F190" s="9"/>
      <c r="G190" s="1"/>
      <c r="H190" s="1" t="s">
        <v>73</v>
      </c>
      <c r="I190" s="1" t="s">
        <v>132</v>
      </c>
      <c r="J190" s="16">
        <f>16*0.033</f>
        <v>0.52800000000000002</v>
      </c>
      <c r="K190" s="1">
        <v>1</v>
      </c>
      <c r="L190" s="15">
        <v>0.96</v>
      </c>
      <c r="M190" s="1">
        <v>1</v>
      </c>
      <c r="N190" s="2">
        <f>Таблица13[[#This Row],[Pуст, кВт]]*Таблица13[[#This Row],[Kи]]</f>
        <v>0.52800000000000002</v>
      </c>
      <c r="O190" s="2">
        <f>IF(Таблица13[[#This Row],[Число фаз]]=1,J190/220/L190*M190*1000,J190/3/220/L190*M190*1000)</f>
        <v>2.5000000000000004</v>
      </c>
      <c r="P190" s="2" t="str">
        <f>Таблица13[[#This Row],[Коды щитков]] &amp; "/M" &amp; TEXT( Таблица13[[#This Row],[Номер АВ]], "00")</f>
        <v>ШС-1-1А/M02</v>
      </c>
      <c r="Q190" s="1" t="s">
        <v>63</v>
      </c>
      <c r="R190" s="1">
        <v>3</v>
      </c>
      <c r="S190" s="1">
        <v>1.5</v>
      </c>
      <c r="T190" s="1">
        <f>Таблица13[[#This Row],[Сечение фазного]]</f>
        <v>1.5</v>
      </c>
      <c r="U190" s="1">
        <v>70</v>
      </c>
      <c r="V190" s="2">
        <f>IF(Таблица13[[#This Row],[Число фаз]]=1,2*O190*(22.5/S190*L190+0.08*SIN(ACOS(L190)))*(U190/1000)*(100/220),SQRT(3)*O190*(22.5/S190*L190+0.08*SIN(ACOS(L190)))*(U190/1000)*(100/380))</f>
        <v>2.2944727272727277</v>
      </c>
      <c r="W19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ШС-1-1А/M02-0,5-2,5-70</v>
      </c>
      <c r="X190" s="1" t="str">
        <f>TEXT(Таблица13[[#This Row],[Потери]],"0,0") &amp; "-" &amp;Таблица13[[#This Row],[Полная марка кабеля]]</f>
        <v>2,3-ВВГнг(A)-LS-3x1,5</v>
      </c>
      <c r="Y190" t="s">
        <v>436</v>
      </c>
      <c r="Z19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191" spans="1:26" x14ac:dyDescent="0.25">
      <c r="A191" s="1" t="s">
        <v>39</v>
      </c>
      <c r="B191" s="1">
        <v>190</v>
      </c>
      <c r="C191" s="4">
        <v>3</v>
      </c>
      <c r="D191" s="4" t="str">
        <f>"Acti9 DPN N Vigi C" &amp; Таблица13[[#This Row],[Номинал АВ]]&amp; " 1P+N 30 мА"</f>
        <v>Acti9 DPN N Vigi C16 1P+N 30 мА</v>
      </c>
      <c r="E191" s="1">
        <v>16</v>
      </c>
      <c r="F191" s="9"/>
      <c r="G191" s="1"/>
      <c r="H191" s="1" t="s">
        <v>72</v>
      </c>
      <c r="I191" s="1" t="s">
        <v>132</v>
      </c>
      <c r="J191" s="16">
        <v>2</v>
      </c>
      <c r="K191" s="1">
        <v>1</v>
      </c>
      <c r="L191" s="15">
        <v>0.9</v>
      </c>
      <c r="M191" s="1">
        <v>1</v>
      </c>
      <c r="N191" s="2">
        <f>Таблица13[[#This Row],[Pуст, кВт]]*Таблица13[[#This Row],[Kи]]</f>
        <v>2</v>
      </c>
      <c r="O191" s="2">
        <f>IF(Таблица13[[#This Row],[Число фаз]]=1,J191/220/L191*M191*1000,J191/3/220/L191*M191*1000)</f>
        <v>10.1010101010101</v>
      </c>
      <c r="P191" s="2" t="str">
        <f>Таблица13[[#This Row],[Коды щитков]] &amp; "/M" &amp; TEXT( Таблица13[[#This Row],[Номер АВ]], "00")</f>
        <v>ШС-1-1А/M03</v>
      </c>
      <c r="Q191" s="1" t="s">
        <v>63</v>
      </c>
      <c r="R191" s="1">
        <v>3</v>
      </c>
      <c r="S191" s="1">
        <v>2.5</v>
      </c>
      <c r="T191" s="1">
        <f>Таблица13[[#This Row],[Сечение фазного]]</f>
        <v>2.5</v>
      </c>
      <c r="U191" s="1">
        <v>10</v>
      </c>
      <c r="V191" s="2">
        <f>IF(Таблица13[[#This Row],[Число фаз]]=1,2*O191*(22.5/S191*L191+0.08*SIN(ACOS(L191)))*(U191/1000)*(100/220),SQRT(3)*O191*(22.5/S191*L191+0.08*SIN(ACOS(L191)))*(U191/1000)*(100/380))</f>
        <v>0.74700378251132449</v>
      </c>
      <c r="W19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ШС-1-1А/M03-2,0-10,1-10</v>
      </c>
      <c r="X191" s="1" t="str">
        <f>TEXT(Таблица13[[#This Row],[Потери]],"0,0") &amp; "-" &amp;Таблица13[[#This Row],[Полная марка кабеля]]</f>
        <v>0,7-ВВГнг(A)-LS-3x2,5</v>
      </c>
      <c r="Y191" t="s">
        <v>436</v>
      </c>
      <c r="Z19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192" spans="1:26" x14ac:dyDescent="0.25">
      <c r="A192" s="1" t="s">
        <v>40</v>
      </c>
      <c r="B192" s="1">
        <v>191</v>
      </c>
      <c r="C192" s="4">
        <v>1</v>
      </c>
      <c r="D192" s="4" t="str">
        <f>"Acti9 iC60N C"&amp;Таблица13[[#This Row],[Номинал АВ]]&amp; " " &amp; Таблица13[[#This Row],[Число фаз]] &amp; "P"</f>
        <v>Acti9 iC60N C63 3P</v>
      </c>
      <c r="E192" s="1">
        <v>63</v>
      </c>
      <c r="F192" s="13" t="s">
        <v>281</v>
      </c>
      <c r="G192" s="1" t="s">
        <v>99</v>
      </c>
      <c r="H192" s="1" t="s">
        <v>94</v>
      </c>
      <c r="I192" s="1" t="s">
        <v>132</v>
      </c>
      <c r="J192" s="16">
        <v>27</v>
      </c>
      <c r="K192" s="1">
        <v>3</v>
      </c>
      <c r="L192" s="15">
        <v>0.8</v>
      </c>
      <c r="M192" s="1">
        <v>1</v>
      </c>
      <c r="N192" s="2">
        <f>Таблица13[[#This Row],[Pуст, кВт]]*Таблица13[[#This Row],[Kи]]</f>
        <v>27</v>
      </c>
      <c r="O192" s="2">
        <f>IF(Таблица13[[#This Row],[Число фаз]]=1,J192/220/L192*M192*1000,J192/3/220/L192*M192*1000)</f>
        <v>51.136363636363633</v>
      </c>
      <c r="P192" s="2" t="str">
        <f>Таблица13[[#This Row],[Коды щитков]] &amp; "/M" &amp; TEXT( Таблица13[[#This Row],[Номер АВ]], "00")</f>
        <v>ШС-1-1/M01</v>
      </c>
      <c r="Q192" s="1" t="s">
        <v>63</v>
      </c>
      <c r="R192" s="1">
        <v>5</v>
      </c>
      <c r="S192" s="1">
        <v>16</v>
      </c>
      <c r="T192" s="1">
        <f>Таблица13[[#This Row],[Сечение фазного]]</f>
        <v>16</v>
      </c>
      <c r="U192" s="1">
        <v>10</v>
      </c>
      <c r="V192" s="2">
        <f>IF(Таблица13[[#This Row],[Число фаз]]=1,2*O192*(22.5/S192*L192+0.08*SIN(ACOS(L192)))*(U192/1000)*(100/220),SQRT(3)*O192*(22.5/S192*L192+0.08*SIN(ACOS(L192)))*(U192/1000)*(100/380))</f>
        <v>0.27340401279163629</v>
      </c>
      <c r="W19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ШС-1-1/M01-27,0-51,1-10</v>
      </c>
      <c r="X192" s="1" t="str">
        <f>TEXT(Таблица13[[#This Row],[Потери]],"0,0") &amp; "-" &amp;Таблица13[[#This Row],[Полная марка кабеля]]</f>
        <v>0,3-ВВГнг(A)-LS-5x16</v>
      </c>
      <c r="Y192" t="s">
        <v>437</v>
      </c>
      <c r="Z19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193" spans="1:26" x14ac:dyDescent="0.25">
      <c r="A193" s="1" t="s">
        <v>40</v>
      </c>
      <c r="B193" s="1">
        <v>192</v>
      </c>
      <c r="C193" s="4">
        <v>2</v>
      </c>
      <c r="D193" s="4" t="str">
        <f>"Acti9 iC60N C"&amp;Таблица13[[#This Row],[Номинал АВ]]&amp; " " &amp; Таблица13[[#This Row],[Число фаз]] &amp; "P"</f>
        <v>Acti9 iC60N C50 3P</v>
      </c>
      <c r="E193" s="1">
        <v>50</v>
      </c>
      <c r="F193" s="9" t="s">
        <v>39</v>
      </c>
      <c r="G193" s="1" t="s">
        <v>511</v>
      </c>
      <c r="H193" s="1" t="s">
        <v>263</v>
      </c>
      <c r="I193" s="1" t="s">
        <v>132</v>
      </c>
      <c r="J193" s="2">
        <v>29.527999999999999</v>
      </c>
      <c r="K193" s="1">
        <v>3</v>
      </c>
      <c r="L193" s="15">
        <v>0.99179697704795666</v>
      </c>
      <c r="M193" s="1">
        <v>1</v>
      </c>
      <c r="N193" s="2">
        <f>Таблица13[[#This Row],[Pуст, кВт]]*Таблица13[[#This Row],[Kи]]</f>
        <v>29.527999999999999</v>
      </c>
      <c r="O193" s="2">
        <f>IF(Таблица13[[#This Row],[Число фаз]]=1,J193/220/L193*M193*1000,J193/3/220/L193*M193*1000)</f>
        <v>45.109427609427613</v>
      </c>
      <c r="P193" s="2" t="str">
        <f>Таблица13[[#This Row],[Коды щитков]] &amp; "/M" &amp; TEXT( Таблица13[[#This Row],[Номер АВ]], "00")</f>
        <v>ШС-1-1/M02</v>
      </c>
      <c r="Q193" s="1" t="s">
        <v>7</v>
      </c>
      <c r="R193" s="1">
        <v>4</v>
      </c>
      <c r="S193" s="1">
        <v>16</v>
      </c>
      <c r="T193" s="1">
        <f>Таблица13[[#This Row],[Сечение фазного]]</f>
        <v>16</v>
      </c>
      <c r="U193" s="1">
        <v>20</v>
      </c>
      <c r="V193" s="2">
        <f>IF(Таблица13[[#This Row],[Число фаз]]=1,2*O193*(22.5/S193*L193+0.08*SIN(ACOS(L193)))*(U193/1000)*(100/220),SQRT(3)*O193*(22.5/S193*L193+0.08*SIN(ACOS(L193)))*(U193/1000)*(100/380))</f>
        <v>0.57773972268538876</v>
      </c>
      <c r="W19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ШС-1-1/M02-29,5-45,1-20</v>
      </c>
      <c r="X193" s="1" t="str">
        <f>TEXT(Таблица13[[#This Row],[Потери]],"0,0") &amp; "-" &amp;Таблица13[[#This Row],[Полная марка кабеля]]</f>
        <v>0,6-КГ-4x16</v>
      </c>
      <c r="Y193" t="s">
        <v>437</v>
      </c>
      <c r="Z19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194" spans="1:26" x14ac:dyDescent="0.25">
      <c r="A194" s="1" t="s">
        <v>41</v>
      </c>
      <c r="B194" s="1">
        <v>193</v>
      </c>
      <c r="C194" s="4">
        <v>0</v>
      </c>
      <c r="D194" s="4" t="str">
        <f>"ВА57-39 "&amp; Таблица13[[#This Row],[Число фаз]] &amp; "P " &amp;Таблица13[[#This Row],[Номинал АВ]] &amp; " А"</f>
        <v>ВА57-39 3P 500 А</v>
      </c>
      <c r="E194" s="1">
        <v>500</v>
      </c>
      <c r="F194" s="9"/>
      <c r="G194" s="1"/>
      <c r="H194" s="1"/>
      <c r="I194" s="1"/>
      <c r="K194" s="1">
        <v>3</v>
      </c>
      <c r="N194" s="2">
        <f>Таблица13[[#This Row],[Pуст, кВт]]*Таблица13[[#This Row],[Kи]]</f>
        <v>0</v>
      </c>
      <c r="O194" s="2" t="e">
        <f>IF(Таблица13[[#This Row],[Число фаз]]=1,J194/220/L194*M194*1000,J194/3/220/L194*M194*1000)</f>
        <v>#DIV/0!</v>
      </c>
      <c r="P194" s="2" t="str">
        <f>Таблица13[[#This Row],[Коды щитков]] &amp; "/M" &amp; TEXT( Таблица13[[#This Row],[Номер АВ]], "00")</f>
        <v>/M00</v>
      </c>
      <c r="Q194" s="1"/>
      <c r="R194" s="1"/>
      <c r="S194" s="1"/>
      <c r="T194" s="25">
        <f>Таблица13[[#This Row],[Сечение фазного]]</f>
        <v>0</v>
      </c>
      <c r="U194" s="1"/>
      <c r="V194" s="2" t="e">
        <f>IF(Таблица13[[#This Row],[Число фаз]]=1,2*O194*(22.5/S194*L194+0.08*SIN(ACOS(L194)))*(U194/1000)*(100/220),SQRT(3)*O194*(22.5/S194*L194+0.08*SIN(ACOS(L194)))*(U194/1000)*(100/380))</f>
        <v>#DIV/0!</v>
      </c>
      <c r="W194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194" s="25" t="e">
        <f>TEXT(Таблица13[[#This Row],[Потери]],"0,0") &amp; "-" &amp;Таблица13[[#This Row],[Полная марка кабеля]]</f>
        <v>#DIV/0!</v>
      </c>
      <c r="Y194" s="1"/>
      <c r="Z194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195" spans="1:26" x14ac:dyDescent="0.25">
      <c r="A195" s="1" t="s">
        <v>41</v>
      </c>
      <c r="B195" s="1">
        <v>194</v>
      </c>
      <c r="C195" s="4">
        <v>1</v>
      </c>
      <c r="D195" s="4" t="str">
        <f>"ВА57-35 "&amp; Таблица13[[#This Row],[Число фаз]] &amp; "P " &amp;Таблица13[[#This Row],[Номинал АВ]] &amp; " А"</f>
        <v>ВА57-35 3P 100 А</v>
      </c>
      <c r="E195" s="1">
        <v>100</v>
      </c>
      <c r="F195" s="9" t="s">
        <v>40</v>
      </c>
      <c r="G195" s="1" t="s">
        <v>512</v>
      </c>
      <c r="H195" s="1" t="s">
        <v>263</v>
      </c>
      <c r="I195" s="1" t="s">
        <v>480</v>
      </c>
      <c r="J195" s="2">
        <v>29.527999999999999</v>
      </c>
      <c r="K195" s="1">
        <v>3</v>
      </c>
      <c r="L195" s="15">
        <v>0.80849406753878905</v>
      </c>
      <c r="M195" s="1">
        <v>1</v>
      </c>
      <c r="N195" s="2">
        <f>Таблица13[[#This Row],[Pуст, кВт]]*Таблица13[[#This Row],[Kи]]</f>
        <v>29.527999999999999</v>
      </c>
      <c r="O195" s="2">
        <f>IF(Таблица13[[#This Row],[Число фаз]]=1,J195/220/L195*M195*1000,J195/3/220/L195*M195*1000)</f>
        <v>55.336700336700346</v>
      </c>
      <c r="P195" s="2" t="str">
        <f>Таблица13[[#This Row],[Коды щитков]] &amp; "/M" &amp; TEXT( Таблица13[[#This Row],[Номер АВ]], "00")</f>
        <v>ВРУ-В1/M01</v>
      </c>
      <c r="Q195" s="1" t="s">
        <v>7</v>
      </c>
      <c r="R195" s="1">
        <v>4</v>
      </c>
      <c r="S195" s="1">
        <v>50</v>
      </c>
      <c r="T195" s="1">
        <v>16</v>
      </c>
      <c r="U195" s="1">
        <v>25</v>
      </c>
      <c r="V195" s="2">
        <f>IF(Таблица13[[#This Row],[Число фаз]]=1,2*O195*(22.5/S195*L195+0.08*SIN(ACOS(L195)))*(U195/1000)*(100/220),SQRT(3)*O195*(22.5/S195*L195+0.08*SIN(ACOS(L195)))*(U195/1000)*(100/380))</f>
        <v>0.25910110712054135</v>
      </c>
      <c r="W19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ВРУ-В1/M01-29,5-55,3-25</v>
      </c>
      <c r="X195" s="1" t="str">
        <f>TEXT(Таблица13[[#This Row],[Потери]],"0,0") &amp; "-" &amp;Таблица13[[#This Row],[Полная марка кабеля]]</f>
        <v>0,3-КГ-3x50+1x16</v>
      </c>
      <c r="Y195" t="s">
        <v>490</v>
      </c>
      <c r="Z19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КГ-3x50+1x16</v>
      </c>
    </row>
    <row r="196" spans="1:26" x14ac:dyDescent="0.25">
      <c r="A196" s="1" t="s">
        <v>41</v>
      </c>
      <c r="B196" s="1">
        <v>195</v>
      </c>
      <c r="C196" s="4">
        <v>2</v>
      </c>
      <c r="D196" s="4" t="str">
        <f>"ВА57-35 "&amp; Таблица13[[#This Row],[Число фаз]] &amp; "P " &amp;Таблица13[[#This Row],[Номинал АВ]] &amp; " А"</f>
        <v>ВА57-35 3P 160 А</v>
      </c>
      <c r="E196" s="1">
        <v>160</v>
      </c>
      <c r="F196" s="9" t="s">
        <v>38</v>
      </c>
      <c r="G196" s="1" t="s">
        <v>512</v>
      </c>
      <c r="H196" s="1" t="s">
        <v>263</v>
      </c>
      <c r="I196" s="1" t="s">
        <v>481</v>
      </c>
      <c r="J196" s="2">
        <v>84.156000000000006</v>
      </c>
      <c r="K196" s="1">
        <v>3</v>
      </c>
      <c r="L196" s="15">
        <v>0.87344058121432289</v>
      </c>
      <c r="M196" s="1">
        <v>0.8</v>
      </c>
      <c r="N196" s="2">
        <f>Таблица13[[#This Row],[Pуст, кВт]]*Таблица13[[#This Row],[Kи]]</f>
        <v>67.32480000000001</v>
      </c>
      <c r="O196" s="2">
        <f>IF(Таблица13[[#This Row],[Число фаз]]=1,J196/220/L196*M196*1000,J196/3/220/L196*M196*1000)</f>
        <v>116.7878787878788</v>
      </c>
      <c r="P196" s="2" t="str">
        <f>Таблица13[[#This Row],[Коды щитков]] &amp; "/M" &amp; TEXT( Таблица13[[#This Row],[Номер АВ]], "00")</f>
        <v>ВРУ-В1/M02</v>
      </c>
      <c r="Q196" s="1" t="s">
        <v>7</v>
      </c>
      <c r="R196" s="1">
        <v>4</v>
      </c>
      <c r="S196" s="1">
        <v>50</v>
      </c>
      <c r="T196" s="1">
        <v>16</v>
      </c>
      <c r="U196" s="1">
        <v>20</v>
      </c>
      <c r="V196" s="2">
        <f>IF(Таблица13[[#This Row],[Число фаз]]=1,2*O196*(22.5/S196*L196+0.08*SIN(ACOS(L196)))*(U196/1000)*(100/220),SQRT(3)*O196*(22.5/S196*L196+0.08*SIN(ACOS(L196)))*(U196/1000)*(100/380))</f>
        <v>0.45992951385016984</v>
      </c>
      <c r="W19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ВРУ-В1/M02-84,2-116,8-20</v>
      </c>
      <c r="X196" s="1" t="str">
        <f>TEXT(Таблица13[[#This Row],[Потери]],"0,0") &amp; "-" &amp;Таблица13[[#This Row],[Полная марка кабеля]]</f>
        <v>0,5-КГ-3x50+1x16</v>
      </c>
      <c r="Y196" t="s">
        <v>490</v>
      </c>
      <c r="Z19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КГ-3x50+1x16</v>
      </c>
    </row>
    <row r="197" spans="1:26" x14ac:dyDescent="0.25">
      <c r="A197" s="1" t="s">
        <v>41</v>
      </c>
      <c r="B197" s="1">
        <v>196</v>
      </c>
      <c r="C197" s="4">
        <v>3</v>
      </c>
      <c r="D197" s="4" t="str">
        <f>"ВА57-35 "&amp; Таблица13[[#This Row],[Число фаз]] &amp; "P " &amp;Таблица13[[#This Row],[Номинал АВ]] &amp; " А"</f>
        <v>ВА57-35 3P 160 А</v>
      </c>
      <c r="E197" s="1">
        <v>160</v>
      </c>
      <c r="F197" s="13" t="s">
        <v>327</v>
      </c>
      <c r="G197" s="1" t="s">
        <v>186</v>
      </c>
      <c r="H197" s="1" t="s">
        <v>407</v>
      </c>
      <c r="I197" s="1" t="s">
        <v>112</v>
      </c>
      <c r="J197" s="16">
        <v>60</v>
      </c>
      <c r="K197" s="1">
        <v>3</v>
      </c>
      <c r="L197" s="15">
        <v>1</v>
      </c>
      <c r="M197" s="1">
        <v>1</v>
      </c>
      <c r="N197" s="2">
        <f>Таблица13[[#This Row],[Pуст, кВт]]*Таблица13[[#This Row],[Kи]]</f>
        <v>60</v>
      </c>
      <c r="O197" s="2">
        <f>IF(Таблица13[[#This Row],[Число фаз]]=1,J197/220/L197*M197*1000,J197/3/220/L197*M197*1000)</f>
        <v>90.909090909090907</v>
      </c>
      <c r="P197" s="2" t="str">
        <f>Таблица13[[#This Row],[Коды щитков]] &amp; "/M" &amp; TEXT( Таблица13[[#This Row],[Номер АВ]], "00")</f>
        <v>ВРУ-В1/M03</v>
      </c>
      <c r="Q197" s="1" t="s">
        <v>7</v>
      </c>
      <c r="R197" s="1">
        <v>4</v>
      </c>
      <c r="S197" s="1">
        <v>70</v>
      </c>
      <c r="T197" s="1">
        <v>25</v>
      </c>
      <c r="U197" s="1">
        <v>80</v>
      </c>
      <c r="V197" s="2">
        <f>IF(Таблица13[[#This Row],[Число фаз]]=1,2*O197*(22.5/S197*L197+0.08*SIN(ACOS(L197)))*(U197/1000)*(100/220),SQRT(3)*O197*(22.5/S197*L197+0.08*SIN(ACOS(L197)))*(U197/1000)*(100/380))</f>
        <v>1.0655131420451056</v>
      </c>
      <c r="W19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ВРУ-В1/M03-60,0-90,9-80</v>
      </c>
      <c r="X197" s="1" t="str">
        <f>TEXT(Таблица13[[#This Row],[Потери]],"0,0") &amp; "-" &amp;Таблица13[[#This Row],[Полная марка кабеля]]</f>
        <v>1,1-КГ-3x70+1x25</v>
      </c>
      <c r="Y197" t="s">
        <v>490</v>
      </c>
      <c r="Z19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КГ-3x70+1x25</v>
      </c>
    </row>
    <row r="198" spans="1:26" x14ac:dyDescent="0.25">
      <c r="A198" s="1" t="s">
        <v>41</v>
      </c>
      <c r="B198" s="1">
        <v>197</v>
      </c>
      <c r="C198" s="4">
        <v>4</v>
      </c>
      <c r="D198" s="4" t="str">
        <f>"ВА57-35 "&amp; Таблица13[[#This Row],[Число фаз]] &amp; "P " &amp;Таблица13[[#This Row],[Номинал АВ]] &amp; " А"</f>
        <v>ВА57-35 3P 160 А</v>
      </c>
      <c r="E198" s="1">
        <v>160</v>
      </c>
      <c r="F198" s="9" t="s">
        <v>35</v>
      </c>
      <c r="G198" s="1" t="s">
        <v>512</v>
      </c>
      <c r="H198" s="1" t="s">
        <v>263</v>
      </c>
      <c r="I198" s="1" t="s">
        <v>187</v>
      </c>
      <c r="J198" s="2">
        <v>101.4</v>
      </c>
      <c r="K198" s="1">
        <v>3</v>
      </c>
      <c r="L198" s="15">
        <v>0.80400858983536139</v>
      </c>
      <c r="M198" s="1">
        <v>0.8</v>
      </c>
      <c r="N198" s="2">
        <f>Таблица13[[#This Row],[Pуст, кВт]]*Таблица13[[#This Row],[Kи]]</f>
        <v>81.12</v>
      </c>
      <c r="O198" s="2">
        <f>IF(Таблица13[[#This Row],[Число фаз]]=1,J198/220/L198*M198*1000,J198/3/220/L198*M198*1000)</f>
        <v>152.87037037037044</v>
      </c>
      <c r="P198" s="2" t="str">
        <f>Таблица13[[#This Row],[Коды щитков]] &amp; "/M" &amp; TEXT( Таблица13[[#This Row],[Номер АВ]], "00")</f>
        <v>ВРУ-В1/M04</v>
      </c>
      <c r="Q198" s="1" t="s">
        <v>7</v>
      </c>
      <c r="R198" s="1">
        <v>4</v>
      </c>
      <c r="S198" s="1">
        <v>95</v>
      </c>
      <c r="T198" s="1">
        <v>35</v>
      </c>
      <c r="U198" s="1">
        <v>60</v>
      </c>
      <c r="V198" s="2">
        <f>IF(Таблица13[[#This Row],[Число фаз]]=1,2*O198*(22.5/S198*L198+0.08*SIN(ACOS(L198)))*(U198/1000)*(100/220),SQRT(3)*O198*(22.5/S198*L198+0.08*SIN(ACOS(L198)))*(U198/1000)*(100/380))</f>
        <v>0.99498119547188535</v>
      </c>
      <c r="W19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ВРУ-В1/M04-101,4-152,9-60</v>
      </c>
      <c r="X198" s="1" t="str">
        <f>TEXT(Таблица13[[#This Row],[Потери]],"0,0") &amp; "-" &amp;Таблица13[[#This Row],[Полная марка кабеля]]</f>
        <v>1,0-КГ-3x95+1x35</v>
      </c>
      <c r="Y198" t="s">
        <v>490</v>
      </c>
      <c r="Z19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199" spans="1:26" x14ac:dyDescent="0.25">
      <c r="A199" s="1" t="s">
        <v>41</v>
      </c>
      <c r="B199" s="1">
        <v>198</v>
      </c>
      <c r="C199" s="4">
        <v>5</v>
      </c>
      <c r="D199" s="4" t="str">
        <f>"ВА57-35 "&amp; Таблица13[[#This Row],[Число фаз]] &amp; "P " &amp;Таблица13[[#This Row],[Номинал АВ]] &amp; " А"</f>
        <v>ВА57-35 3P 250 А</v>
      </c>
      <c r="E199" s="1">
        <v>250</v>
      </c>
      <c r="F199" s="13" t="s">
        <v>350</v>
      </c>
      <c r="G199" s="1" t="s">
        <v>161</v>
      </c>
      <c r="H199" s="1" t="s">
        <v>74</v>
      </c>
      <c r="I199" s="1" t="s">
        <v>141</v>
      </c>
      <c r="J199" s="16">
        <v>207</v>
      </c>
      <c r="K199" s="1">
        <v>3</v>
      </c>
      <c r="L199" s="15">
        <v>0.8</v>
      </c>
      <c r="M199" s="1">
        <v>0.6</v>
      </c>
      <c r="N199" s="2">
        <f>Таблица13[[#This Row],[Pуст, кВт]]*Таблица13[[#This Row],[Kи]]</f>
        <v>124.19999999999999</v>
      </c>
      <c r="O199" s="2">
        <f>IF(Таблица13[[#This Row],[Число фаз]]=1,J199/220/L199*M199*1000,J199/3/220/L199*M199*1000)</f>
        <v>235.22727272727269</v>
      </c>
      <c r="P199" s="2" t="str">
        <f>Таблица13[[#This Row],[Коды щитков]] &amp; "/M" &amp; TEXT( Таблица13[[#This Row],[Номер АВ]], "00")</f>
        <v>ВРУ-В1/M05</v>
      </c>
      <c r="Q199" s="1" t="s">
        <v>7</v>
      </c>
      <c r="R199" s="1">
        <v>4</v>
      </c>
      <c r="S199" s="1">
        <v>95</v>
      </c>
      <c r="T199" s="1">
        <v>35</v>
      </c>
      <c r="U199" s="1">
        <v>50</v>
      </c>
      <c r="V199" s="2">
        <f>IF(Таблица13[[#This Row],[Число фаз]]=1,2*O199*(22.5/S199*L199+0.08*SIN(ACOS(L199)))*(U199/1000)*(100/220),SQRT(3)*O199*(22.5/S199*L199+0.08*SIN(ACOS(L199)))*(U199/1000)*(100/380))</f>
        <v>1.2730638861876808</v>
      </c>
      <c r="W19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ВРУ-В1/M05-207,0-235,2-50</v>
      </c>
      <c r="X199" s="1" t="str">
        <f>TEXT(Таблица13[[#This Row],[Потери]],"0,0") &amp; "-" &amp;Таблица13[[#This Row],[Полная марка кабеля]]</f>
        <v>1,3-КГ-3x95+1x35</v>
      </c>
      <c r="Y199" t="s">
        <v>490</v>
      </c>
      <c r="Z19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200" spans="1:26" x14ac:dyDescent="0.25">
      <c r="A200" s="1" t="s">
        <v>41</v>
      </c>
      <c r="B200" s="1">
        <v>199</v>
      </c>
      <c r="C200" s="4">
        <v>6</v>
      </c>
      <c r="D200" s="4" t="str">
        <f>"ВА57-35 "&amp; Таблица13[[#This Row],[Число фаз]] &amp; "P " &amp;Таблица13[[#This Row],[Номинал АВ]] &amp; " А"</f>
        <v>ВА57-35 3P 250 А</v>
      </c>
      <c r="E200" s="1">
        <v>250</v>
      </c>
      <c r="F200" s="13" t="s">
        <v>326</v>
      </c>
      <c r="G200" s="1" t="s">
        <v>134</v>
      </c>
      <c r="H200" s="1" t="s">
        <v>407</v>
      </c>
      <c r="I200" s="1" t="s">
        <v>112</v>
      </c>
      <c r="J200" s="16">
        <v>114</v>
      </c>
      <c r="K200" s="1">
        <v>3</v>
      </c>
      <c r="L200" s="15">
        <v>1</v>
      </c>
      <c r="M200" s="1">
        <v>1</v>
      </c>
      <c r="N200" s="2">
        <f>Таблица13[[#This Row],[Pуст, кВт]]*Таблица13[[#This Row],[Kи]]</f>
        <v>114</v>
      </c>
      <c r="O200" s="2">
        <f>IF(Таблица13[[#This Row],[Число фаз]]=1,J200/220/L200*M200*1000,J200/3/220/L200*M200*1000)</f>
        <v>172.72727272727272</v>
      </c>
      <c r="P200" s="2" t="str">
        <f>Таблица13[[#This Row],[Коды щитков]] &amp; "/M" &amp; TEXT( Таблица13[[#This Row],[Номер АВ]], "00")</f>
        <v>ВРУ-В1/M06</v>
      </c>
      <c r="Q200" s="1" t="s">
        <v>7</v>
      </c>
      <c r="R200" s="1">
        <v>4</v>
      </c>
      <c r="S200" s="1">
        <v>95</v>
      </c>
      <c r="T200" s="1">
        <v>35</v>
      </c>
      <c r="U200" s="1">
        <v>80</v>
      </c>
      <c r="V200" s="2">
        <f>IF(Таблица13[[#This Row],[Число фаз]]=1,2*O200*(22.5/S200*L200+0.08*SIN(ACOS(L200)))*(U200/1000)*(100/220),SQRT(3)*O200*(22.5/S200*L200+0.08*SIN(ACOS(L200)))*(U200/1000)*(100/380))</f>
        <v>1.4917183988631477</v>
      </c>
      <c r="W20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ВРУ-В1/M06-114,0-172,7-80</v>
      </c>
      <c r="X200" s="1" t="str">
        <f>TEXT(Таблица13[[#This Row],[Потери]],"0,0") &amp; "-" &amp;Таблица13[[#This Row],[Полная марка кабеля]]</f>
        <v>1,5-КГ-3x95+1x35</v>
      </c>
      <c r="Y200" t="s">
        <v>490</v>
      </c>
      <c r="Z20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201" spans="1:26" x14ac:dyDescent="0.25">
      <c r="A201" s="1" t="s">
        <v>42</v>
      </c>
      <c r="B201" s="1">
        <v>200</v>
      </c>
      <c r="C201" s="4">
        <v>0</v>
      </c>
      <c r="D201" s="4" t="str">
        <f>"Acti9 iC60N C"&amp;Таблица13[[#This Row],[Номинал АВ]]&amp; " " &amp; Таблица13[[#This Row],[Число фаз]] &amp; "P"</f>
        <v>Acti9 iC60N C63 3P</v>
      </c>
      <c r="E201" s="1">
        <v>63</v>
      </c>
      <c r="F201" s="9"/>
      <c r="G201" s="1"/>
      <c r="H201" s="1"/>
      <c r="I201" s="1"/>
      <c r="K201" s="1">
        <v>3</v>
      </c>
      <c r="N201" s="2">
        <f>Таблица13[[#This Row],[Pуст, кВт]]*Таблица13[[#This Row],[Kи]]</f>
        <v>0</v>
      </c>
      <c r="O201" s="2" t="e">
        <f>IF(Таблица13[[#This Row],[Число фаз]]=1,J201/220/L201*M201*1000,J201/3/220/L201*M201*1000)</f>
        <v>#DIV/0!</v>
      </c>
      <c r="P201" s="2" t="str">
        <f>Таблица13[[#This Row],[Коды щитков]] &amp; "/M" &amp; TEXT( Таблица13[[#This Row],[Номер АВ]], "00")</f>
        <v>/M00</v>
      </c>
      <c r="Q201" s="1"/>
      <c r="R201" s="1"/>
      <c r="S201" s="1"/>
      <c r="T201" s="25">
        <f>Таблица13[[#This Row],[Сечение фазного]]</f>
        <v>0</v>
      </c>
      <c r="U201" s="1"/>
      <c r="V201" s="2" t="e">
        <f>IF(Таблица13[[#This Row],[Число фаз]]=1,2*O201*(22.5/S201*L201+0.08*SIN(ACOS(L201)))*(U201/1000)*(100/220),SQRT(3)*O201*(22.5/S201*L201+0.08*SIN(ACOS(L201)))*(U201/1000)*(100/380))</f>
        <v>#DIV/0!</v>
      </c>
      <c r="W20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01" s="25" t="e">
        <f>TEXT(Таблица13[[#This Row],[Потери]],"0,0") &amp; "-" &amp;Таблица13[[#This Row],[Полная марка кабеля]]</f>
        <v>#DIV/0!</v>
      </c>
      <c r="Y201" s="1"/>
      <c r="Z201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02" spans="1:26" x14ac:dyDescent="0.25">
      <c r="A202" s="1" t="s">
        <v>42</v>
      </c>
      <c r="B202" s="1">
        <v>201</v>
      </c>
      <c r="C202" s="4">
        <v>1</v>
      </c>
      <c r="D202" s="4" t="str">
        <f>"Acti9 iC60N C"&amp;Таблица13[[#This Row],[Номинал АВ]]&amp; " " &amp; Таблица13[[#This Row],[Число фаз]] &amp; "P"</f>
        <v>Acti9 iC60N C25 3P</v>
      </c>
      <c r="E202" s="1">
        <v>25</v>
      </c>
      <c r="F202" s="13" t="s">
        <v>376</v>
      </c>
      <c r="G202" s="1" t="s">
        <v>188</v>
      </c>
      <c r="H202" s="1" t="s">
        <v>405</v>
      </c>
      <c r="I202" s="1" t="s">
        <v>120</v>
      </c>
      <c r="J202" s="16">
        <v>2.4</v>
      </c>
      <c r="K202" s="1">
        <v>3</v>
      </c>
      <c r="L202" s="15">
        <v>0.8</v>
      </c>
      <c r="M202" s="1">
        <v>1</v>
      </c>
      <c r="N202" s="2">
        <f>Таблица13[[#This Row],[Pуст, кВт]]*Таблица13[[#This Row],[Kи]]</f>
        <v>2.4</v>
      </c>
      <c r="O202" s="2">
        <f>IF(Таблица13[[#This Row],[Число фаз]]=1,J202/220/L202*M202*1000,J202/3/220/L202*M202*1000)</f>
        <v>4.5454545454545441</v>
      </c>
      <c r="P202" s="2" t="str">
        <f>Таблица13[[#This Row],[Коды щитков]] &amp; "/M" &amp; TEXT( Таблица13[[#This Row],[Номер АВ]], "00")</f>
        <v>ШС-4-5/M01</v>
      </c>
      <c r="Q202" s="1" t="s">
        <v>63</v>
      </c>
      <c r="R202" s="1">
        <v>5</v>
      </c>
      <c r="S202" s="1">
        <v>4</v>
      </c>
      <c r="T202" s="1">
        <f>Таблица13[[#This Row],[Сечение фазного]]</f>
        <v>4</v>
      </c>
      <c r="U202" s="1">
        <v>15</v>
      </c>
      <c r="V202" s="2">
        <f>IF(Таблица13[[#This Row],[Число фаз]]=1,2*O202*(22.5/S202*L202+0.08*SIN(ACOS(L202)))*(U202/1000)*(100/220),SQRT(3)*O202*(22.5/S202*L202+0.08*SIN(ACOS(L202)))*(U202/1000)*(100/380))</f>
        <v>0.14134031829228322</v>
      </c>
      <c r="W20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ШС-4-5/M01-2,4-4,5-15</v>
      </c>
      <c r="X202" s="1" t="str">
        <f>TEXT(Таблица13[[#This Row],[Потери]],"0,0") &amp; "-" &amp;Таблица13[[#This Row],[Полная марка кабеля]]</f>
        <v>0,1-ВВГнг(A)-LS-5x4</v>
      </c>
      <c r="Y202" t="s">
        <v>439</v>
      </c>
      <c r="Z20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03" spans="1:26" x14ac:dyDescent="0.25">
      <c r="A203" s="1" t="s">
        <v>42</v>
      </c>
      <c r="B203" s="1">
        <v>202</v>
      </c>
      <c r="C203" s="4">
        <v>2</v>
      </c>
      <c r="D203" s="4" t="str">
        <f>"Acti9 iC60N C"&amp;Таблица13[[#This Row],[Номинал АВ]]&amp; " " &amp; Таблица13[[#This Row],[Число фаз]] &amp; "P"</f>
        <v>Acti9 iC60N C25 3P</v>
      </c>
      <c r="E203" s="1">
        <v>25</v>
      </c>
      <c r="F203" s="13" t="s">
        <v>377</v>
      </c>
      <c r="G203" s="1" t="s">
        <v>189</v>
      </c>
      <c r="H203" s="1" t="s">
        <v>405</v>
      </c>
      <c r="I203" s="1" t="s">
        <v>120</v>
      </c>
      <c r="J203" s="16">
        <v>2.95</v>
      </c>
      <c r="K203" s="1">
        <v>3</v>
      </c>
      <c r="L203" s="15">
        <v>0.8</v>
      </c>
      <c r="M203" s="1">
        <v>1</v>
      </c>
      <c r="N203" s="2">
        <f>Таблица13[[#This Row],[Pуст, кВт]]*Таблица13[[#This Row],[Kи]]</f>
        <v>2.95</v>
      </c>
      <c r="O203" s="2">
        <f>IF(Таблица13[[#This Row],[Число фаз]]=1,J203/220/L203*M203*1000,J203/3/220/L203*M203*1000)</f>
        <v>5.5871212121212119</v>
      </c>
      <c r="P203" s="2" t="str">
        <f>Таблица13[[#This Row],[Коды щитков]] &amp; "/M" &amp; TEXT( Таблица13[[#This Row],[Номер АВ]], "00")</f>
        <v>ШС-4-5/M02</v>
      </c>
      <c r="Q203" s="1" t="s">
        <v>63</v>
      </c>
      <c r="R203" s="1">
        <v>5</v>
      </c>
      <c r="S203" s="1">
        <v>4</v>
      </c>
      <c r="T203" s="1">
        <f>Таблица13[[#This Row],[Сечение фазного]]</f>
        <v>4</v>
      </c>
      <c r="U203" s="1">
        <v>15</v>
      </c>
      <c r="V203" s="2">
        <f>IF(Таблица13[[#This Row],[Число фаз]]=1,2*O203*(22.5/S203*L203+0.08*SIN(ACOS(L203)))*(U203/1000)*(100/220),SQRT(3)*O203*(22.5/S203*L203+0.08*SIN(ACOS(L203)))*(U203/1000)*(100/380))</f>
        <v>0.17373080790093148</v>
      </c>
      <c r="W20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ШС-4-5/M02-3,0-5,6-15</v>
      </c>
      <c r="X203" s="1" t="str">
        <f>TEXT(Таблица13[[#This Row],[Потери]],"0,0") &amp; "-" &amp;Таблица13[[#This Row],[Полная марка кабеля]]</f>
        <v>0,2-ВВГнг(A)-LS-5x4</v>
      </c>
      <c r="Y203" t="s">
        <v>439</v>
      </c>
      <c r="Z20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04" spans="1:26" x14ac:dyDescent="0.25">
      <c r="A204" s="1" t="s">
        <v>42</v>
      </c>
      <c r="B204" s="1">
        <v>203</v>
      </c>
      <c r="C204" s="4">
        <v>3</v>
      </c>
      <c r="D204" s="4" t="str">
        <f>"Acti9 iC60N C"&amp;Таблица13[[#This Row],[Номинал АВ]]&amp; " " &amp; Таблица13[[#This Row],[Число фаз]] &amp; "P"</f>
        <v>Acti9 iC60N C25 3P</v>
      </c>
      <c r="E204" s="1">
        <v>25</v>
      </c>
      <c r="F204" s="13" t="s">
        <v>378</v>
      </c>
      <c r="G204" s="1" t="s">
        <v>189</v>
      </c>
      <c r="H204" s="1" t="s">
        <v>405</v>
      </c>
      <c r="I204" s="1" t="s">
        <v>120</v>
      </c>
      <c r="J204" s="16">
        <v>2.95</v>
      </c>
      <c r="K204" s="1">
        <v>3</v>
      </c>
      <c r="L204" s="15">
        <v>0.8</v>
      </c>
      <c r="M204" s="1">
        <v>1</v>
      </c>
      <c r="N204" s="2">
        <f>Таблица13[[#This Row],[Pуст, кВт]]*Таблица13[[#This Row],[Kи]]</f>
        <v>2.95</v>
      </c>
      <c r="O204" s="2">
        <f>IF(Таблица13[[#This Row],[Число фаз]]=1,J204/220/L204*M204*1000,J204/3/220/L204*M204*1000)</f>
        <v>5.5871212121212119</v>
      </c>
      <c r="P204" s="2" t="str">
        <f>Таблица13[[#This Row],[Коды щитков]] &amp; "/M" &amp; TEXT( Таблица13[[#This Row],[Номер АВ]], "00")</f>
        <v>ШС-4-5/M03</v>
      </c>
      <c r="Q204" s="1" t="s">
        <v>63</v>
      </c>
      <c r="R204" s="1">
        <v>5</v>
      </c>
      <c r="S204" s="1">
        <v>4</v>
      </c>
      <c r="T204" s="1">
        <f>Таблица13[[#This Row],[Сечение фазного]]</f>
        <v>4</v>
      </c>
      <c r="U204" s="1">
        <v>20</v>
      </c>
      <c r="V204" s="2">
        <f>IF(Таблица13[[#This Row],[Число фаз]]=1,2*O204*(22.5/S204*L204+0.08*SIN(ACOS(L204)))*(U204/1000)*(100/220),SQRT(3)*O204*(22.5/S204*L204+0.08*SIN(ACOS(L204)))*(U204/1000)*(100/380))</f>
        <v>0.231641077201242</v>
      </c>
      <c r="W20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ШС-4-5/M03-3,0-5,6-20</v>
      </c>
      <c r="X204" s="1" t="str">
        <f>TEXT(Таблица13[[#This Row],[Потери]],"0,0") &amp; "-" &amp;Таблица13[[#This Row],[Полная марка кабеля]]</f>
        <v>0,2-ВВГнг(A)-LS-5x4</v>
      </c>
      <c r="Y204" t="s">
        <v>439</v>
      </c>
      <c r="Z20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05" spans="1:26" x14ac:dyDescent="0.25">
      <c r="A205" s="1" t="s">
        <v>42</v>
      </c>
      <c r="B205" s="1">
        <v>204</v>
      </c>
      <c r="C205" s="4">
        <v>4</v>
      </c>
      <c r="D205" s="4" t="str">
        <f>"Acti9 iC60N C"&amp;Таблица13[[#This Row],[Номинал АВ]]&amp; " " &amp; Таблица13[[#This Row],[Число фаз]] &amp; "P"</f>
        <v>Acti9 iC60N C25 3P</v>
      </c>
      <c r="E205" s="1">
        <v>25</v>
      </c>
      <c r="F205" s="13" t="s">
        <v>379</v>
      </c>
      <c r="G205" s="1" t="s">
        <v>190</v>
      </c>
      <c r="H205" s="1" t="s">
        <v>405</v>
      </c>
      <c r="I205" s="1" t="s">
        <v>120</v>
      </c>
      <c r="J205" s="16">
        <v>2.95</v>
      </c>
      <c r="K205" s="1">
        <v>3</v>
      </c>
      <c r="L205" s="15">
        <v>0.8</v>
      </c>
      <c r="M205" s="1">
        <v>1</v>
      </c>
      <c r="N205" s="2">
        <f>Таблица13[[#This Row],[Pуст, кВт]]*Таблица13[[#This Row],[Kи]]</f>
        <v>2.95</v>
      </c>
      <c r="O205" s="2">
        <f>IF(Таблица13[[#This Row],[Число фаз]]=1,J205/220/L205*M205*1000,J205/3/220/L205*M205*1000)</f>
        <v>5.5871212121212119</v>
      </c>
      <c r="P205" s="2" t="str">
        <f>Таблица13[[#This Row],[Коды щитков]] &amp; "/M" &amp; TEXT( Таблица13[[#This Row],[Номер АВ]], "00")</f>
        <v>ШС-4-5/M04</v>
      </c>
      <c r="Q205" s="1" t="s">
        <v>63</v>
      </c>
      <c r="R205" s="1">
        <v>5</v>
      </c>
      <c r="S205" s="1">
        <v>4</v>
      </c>
      <c r="T205" s="1">
        <f>Таблица13[[#This Row],[Сечение фазного]]</f>
        <v>4</v>
      </c>
      <c r="U205" s="1">
        <v>25</v>
      </c>
      <c r="V205" s="2">
        <f>IF(Таблица13[[#This Row],[Число фаз]]=1,2*O205*(22.5/S205*L205+0.08*SIN(ACOS(L205)))*(U205/1000)*(100/220),SQRT(3)*O205*(22.5/S205*L205+0.08*SIN(ACOS(L205)))*(U205/1000)*(100/380))</f>
        <v>0.28955134650155251</v>
      </c>
      <c r="W20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ШС-4-5/M04-3,0-5,6-25</v>
      </c>
      <c r="X205" s="1" t="str">
        <f>TEXT(Таблица13[[#This Row],[Потери]],"0,0") &amp; "-" &amp;Таблица13[[#This Row],[Полная марка кабеля]]</f>
        <v>0,3-ВВГнг(A)-LS-5x4</v>
      </c>
      <c r="Y205" t="s">
        <v>439</v>
      </c>
      <c r="Z20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06" spans="1:26" x14ac:dyDescent="0.25">
      <c r="A206" s="1" t="s">
        <v>42</v>
      </c>
      <c r="B206" s="1">
        <v>205</v>
      </c>
      <c r="C206" s="4">
        <v>5</v>
      </c>
      <c r="D206" s="4" t="str">
        <f>"Acti9 iC60N C"&amp;Таблица13[[#This Row],[Номинал АВ]]&amp; " " &amp; Таблица13[[#This Row],[Число фаз]] &amp; "P"</f>
        <v>Acti9 iC60N C25 3P</v>
      </c>
      <c r="E206" s="1">
        <v>25</v>
      </c>
      <c r="F206" s="13" t="s">
        <v>380</v>
      </c>
      <c r="G206" s="1" t="s">
        <v>190</v>
      </c>
      <c r="H206" s="1" t="s">
        <v>405</v>
      </c>
      <c r="I206" s="1" t="s">
        <v>120</v>
      </c>
      <c r="J206" s="16">
        <v>2.95</v>
      </c>
      <c r="K206" s="1">
        <v>3</v>
      </c>
      <c r="L206" s="15">
        <v>0.8</v>
      </c>
      <c r="M206" s="1">
        <v>1</v>
      </c>
      <c r="N206" s="2">
        <f>Таблица13[[#This Row],[Pуст, кВт]]*Таблица13[[#This Row],[Kи]]</f>
        <v>2.95</v>
      </c>
      <c r="O206" s="2">
        <f>IF(Таблица13[[#This Row],[Число фаз]]=1,J206/220/L206*M206*1000,J206/3/220/L206*M206*1000)</f>
        <v>5.5871212121212119</v>
      </c>
      <c r="P206" s="2" t="str">
        <f>Таблица13[[#This Row],[Коды щитков]] &amp; "/M" &amp; TEXT( Таблица13[[#This Row],[Номер АВ]], "00")</f>
        <v>ШС-4-5/M05</v>
      </c>
      <c r="Q206" s="1" t="s">
        <v>63</v>
      </c>
      <c r="R206" s="1">
        <v>5</v>
      </c>
      <c r="S206" s="1">
        <v>4</v>
      </c>
      <c r="T206" s="1">
        <f>Таблица13[[#This Row],[Сечение фазного]]</f>
        <v>4</v>
      </c>
      <c r="U206" s="1">
        <v>25</v>
      </c>
      <c r="V206" s="2">
        <f>IF(Таблица13[[#This Row],[Число фаз]]=1,2*O206*(22.5/S206*L206+0.08*SIN(ACOS(L206)))*(U206/1000)*(100/220),SQRT(3)*O206*(22.5/S206*L206+0.08*SIN(ACOS(L206)))*(U206/1000)*(100/380))</f>
        <v>0.28955134650155251</v>
      </c>
      <c r="W20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ШС-4-5/M05-3,0-5,6-25</v>
      </c>
      <c r="X206" s="1" t="str">
        <f>TEXT(Таблица13[[#This Row],[Потери]],"0,0") &amp; "-" &amp;Таблица13[[#This Row],[Полная марка кабеля]]</f>
        <v>0,3-ВВГнг(A)-LS-5x4</v>
      </c>
      <c r="Y206" t="s">
        <v>439</v>
      </c>
      <c r="Z20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07" spans="1:26" x14ac:dyDescent="0.25">
      <c r="A207" s="1" t="s">
        <v>42</v>
      </c>
      <c r="B207" s="1">
        <v>206</v>
      </c>
      <c r="C207" s="4">
        <v>6</v>
      </c>
      <c r="D207" s="4" t="str">
        <f>"Acti9 DPN N Vigi C" &amp; Таблица13[[#This Row],[Номинал АВ]]&amp; " 1P+N 30 мА"</f>
        <v>Acti9 DPN N Vigi C16 1P+N 30 мА</v>
      </c>
      <c r="E207" s="1">
        <v>16</v>
      </c>
      <c r="F207" s="9"/>
      <c r="G207" s="1"/>
      <c r="H207" s="1" t="s">
        <v>72</v>
      </c>
      <c r="I207" s="1" t="s">
        <v>120</v>
      </c>
      <c r="J207" s="16">
        <v>2</v>
      </c>
      <c r="K207" s="1">
        <v>1</v>
      </c>
      <c r="L207" s="15">
        <v>0.9</v>
      </c>
      <c r="M207" s="1">
        <v>1</v>
      </c>
      <c r="N207" s="2">
        <f>Таблица13[[#This Row],[Pуст, кВт]]*Таблица13[[#This Row],[Kи]]</f>
        <v>2</v>
      </c>
      <c r="O207" s="2">
        <f>IF(Таблица13[[#This Row],[Число фаз]]=1,J207/220/L207*M207*1000,J207/3/220/L207*M207*1000)</f>
        <v>10.1010101010101</v>
      </c>
      <c r="P207" s="2" t="str">
        <f>Таблица13[[#This Row],[Коды щитков]] &amp; "/M" &amp; TEXT( Таблица13[[#This Row],[Номер АВ]], "00")</f>
        <v>ШС-4-5/M06</v>
      </c>
      <c r="Q207" s="1" t="s">
        <v>63</v>
      </c>
      <c r="R207" s="1">
        <v>3</v>
      </c>
      <c r="S207" s="1">
        <v>2.5</v>
      </c>
      <c r="T207" s="1">
        <f>Таблица13[[#This Row],[Сечение фазного]]</f>
        <v>2.5</v>
      </c>
      <c r="U207" s="1">
        <v>10</v>
      </c>
      <c r="V207" s="2">
        <f>IF(Таблица13[[#This Row],[Число фаз]]=1,2*O207*(22.5/S207*L207+0.08*SIN(ACOS(L207)))*(U207/1000)*(100/220),SQRT(3)*O207*(22.5/S207*L207+0.08*SIN(ACOS(L207)))*(U207/1000)*(100/380))</f>
        <v>0.74700378251132449</v>
      </c>
      <c r="W20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ШС-4-5/M06-2,0-10,1-10</v>
      </c>
      <c r="X207" s="1" t="str">
        <f>TEXT(Таблица13[[#This Row],[Потери]],"0,0") &amp; "-" &amp;Таблица13[[#This Row],[Полная марка кабеля]]</f>
        <v>0,7-ВВГнг(A)-LS-3x2,5</v>
      </c>
      <c r="Y207" t="s">
        <v>439</v>
      </c>
      <c r="Z20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08" spans="1:26" x14ac:dyDescent="0.25">
      <c r="A208" s="1" t="s">
        <v>42</v>
      </c>
      <c r="B208" s="1">
        <v>207</v>
      </c>
      <c r="C208" s="4">
        <v>7</v>
      </c>
      <c r="D208" s="4" t="str">
        <f>"Acti9 iC60N C"&amp;Таблица13[[#This Row],[Номинал АВ]]&amp; " " &amp; Таблица13[[#This Row],[Число фаз]] &amp; "P"</f>
        <v>Acti9 iC60N C10 1P</v>
      </c>
      <c r="E208" s="1">
        <v>10</v>
      </c>
      <c r="F208" s="9"/>
      <c r="G208" s="1"/>
      <c r="H208" s="1" t="s">
        <v>73</v>
      </c>
      <c r="I208" s="1" t="s">
        <v>120</v>
      </c>
      <c r="J208" s="16">
        <f>7*0.033</f>
        <v>0.23100000000000001</v>
      </c>
      <c r="K208" s="1">
        <v>1</v>
      </c>
      <c r="L208" s="15">
        <v>0.96</v>
      </c>
      <c r="M208" s="1">
        <v>1</v>
      </c>
      <c r="N208" s="2">
        <f>Таблица13[[#This Row],[Pуст, кВт]]*Таблица13[[#This Row],[Kи]]</f>
        <v>0.23100000000000001</v>
      </c>
      <c r="O208" s="2">
        <f>IF(Таблица13[[#This Row],[Число фаз]]=1,J208/220/L208*M208*1000,J208/3/220/L208*M208*1000)</f>
        <v>1.09375</v>
      </c>
      <c r="P208" s="2" t="str">
        <f>Таблица13[[#This Row],[Коды щитков]] &amp; "/M" &amp; TEXT( Таблица13[[#This Row],[Номер АВ]], "00")</f>
        <v>ШС-4-5/M07</v>
      </c>
      <c r="Q208" s="1" t="s">
        <v>63</v>
      </c>
      <c r="R208" s="1">
        <v>3</v>
      </c>
      <c r="S208" s="1">
        <v>1.5</v>
      </c>
      <c r="T208" s="1">
        <f>Таблица13[[#This Row],[Сечение фазного]]</f>
        <v>1.5</v>
      </c>
      <c r="U208" s="1">
        <v>40</v>
      </c>
      <c r="V208" s="2">
        <f>IF(Таблица13[[#This Row],[Число фаз]]=1,2*O208*(22.5/S208*L208+0.08*SIN(ACOS(L208)))*(U208/1000)*(100/220),SQRT(3)*O208*(22.5/S208*L208+0.08*SIN(ACOS(L208)))*(U208/1000)*(100/380))</f>
        <v>0.5736181818181818</v>
      </c>
      <c r="W20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ШС-4-5/M07-0,2-1,1-40</v>
      </c>
      <c r="X208" s="1" t="str">
        <f>TEXT(Таблица13[[#This Row],[Потери]],"0,0") &amp; "-" &amp;Таблица13[[#This Row],[Полная марка кабеля]]</f>
        <v>0,6-ВВГнг(A)-LS-3x1,5</v>
      </c>
      <c r="Y208" t="s">
        <v>439</v>
      </c>
      <c r="Z20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09" spans="1:26" x14ac:dyDescent="0.25">
      <c r="A209" s="1" t="s">
        <v>43</v>
      </c>
      <c r="B209" s="1">
        <v>208</v>
      </c>
      <c r="C209" s="4">
        <v>0</v>
      </c>
      <c r="D209" s="4" t="str">
        <f>"Acti9 iC60N C"&amp;Таблица13[[#This Row],[Номинал АВ]]&amp; " " &amp; Таблица13[[#This Row],[Число фаз]] &amp; "P"</f>
        <v>Acti9 iC60N C63 3P</v>
      </c>
      <c r="E209" s="1">
        <v>63</v>
      </c>
      <c r="F209" s="9"/>
      <c r="G209" s="1"/>
      <c r="H209" s="1"/>
      <c r="I209" s="1"/>
      <c r="K209" s="1">
        <v>3</v>
      </c>
      <c r="N209" s="2">
        <f>Таблица13[[#This Row],[Pуст, кВт]]*Таблица13[[#This Row],[Kи]]</f>
        <v>0</v>
      </c>
      <c r="O209" s="2" t="e">
        <f>IF(Таблица13[[#This Row],[Число фаз]]=1,J209/220/L209*M209*1000,J209/3/220/L209*M209*1000)</f>
        <v>#DIV/0!</v>
      </c>
      <c r="P209" s="2" t="str">
        <f>Таблица13[[#This Row],[Коды щитков]] &amp; "/M" &amp; TEXT( Таблица13[[#This Row],[Номер АВ]], "00")</f>
        <v>/M00</v>
      </c>
      <c r="Q209" s="1"/>
      <c r="R209" s="1"/>
      <c r="S209" s="1"/>
      <c r="T209" s="25">
        <f>Таблица13[[#This Row],[Сечение фазного]]</f>
        <v>0</v>
      </c>
      <c r="U209" s="1"/>
      <c r="V209" s="2" t="e">
        <f>IF(Таблица13[[#This Row],[Число фаз]]=1,2*O209*(22.5/S209*L209+0.08*SIN(ACOS(L209)))*(U209/1000)*(100/220),SQRT(3)*O209*(22.5/S209*L209+0.08*SIN(ACOS(L209)))*(U209/1000)*(100/380))</f>
        <v>#DIV/0!</v>
      </c>
      <c r="W209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09" s="25" t="e">
        <f>TEXT(Таблица13[[#This Row],[Потери]],"0,0") &amp; "-" &amp;Таблица13[[#This Row],[Полная марка кабеля]]</f>
        <v>#DIV/0!</v>
      </c>
      <c r="Y209" s="1"/>
      <c r="Z209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10" spans="1:26" x14ac:dyDescent="0.25">
      <c r="A210" s="1" t="s">
        <v>43</v>
      </c>
      <c r="B210" s="1">
        <v>209</v>
      </c>
      <c r="C210" s="4">
        <v>1</v>
      </c>
      <c r="D210" s="4" t="str">
        <f>"Acti9 DPN N Vigi C" &amp; Таблица13[[#This Row],[Номинал АВ]]&amp; " 1P+N 30 мА"</f>
        <v>Acti9 DPN N Vigi C16 1P+N 30 мА</v>
      </c>
      <c r="E210" s="1">
        <v>16</v>
      </c>
      <c r="F210" s="9"/>
      <c r="G210" s="1"/>
      <c r="H210" s="1" t="s">
        <v>72</v>
      </c>
      <c r="I210" s="1" t="s">
        <v>141</v>
      </c>
      <c r="J210" s="16">
        <v>2</v>
      </c>
      <c r="K210" s="1">
        <v>1</v>
      </c>
      <c r="L210" s="15">
        <v>0.9</v>
      </c>
      <c r="M210" s="1">
        <v>1</v>
      </c>
      <c r="N210" s="2">
        <f>Таблица13[[#This Row],[Pуст, кВт]]*Таблица13[[#This Row],[Kи]]</f>
        <v>2</v>
      </c>
      <c r="O210" s="2">
        <f>IF(Таблица13[[#This Row],[Число фаз]]=1,J210/220/L210*M210*1000,J210/3/220/L210*M210*1000)</f>
        <v>10.1010101010101</v>
      </c>
      <c r="P210" s="2" t="str">
        <f>Таблица13[[#This Row],[Коды щитков]] &amp; "/M" &amp; TEXT( Таблица13[[#This Row],[Номер АВ]], "00")</f>
        <v>ШС-4-4/M01</v>
      </c>
      <c r="Q210" s="1" t="s">
        <v>63</v>
      </c>
      <c r="R210" s="1">
        <v>3</v>
      </c>
      <c r="S210" s="1">
        <v>2.5</v>
      </c>
      <c r="T210" s="1">
        <f>Таблица13[[#This Row],[Сечение фазного]]</f>
        <v>2.5</v>
      </c>
      <c r="U210" s="1">
        <v>10</v>
      </c>
      <c r="V210" s="2">
        <f>IF(Таблица13[[#This Row],[Число фаз]]=1,2*O210*(22.5/S210*L210+0.08*SIN(ACOS(L210)))*(U210/1000)*(100/220),SQRT(3)*O210*(22.5/S210*L210+0.08*SIN(ACOS(L210)))*(U210/1000)*(100/380))</f>
        <v>0.74700378251132449</v>
      </c>
      <c r="W21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ШС-4-4/M01-2,0-10,1-10</v>
      </c>
      <c r="X210" s="1" t="str">
        <f>TEXT(Таблица13[[#This Row],[Потери]],"0,0") &amp; "-" &amp;Таблица13[[#This Row],[Полная марка кабеля]]</f>
        <v>0,7-ВВГнг(A)-LS-3x2,5</v>
      </c>
      <c r="Y210" t="s">
        <v>440</v>
      </c>
      <c r="Z21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11" spans="1:26" x14ac:dyDescent="0.25">
      <c r="A211" s="1" t="s">
        <v>43</v>
      </c>
      <c r="B211" s="1">
        <v>210</v>
      </c>
      <c r="C211" s="4">
        <v>2</v>
      </c>
      <c r="D211" s="4" t="str">
        <f>"Acti9 iC60N C"&amp;Таблица13[[#This Row],[Номинал АВ]]&amp; " " &amp; Таблица13[[#This Row],[Число фаз]] &amp; "P"</f>
        <v>Acti9 iC60N C50 3P</v>
      </c>
      <c r="E211" s="1">
        <v>50</v>
      </c>
      <c r="F211" s="13" t="s">
        <v>360</v>
      </c>
      <c r="G211" s="1" t="s">
        <v>146</v>
      </c>
      <c r="H211" s="1" t="s">
        <v>139</v>
      </c>
      <c r="I211" s="1" t="s">
        <v>141</v>
      </c>
      <c r="J211" s="16">
        <v>10</v>
      </c>
      <c r="K211" s="1">
        <v>3</v>
      </c>
      <c r="L211" s="15">
        <v>0.8</v>
      </c>
      <c r="M211" s="1">
        <v>1</v>
      </c>
      <c r="N211" s="2">
        <f>Таблица13[[#This Row],[Pуст, кВт]]*Таблица13[[#This Row],[Kи]]</f>
        <v>10</v>
      </c>
      <c r="O211" s="2">
        <f>IF(Таблица13[[#This Row],[Число фаз]]=1,J211/220/L211*M211*1000,J211/3/220/L211*M211*1000)</f>
        <v>18.939393939393941</v>
      </c>
      <c r="P211" s="2" t="str">
        <f>Таблица13[[#This Row],[Коды щитков]] &amp; "/M" &amp; TEXT( Таблица13[[#This Row],[Номер АВ]], "00")</f>
        <v>ШС-4-4/M02</v>
      </c>
      <c r="Q211" s="1" t="s">
        <v>63</v>
      </c>
      <c r="R211" s="1">
        <v>5</v>
      </c>
      <c r="S211" s="1">
        <v>10</v>
      </c>
      <c r="T211" s="1">
        <f>Таблица13[[#This Row],[Сечение фазного]]</f>
        <v>10</v>
      </c>
      <c r="U211" s="1">
        <v>10</v>
      </c>
      <c r="V211" s="2">
        <f>IF(Таблица13[[#This Row],[Число фаз]]=1,2*O211*(22.5/S211*L211+0.08*SIN(ACOS(L211)))*(U211/1000)*(100/220),SQRT(3)*O211*(22.5/S211*L211+0.08*SIN(ACOS(L211)))*(U211/1000)*(100/380))</f>
        <v>0.15953099543397553</v>
      </c>
      <c r="W2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ШС-4-4/M02-10,0-18,9-10</v>
      </c>
      <c r="X211" s="1" t="str">
        <f>TEXT(Таблица13[[#This Row],[Потери]],"0,0") &amp; "-" &amp;Таблица13[[#This Row],[Полная марка кабеля]]</f>
        <v>0,2-ВВГнг(A)-LS-5x10</v>
      </c>
      <c r="Y211" t="s">
        <v>440</v>
      </c>
      <c r="Z21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12" spans="1:26" x14ac:dyDescent="0.25">
      <c r="A212" s="1" t="s">
        <v>43</v>
      </c>
      <c r="B212" s="1">
        <v>211</v>
      </c>
      <c r="C212" s="4">
        <v>3</v>
      </c>
      <c r="D212" s="4" t="str">
        <f>"Acti9 iC60N C"&amp;Таблица13[[#This Row],[Номинал АВ]]&amp; " " &amp; Таблица13[[#This Row],[Число фаз]] &amp; "P"</f>
        <v>Acti9 iC60N C40 3P</v>
      </c>
      <c r="E212" s="1">
        <v>40</v>
      </c>
      <c r="F212" s="9"/>
      <c r="G212" s="1"/>
      <c r="H212" s="1" t="s">
        <v>192</v>
      </c>
      <c r="I212" s="1" t="s">
        <v>141</v>
      </c>
      <c r="J212" s="16">
        <v>7</v>
      </c>
      <c r="K212" s="1">
        <v>3</v>
      </c>
      <c r="L212" s="15">
        <v>0.8</v>
      </c>
      <c r="M212" s="1">
        <v>1</v>
      </c>
      <c r="N212" s="2">
        <f>Таблица13[[#This Row],[Pуст, кВт]]*Таблица13[[#This Row],[Kи]]</f>
        <v>7</v>
      </c>
      <c r="O212" s="2">
        <f>IF(Таблица13[[#This Row],[Число фаз]]=1,J212/220/L212*M212*1000,J212/3/220/L212*M212*1000)</f>
        <v>13.257575757575758</v>
      </c>
      <c r="P212" s="2" t="str">
        <f>Таблица13[[#This Row],[Коды щитков]] &amp; "/M" &amp; TEXT( Таблица13[[#This Row],[Номер АВ]], "00")</f>
        <v>ШС-4-4/M03</v>
      </c>
      <c r="Q212" s="1" t="s">
        <v>63</v>
      </c>
      <c r="R212" s="1">
        <v>5</v>
      </c>
      <c r="S212" s="1">
        <v>10</v>
      </c>
      <c r="T212" s="1">
        <f>Таблица13[[#This Row],[Сечение фазного]]</f>
        <v>10</v>
      </c>
      <c r="U212" s="1">
        <v>10</v>
      </c>
      <c r="V212" s="2">
        <f>IF(Таблица13[[#This Row],[Число фаз]]=1,2*O212*(22.5/S212*L212+0.08*SIN(ACOS(L212)))*(U212/1000)*(100/220),SQRT(3)*O212*(22.5/S212*L212+0.08*SIN(ACOS(L212)))*(U212/1000)*(100/380))</f>
        <v>0.11167169680378289</v>
      </c>
      <c r="W2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ШС-4-4/M03-7,0-13,3-10</v>
      </c>
      <c r="X212" s="1" t="str">
        <f>TEXT(Таблица13[[#This Row],[Потери]],"0,0") &amp; "-" &amp;Таблица13[[#This Row],[Полная марка кабеля]]</f>
        <v>0,1-ВВГнг(A)-LS-5x10</v>
      </c>
      <c r="Y212" t="s">
        <v>440</v>
      </c>
      <c r="Z21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13" spans="1:26" x14ac:dyDescent="0.25">
      <c r="A213" s="1" t="s">
        <v>43</v>
      </c>
      <c r="B213" s="1">
        <v>212</v>
      </c>
      <c r="C213" s="4">
        <v>4</v>
      </c>
      <c r="D213" s="4" t="str">
        <f>"Acti9 iC60N C"&amp;Таблица13[[#This Row],[Номинал АВ]]&amp; " " &amp; Таблица13[[#This Row],[Число фаз]] &amp; "P"</f>
        <v>Acti9 iC60N C40 3P</v>
      </c>
      <c r="E213" s="1">
        <v>40</v>
      </c>
      <c r="F213" s="13" t="s">
        <v>373</v>
      </c>
      <c r="G213" s="1" t="s">
        <v>144</v>
      </c>
      <c r="H213" s="1" t="s">
        <v>140</v>
      </c>
      <c r="I213" s="1" t="s">
        <v>141</v>
      </c>
      <c r="J213" s="16">
        <v>2.5</v>
      </c>
      <c r="K213" s="1">
        <v>3</v>
      </c>
      <c r="L213" s="15">
        <v>0.8</v>
      </c>
      <c r="M213" s="1">
        <v>1</v>
      </c>
      <c r="N213" s="2">
        <f>Таблица13[[#This Row],[Pуст, кВт]]*Таблица13[[#This Row],[Kи]]</f>
        <v>2.5</v>
      </c>
      <c r="O213" s="2">
        <f>IF(Таблица13[[#This Row],[Число фаз]]=1,J213/220/L213*M213*1000,J213/3/220/L213*M213*1000)</f>
        <v>4.7348484848484853</v>
      </c>
      <c r="P213" s="2" t="str">
        <f>Таблица13[[#This Row],[Коды щитков]] &amp; "/M" &amp; TEXT( Таблица13[[#This Row],[Номер АВ]], "00")</f>
        <v>ШС-4-4/M04</v>
      </c>
      <c r="Q213" s="1" t="s">
        <v>63</v>
      </c>
      <c r="R213" s="1">
        <v>5</v>
      </c>
      <c r="S213" s="1">
        <v>10</v>
      </c>
      <c r="T213" s="1">
        <f>Таблица13[[#This Row],[Сечение фазного]]</f>
        <v>10</v>
      </c>
      <c r="U213" s="1">
        <v>10</v>
      </c>
      <c r="V213" s="2">
        <f>IF(Таблица13[[#This Row],[Число фаз]]=1,2*O213*(22.5/S213*L213+0.08*SIN(ACOS(L213)))*(U213/1000)*(100/220),SQRT(3)*O213*(22.5/S213*L213+0.08*SIN(ACOS(L213)))*(U213/1000)*(100/380))</f>
        <v>3.9882748858493883E-2</v>
      </c>
      <c r="W2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ШС-4-4/M04-2,5-4,7-10</v>
      </c>
      <c r="X213" s="1" t="str">
        <f>TEXT(Таблица13[[#This Row],[Потери]],"0,0") &amp; "-" &amp;Таблица13[[#This Row],[Полная марка кабеля]]</f>
        <v>0,0-ВВГнг(A)-LS-5x10</v>
      </c>
      <c r="Y213" t="s">
        <v>440</v>
      </c>
      <c r="Z21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14" spans="1:26" x14ac:dyDescent="0.25">
      <c r="A214" s="1" t="s">
        <v>43</v>
      </c>
      <c r="B214" s="1">
        <v>213</v>
      </c>
      <c r="C214" s="4">
        <v>5</v>
      </c>
      <c r="D214" s="4" t="str">
        <f>"Acti9 iC60N C"&amp;Таблица13[[#This Row],[Номинал АВ]]&amp; " " &amp; Таблица13[[#This Row],[Число фаз]] &amp; "P"</f>
        <v>Acti9 iC60N C10 1P</v>
      </c>
      <c r="E214" s="1">
        <v>10</v>
      </c>
      <c r="F214" s="9"/>
      <c r="G214" s="1"/>
      <c r="H214" s="1" t="s">
        <v>191</v>
      </c>
      <c r="I214" s="1" t="s">
        <v>141</v>
      </c>
      <c r="J214" s="16">
        <v>1</v>
      </c>
      <c r="K214" s="1">
        <v>1</v>
      </c>
      <c r="L214" s="15">
        <v>0.9</v>
      </c>
      <c r="M214" s="1">
        <v>1</v>
      </c>
      <c r="N214" s="2">
        <f>Таблица13[[#This Row],[Pуст, кВт]]*Таблица13[[#This Row],[Kи]]</f>
        <v>1</v>
      </c>
      <c r="O214" s="2">
        <f>IF(Таблица13[[#This Row],[Число фаз]]=1,J214/220/L214*M214*1000,J214/3/220/L214*M214*1000)</f>
        <v>5.0505050505050502</v>
      </c>
      <c r="P214" s="2" t="str">
        <f>Таблица13[[#This Row],[Коды щитков]] &amp; "/M" &amp; TEXT( Таблица13[[#This Row],[Номер АВ]], "00")</f>
        <v>ШС-4-4/M05</v>
      </c>
      <c r="Q214" s="1" t="s">
        <v>63</v>
      </c>
      <c r="R214" s="1">
        <v>3</v>
      </c>
      <c r="S214" s="1">
        <v>1.5</v>
      </c>
      <c r="T214" s="1">
        <f>Таблица13[[#This Row],[Сечение фазного]]</f>
        <v>1.5</v>
      </c>
      <c r="U214" s="1">
        <v>10</v>
      </c>
      <c r="V214" s="2">
        <f>IF(Таблица13[[#This Row],[Число фаз]]=1,2*O214*(22.5/S214*L214+0.08*SIN(ACOS(L214)))*(U214/1000)*(100/220),SQRT(3)*O214*(22.5/S214*L214+0.08*SIN(ACOS(L214)))*(U214/1000)*(100/380))</f>
        <v>0.62143577555318297</v>
      </c>
      <c r="W21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ШС-4-4/M05-1,0-5,1-10</v>
      </c>
      <c r="X214" s="1" t="str">
        <f>TEXT(Таблица13[[#This Row],[Потери]],"0,0") &amp; "-" &amp;Таблица13[[#This Row],[Полная марка кабеля]]</f>
        <v>0,6-ВВГнг(A)-LS-3x1,5</v>
      </c>
      <c r="Y214" t="s">
        <v>440</v>
      </c>
      <c r="Z21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15" spans="1:26" x14ac:dyDescent="0.25">
      <c r="A215" s="1" t="s">
        <v>44</v>
      </c>
      <c r="B215" s="1">
        <v>214</v>
      </c>
      <c r="C215" s="4">
        <v>1</v>
      </c>
      <c r="D215" s="4" t="str">
        <f>"Acti9 iC60N C"&amp;Таблица13[[#This Row],[Номинал АВ]]&amp; " " &amp; Таблица13[[#This Row],[Число фаз]] &amp; "P"</f>
        <v>Acti9 iC60N C50 3P</v>
      </c>
      <c r="E215" s="1">
        <v>50</v>
      </c>
      <c r="F215" s="13" t="s">
        <v>401</v>
      </c>
      <c r="G215" s="1" t="s">
        <v>194</v>
      </c>
      <c r="H215" s="1" t="s">
        <v>405</v>
      </c>
      <c r="I215" s="1" t="s">
        <v>120</v>
      </c>
      <c r="J215" s="16">
        <v>14</v>
      </c>
      <c r="K215" s="1">
        <v>3</v>
      </c>
      <c r="L215" s="15">
        <v>0.8</v>
      </c>
      <c r="M215" s="1">
        <v>1</v>
      </c>
      <c r="N215" s="2">
        <f>Таблица13[[#This Row],[Pуст, кВт]]*Таблица13[[#This Row],[Kи]]</f>
        <v>14</v>
      </c>
      <c r="O215" s="2">
        <f>IF(Таблица13[[#This Row],[Число фаз]]=1,J215/220/L215*M215*1000,J215/3/220/L215*M215*1000)</f>
        <v>26.515151515151516</v>
      </c>
      <c r="P215" s="2" t="str">
        <f>Таблица13[[#This Row],[Коды щитков]] &amp; "/M" &amp; TEXT( Таблица13[[#This Row],[Номер АВ]], "00")</f>
        <v>ШС-4-3/M01</v>
      </c>
      <c r="Q215" s="1" t="s">
        <v>63</v>
      </c>
      <c r="R215" s="1">
        <v>5</v>
      </c>
      <c r="S215" s="1">
        <v>10</v>
      </c>
      <c r="T215" s="1">
        <f>Таблица13[[#This Row],[Сечение фазного]]</f>
        <v>10</v>
      </c>
      <c r="U215" s="1">
        <v>10</v>
      </c>
      <c r="V215" s="2">
        <f>IF(Таблица13[[#This Row],[Число фаз]]=1,2*O215*(22.5/S215*L215+0.08*SIN(ACOS(L215)))*(U215/1000)*(100/220),SQRT(3)*O215*(22.5/S215*L215+0.08*SIN(ACOS(L215)))*(U215/1000)*(100/380))</f>
        <v>0.22334339360756578</v>
      </c>
      <c r="W2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ШС-4-3/M01-14,0-26,5-10</v>
      </c>
      <c r="X215" s="1" t="str">
        <f>TEXT(Таблица13[[#This Row],[Потери]],"0,0") &amp; "-" &amp;Таблица13[[#This Row],[Полная марка кабеля]]</f>
        <v>0,2-ВВГнг(A)-LS-5x10</v>
      </c>
      <c r="Y215" t="s">
        <v>441</v>
      </c>
      <c r="Z21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16" spans="1:26" x14ac:dyDescent="0.25">
      <c r="A216" s="1" t="s">
        <v>44</v>
      </c>
      <c r="B216" s="1">
        <v>215</v>
      </c>
      <c r="C216" s="4">
        <v>2</v>
      </c>
      <c r="D216" s="4" t="str">
        <f>"Acti9 iC60N C"&amp;Таблица13[[#This Row],[Номинал АВ]]&amp; " " &amp; Таблица13[[#This Row],[Число фаз]] &amp; "P"</f>
        <v>Acti9 iC60N C25 3P</v>
      </c>
      <c r="E216" s="1">
        <v>25</v>
      </c>
      <c r="F216" s="13" t="s">
        <v>381</v>
      </c>
      <c r="G216" s="1" t="s">
        <v>195</v>
      </c>
      <c r="H216" s="1" t="s">
        <v>193</v>
      </c>
      <c r="I216" s="1" t="s">
        <v>120</v>
      </c>
      <c r="J216" s="16">
        <v>12</v>
      </c>
      <c r="K216" s="1">
        <v>3</v>
      </c>
      <c r="L216" s="15">
        <v>0.8</v>
      </c>
      <c r="M216" s="1">
        <v>1</v>
      </c>
      <c r="N216" s="2">
        <f>Таблица13[[#This Row],[Pуст, кВт]]*Таблица13[[#This Row],[Kи]]</f>
        <v>12</v>
      </c>
      <c r="O216" s="2">
        <f>IF(Таблица13[[#This Row],[Число фаз]]=1,J216/220/L216*M216*1000,J216/3/220/L216*M216*1000)</f>
        <v>22.727272727272723</v>
      </c>
      <c r="P216" s="2" t="str">
        <f>Таблица13[[#This Row],[Коды щитков]] &amp; "/M" &amp; TEXT( Таблица13[[#This Row],[Номер АВ]], "00")</f>
        <v>ШС-4-3/M02</v>
      </c>
      <c r="Q216" s="1" t="s">
        <v>63</v>
      </c>
      <c r="R216" s="1">
        <v>5</v>
      </c>
      <c r="S216" s="1">
        <v>4</v>
      </c>
      <c r="T216" s="1">
        <f>Таблица13[[#This Row],[Сечение фазного]]</f>
        <v>4</v>
      </c>
      <c r="U216" s="1">
        <v>20</v>
      </c>
      <c r="V216" s="2">
        <f>IF(Таблица13[[#This Row],[Число фаз]]=1,2*O216*(22.5/S216*L216+0.08*SIN(ACOS(L216)))*(U216/1000)*(100/220),SQRT(3)*O216*(22.5/S216*L216+0.08*SIN(ACOS(L216)))*(U216/1000)*(100/380))</f>
        <v>0.94226878861522156</v>
      </c>
      <c r="W2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ШС-4-3/M02-12,0-22,7-20</v>
      </c>
      <c r="X216" s="1" t="str">
        <f>TEXT(Таблица13[[#This Row],[Потери]],"0,0") &amp; "-" &amp;Таблица13[[#This Row],[Полная марка кабеля]]</f>
        <v>0,9-ВВГнг(A)-LS-5x4</v>
      </c>
      <c r="Y216" t="s">
        <v>441</v>
      </c>
      <c r="Z21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17" spans="1:26" x14ac:dyDescent="0.25">
      <c r="A217" s="1" t="s">
        <v>44</v>
      </c>
      <c r="B217" s="1">
        <v>216</v>
      </c>
      <c r="C217" s="4">
        <v>3</v>
      </c>
      <c r="D217" s="4" t="str">
        <f>"Acti9 iC60N C"&amp;Таблица13[[#This Row],[Номинал АВ]]&amp; " " &amp; Таблица13[[#This Row],[Число фаз]] &amp; "P"</f>
        <v>Acti9 iC60N C63 3P</v>
      </c>
      <c r="E217" s="1">
        <v>63</v>
      </c>
      <c r="F217" s="13" t="s">
        <v>319</v>
      </c>
      <c r="G217" s="1"/>
      <c r="H217" s="1" t="s">
        <v>97</v>
      </c>
      <c r="I217" s="1" t="s">
        <v>120</v>
      </c>
      <c r="J217" s="16">
        <v>30</v>
      </c>
      <c r="K217" s="1">
        <v>3</v>
      </c>
      <c r="L217" s="15">
        <v>1</v>
      </c>
      <c r="M217" s="1">
        <v>1</v>
      </c>
      <c r="N217" s="2">
        <f>Таблица13[[#This Row],[Pуст, кВт]]*Таблица13[[#This Row],[Kи]]</f>
        <v>30</v>
      </c>
      <c r="O217" s="2">
        <f>IF(Таблица13[[#This Row],[Число фаз]]=1,J217/220/L217*M217*1000,J217/3/220/L217*M217*1000)</f>
        <v>45.454545454545453</v>
      </c>
      <c r="P217" s="2" t="str">
        <f>Таблица13[[#This Row],[Коды щитков]] &amp; "/M" &amp; TEXT( Таблица13[[#This Row],[Номер АВ]], "00")</f>
        <v>ШС-4-3/M03</v>
      </c>
      <c r="Q217" s="1" t="s">
        <v>63</v>
      </c>
      <c r="R217" s="1">
        <v>5</v>
      </c>
      <c r="S217" s="1">
        <v>16</v>
      </c>
      <c r="T217" s="1">
        <f>Таблица13[[#This Row],[Сечение фазного]]</f>
        <v>16</v>
      </c>
      <c r="U217" s="1">
        <v>20</v>
      </c>
      <c r="V217" s="2">
        <f>IF(Таблица13[[#This Row],[Число фаз]]=1,2*O217*(22.5/S217*L217+0.08*SIN(ACOS(L217)))*(U217/1000)*(100/220),SQRT(3)*O217*(22.5/S217*L217+0.08*SIN(ACOS(L217)))*(U217/1000)*(100/380))</f>
        <v>0.58270249955591702</v>
      </c>
      <c r="W2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ШС-4-3/M03-30,0-45,5-20</v>
      </c>
      <c r="X217" s="1" t="str">
        <f>TEXT(Таблица13[[#This Row],[Потери]],"0,0") &amp; "-" &amp;Таблица13[[#This Row],[Полная марка кабеля]]</f>
        <v>0,6-ВВГнг(A)-LS-5x16</v>
      </c>
      <c r="Y217" t="s">
        <v>441</v>
      </c>
      <c r="Z21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ВВГнг(A)-LS-5x16</v>
      </c>
    </row>
    <row r="218" spans="1:26" x14ac:dyDescent="0.25">
      <c r="A218" s="1" t="s">
        <v>44</v>
      </c>
      <c r="B218" s="1">
        <v>217</v>
      </c>
      <c r="C218" s="4">
        <v>4</v>
      </c>
      <c r="D218" s="4" t="str">
        <f>"Acti9 iC60N C"&amp;Таблица13[[#This Row],[Номинал АВ]]&amp; " " &amp; Таблица13[[#This Row],[Число фаз]] &amp; "P"</f>
        <v>Acti9 iC60N C10 1P</v>
      </c>
      <c r="E218" s="1">
        <v>10</v>
      </c>
      <c r="F218" s="9"/>
      <c r="G218" s="1"/>
      <c r="H218" s="1" t="s">
        <v>73</v>
      </c>
      <c r="I218" s="1" t="s">
        <v>171</v>
      </c>
      <c r="J218" s="16">
        <f>13*0.033</f>
        <v>0.42900000000000005</v>
      </c>
      <c r="K218" s="1">
        <v>1</v>
      </c>
      <c r="L218" s="15">
        <v>0.96</v>
      </c>
      <c r="M218" s="1">
        <v>1</v>
      </c>
      <c r="N218" s="2">
        <f>Таблица13[[#This Row],[Pуст, кВт]]*Таблица13[[#This Row],[Kи]]</f>
        <v>0.42900000000000005</v>
      </c>
      <c r="O218" s="2">
        <f>IF(Таблица13[[#This Row],[Число фаз]]=1,J218/220/L218*M218*1000,J218/3/220/L218*M218*1000)</f>
        <v>2.03125</v>
      </c>
      <c r="P218" s="2" t="str">
        <f>Таблица13[[#This Row],[Коды щитков]] &amp; "/M" &amp; TEXT( Таблица13[[#This Row],[Номер АВ]], "00")</f>
        <v>ШС-4-3/M04</v>
      </c>
      <c r="Q218" s="1" t="s">
        <v>63</v>
      </c>
      <c r="R218" s="1">
        <v>3</v>
      </c>
      <c r="S218" s="1">
        <v>1.5</v>
      </c>
      <c r="T218" s="1">
        <f>Таблица13[[#This Row],[Сечение фазного]]</f>
        <v>1.5</v>
      </c>
      <c r="U218" s="1">
        <v>90</v>
      </c>
      <c r="V218" s="2">
        <f>IF(Таблица13[[#This Row],[Число фаз]]=1,2*O218*(22.5/S218*L218+0.08*SIN(ACOS(L218)))*(U218/1000)*(100/220),SQRT(3)*O218*(22.5/S218*L218+0.08*SIN(ACOS(L218)))*(U218/1000)*(100/380))</f>
        <v>2.3969045454545452</v>
      </c>
      <c r="W2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ШС-4-3/M04-0,4-2,0-90</v>
      </c>
      <c r="X218" s="1" t="str">
        <f>TEXT(Таблица13[[#This Row],[Потери]],"0,0") &amp; "-" &amp;Таблица13[[#This Row],[Полная марка кабеля]]</f>
        <v>2,4-ВВГнг(A)-LS-3x1,5</v>
      </c>
      <c r="Y218" t="s">
        <v>441</v>
      </c>
      <c r="Z21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19" spans="1:26" x14ac:dyDescent="0.25">
      <c r="A219" s="1" t="s">
        <v>45</v>
      </c>
      <c r="B219" s="1">
        <v>218</v>
      </c>
      <c r="C219" s="4">
        <v>1</v>
      </c>
      <c r="D219" s="4" t="str">
        <f>"Acti9 iC60N C"&amp;Таблица13[[#This Row],[Номинал АВ]]&amp; " " &amp; Таблица13[[#This Row],[Число фаз]] &amp; "P"</f>
        <v>Acti9 iC60N C32 3P</v>
      </c>
      <c r="E219" s="1">
        <v>32</v>
      </c>
      <c r="F219" s="13" t="s">
        <v>385</v>
      </c>
      <c r="G219" s="1" t="s">
        <v>200</v>
      </c>
      <c r="H219" s="1" t="s">
        <v>196</v>
      </c>
      <c r="I219" s="1" t="s">
        <v>164</v>
      </c>
      <c r="J219" s="16">
        <v>15</v>
      </c>
      <c r="K219" s="1">
        <v>3</v>
      </c>
      <c r="L219" s="15">
        <v>0.8</v>
      </c>
      <c r="M219" s="1">
        <v>1</v>
      </c>
      <c r="N219" s="2">
        <f>Таблица13[[#This Row],[Pуст, кВт]]*Таблица13[[#This Row],[Kи]]</f>
        <v>15</v>
      </c>
      <c r="O219" s="2">
        <f>IF(Таблица13[[#This Row],[Число фаз]]=1,J219/220/L219*M219*1000,J219/3/220/L219*M219*1000)</f>
        <v>28.409090909090907</v>
      </c>
      <c r="P219" s="2" t="str">
        <f>Таблица13[[#This Row],[Коды щитков]] &amp; "/M" &amp; TEXT( Таблица13[[#This Row],[Номер АВ]], "00")</f>
        <v>ШС-4-2Б/M01</v>
      </c>
      <c r="Q219" s="1" t="s">
        <v>63</v>
      </c>
      <c r="R219" s="1">
        <v>5</v>
      </c>
      <c r="S219" s="1">
        <v>6</v>
      </c>
      <c r="T219" s="1">
        <f>Таблица13[[#This Row],[Сечение фазного]]</f>
        <v>6</v>
      </c>
      <c r="U219" s="1">
        <v>10</v>
      </c>
      <c r="V219" s="2">
        <f>IF(Таблица13[[#This Row],[Число фаз]]=1,2*O219*(22.5/S219*L219+0.08*SIN(ACOS(L219)))*(U219/1000)*(100/220),SQRT(3)*O219*(22.5/S219*L219+0.08*SIN(ACOS(L219)))*(U219/1000)*(100/380))</f>
        <v>0.39468382636587446</v>
      </c>
      <c r="W2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ШС-4-2Б/M01-15,0-28,4-10</v>
      </c>
      <c r="X219" s="1" t="str">
        <f>TEXT(Таблица13[[#This Row],[Потери]],"0,0") &amp; "-" &amp;Таблица13[[#This Row],[Полная марка кабеля]]</f>
        <v>0,4-ВВГнг(A)-LS-5x6</v>
      </c>
      <c r="Y219" t="s">
        <v>442</v>
      </c>
      <c r="Z21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220" spans="1:26" x14ac:dyDescent="0.25">
      <c r="A220" s="1" t="s">
        <v>45</v>
      </c>
      <c r="B220" s="1">
        <v>219</v>
      </c>
      <c r="C220" s="4">
        <v>2</v>
      </c>
      <c r="D220" s="4" t="str">
        <f>"Acti9 iC60N C"&amp;Таблица13[[#This Row],[Номинал АВ]]&amp; " " &amp; Таблица13[[#This Row],[Число фаз]] &amp; "P"</f>
        <v>Acti9 iC60N C16 3P</v>
      </c>
      <c r="E220" s="1">
        <v>16</v>
      </c>
      <c r="F220" s="13" t="s">
        <v>386</v>
      </c>
      <c r="G220" s="1" t="s">
        <v>201</v>
      </c>
      <c r="H220" s="1" t="s">
        <v>197</v>
      </c>
      <c r="I220" s="1" t="s">
        <v>164</v>
      </c>
      <c r="J220" s="16">
        <v>0.8</v>
      </c>
      <c r="K220" s="1">
        <v>3</v>
      </c>
      <c r="L220" s="15">
        <v>0.8</v>
      </c>
      <c r="M220" s="1">
        <v>1</v>
      </c>
      <c r="N220" s="2">
        <f>Таблица13[[#This Row],[Pуст, кВт]]*Таблица13[[#This Row],[Kи]]</f>
        <v>0.8</v>
      </c>
      <c r="O220" s="2">
        <f>IF(Таблица13[[#This Row],[Число фаз]]=1,J220/220/L220*M220*1000,J220/3/220/L220*M220*1000)</f>
        <v>1.5151515151515151</v>
      </c>
      <c r="P220" s="2" t="str">
        <f>Таблица13[[#This Row],[Коды щитков]] &amp; "/M" &amp; TEXT( Таблица13[[#This Row],[Номер АВ]], "00")</f>
        <v>ШС-4-2Б/M02</v>
      </c>
      <c r="Q220" s="1" t="s">
        <v>63</v>
      </c>
      <c r="R220" s="1">
        <v>5</v>
      </c>
      <c r="S220" s="1">
        <v>2.5</v>
      </c>
      <c r="T220" s="1">
        <f>Таблица13[[#This Row],[Сечение фазного]]</f>
        <v>2.5</v>
      </c>
      <c r="U220" s="1">
        <v>10</v>
      </c>
      <c r="V220" s="2">
        <f>IF(Таблица13[[#This Row],[Число фаз]]=1,2*O220*(22.5/S220*L220+0.08*SIN(ACOS(L220)))*(U220/1000)*(100/220),SQRT(3)*O220*(22.5/S220*L220+0.08*SIN(ACOS(L220)))*(U220/1000)*(100/380))</f>
        <v>5.0055439606296742E-2</v>
      </c>
      <c r="W2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ШС-4-2Б/M02-0,8-1,5-10</v>
      </c>
      <c r="X220" s="1" t="str">
        <f>TEXT(Таблица13[[#This Row],[Потери]],"0,0") &amp; "-" &amp;Таблица13[[#This Row],[Полная марка кабеля]]</f>
        <v>0,1-ВВГнг(A)-LS-5x2,5</v>
      </c>
      <c r="Y220" t="s">
        <v>442</v>
      </c>
      <c r="Z22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21" spans="1:26" x14ac:dyDescent="0.25">
      <c r="A221" s="1" t="s">
        <v>45</v>
      </c>
      <c r="B221" s="1">
        <v>220</v>
      </c>
      <c r="C221" s="4">
        <v>3</v>
      </c>
      <c r="D221" s="4" t="str">
        <f>"Acti9 iC60N C"&amp;Таблица13[[#This Row],[Номинал АВ]]&amp; " " &amp; Таблица13[[#This Row],[Число фаз]] &amp; "P"</f>
        <v>Acti9 iC60N C16 3P</v>
      </c>
      <c r="E221" s="1">
        <v>16</v>
      </c>
      <c r="F221" s="13" t="s">
        <v>387</v>
      </c>
      <c r="G221" s="1" t="s">
        <v>202</v>
      </c>
      <c r="H221" s="1" t="s">
        <v>198</v>
      </c>
      <c r="I221" s="1" t="s">
        <v>164</v>
      </c>
      <c r="J221" s="16">
        <v>1.5</v>
      </c>
      <c r="K221" s="1">
        <v>3</v>
      </c>
      <c r="L221" s="15">
        <v>0.8</v>
      </c>
      <c r="M221" s="1">
        <v>1</v>
      </c>
      <c r="N221" s="2">
        <f>Таблица13[[#This Row],[Pуст, кВт]]*Таблица13[[#This Row],[Kи]]</f>
        <v>1.5</v>
      </c>
      <c r="O221" s="2">
        <f>IF(Таблица13[[#This Row],[Число фаз]]=1,J221/220/L221*M221*1000,J221/3/220/L221*M221*1000)</f>
        <v>2.8409090909090904</v>
      </c>
      <c r="P221" s="2" t="str">
        <f>Таблица13[[#This Row],[Коды щитков]] &amp; "/M" &amp; TEXT( Таблица13[[#This Row],[Номер АВ]], "00")</f>
        <v>ШС-4-2Б/M03</v>
      </c>
      <c r="Q221" s="1" t="s">
        <v>63</v>
      </c>
      <c r="R221" s="1">
        <v>5</v>
      </c>
      <c r="S221" s="1">
        <v>2.5</v>
      </c>
      <c r="T221" s="1">
        <f>Таблица13[[#This Row],[Сечение фазного]]</f>
        <v>2.5</v>
      </c>
      <c r="U221" s="1">
        <v>10</v>
      </c>
      <c r="V221" s="2">
        <f>IF(Таблица13[[#This Row],[Число фаз]]=1,2*O221*(22.5/S221*L221+0.08*SIN(ACOS(L221)))*(U221/1000)*(100/220),SQRT(3)*O221*(22.5/S221*L221+0.08*SIN(ACOS(L221)))*(U221/1000)*(100/380))</f>
        <v>9.385394926180636E-2</v>
      </c>
      <c r="W2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ШС-4-2Б/M03-1,5-2,8-10</v>
      </c>
      <c r="X221" s="1" t="str">
        <f>TEXT(Таблица13[[#This Row],[Потери]],"0,0") &amp; "-" &amp;Таблица13[[#This Row],[Полная марка кабеля]]</f>
        <v>0,1-ВВГнг(A)-LS-5x2,5</v>
      </c>
      <c r="Y221" t="s">
        <v>442</v>
      </c>
      <c r="Z22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22" spans="1:26" x14ac:dyDescent="0.25">
      <c r="A222" s="1" t="s">
        <v>45</v>
      </c>
      <c r="B222" s="1">
        <v>221</v>
      </c>
      <c r="C222" s="4">
        <v>4</v>
      </c>
      <c r="D222" s="4" t="str">
        <f>"Acti9 iC60N C"&amp;Таблица13[[#This Row],[Номинал АВ]]&amp; " " &amp; Таблица13[[#This Row],[Число фаз]] &amp; "P"</f>
        <v>Acti9 iC60N C16 3P</v>
      </c>
      <c r="E222" s="1">
        <v>16</v>
      </c>
      <c r="F222" s="13" t="s">
        <v>374</v>
      </c>
      <c r="G222" s="1" t="s">
        <v>203</v>
      </c>
      <c r="H222" s="1" t="s">
        <v>408</v>
      </c>
      <c r="I222" s="1" t="s">
        <v>219</v>
      </c>
      <c r="J222" s="16">
        <v>4.5</v>
      </c>
      <c r="K222" s="1">
        <v>3</v>
      </c>
      <c r="L222" s="15">
        <v>0.8</v>
      </c>
      <c r="M222" s="1">
        <v>1</v>
      </c>
      <c r="N222" s="2">
        <f>Таблица13[[#This Row],[Pуст, кВт]]*Таблица13[[#This Row],[Kи]]</f>
        <v>4.5</v>
      </c>
      <c r="O222" s="2">
        <f>IF(Таблица13[[#This Row],[Число фаз]]=1,J222/220/L222*M222*1000,J222/3/220/L222*M222*1000)</f>
        <v>8.5227272727272716</v>
      </c>
      <c r="P222" s="2" t="str">
        <f>Таблица13[[#This Row],[Коды щитков]] &amp; "/M" &amp; TEXT( Таблица13[[#This Row],[Номер АВ]], "00")</f>
        <v>ШС-4-2Б/M04</v>
      </c>
      <c r="Q222" s="1" t="s">
        <v>63</v>
      </c>
      <c r="R222" s="1">
        <v>5</v>
      </c>
      <c r="S222" s="1">
        <v>2.5</v>
      </c>
      <c r="T222" s="1">
        <f>Таблица13[[#This Row],[Сечение фазного]]</f>
        <v>2.5</v>
      </c>
      <c r="U222" s="1">
        <v>10</v>
      </c>
      <c r="V222" s="2">
        <f>IF(Таблица13[[#This Row],[Число фаз]]=1,2*O222*(22.5/S222*L222+0.08*SIN(ACOS(L222)))*(U222/1000)*(100/220),SQRT(3)*O222*(22.5/S222*L222+0.08*SIN(ACOS(L222)))*(U222/1000)*(100/380))</f>
        <v>0.28156184778541915</v>
      </c>
      <c r="W2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ШС-4-2Б/M04-4,5-8,5-10</v>
      </c>
      <c r="X222" s="1" t="str">
        <f>TEXT(Таблица13[[#This Row],[Потери]],"0,0") &amp; "-" &amp;Таблица13[[#This Row],[Полная марка кабеля]]</f>
        <v>0,3-ВВГнг(A)-LS-5x2,5</v>
      </c>
      <c r="Y222" t="s">
        <v>442</v>
      </c>
      <c r="Z22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23" spans="1:26" x14ac:dyDescent="0.25">
      <c r="A223" s="1" t="s">
        <v>45</v>
      </c>
      <c r="B223" s="1">
        <v>222</v>
      </c>
      <c r="C223" s="4">
        <v>5</v>
      </c>
      <c r="D223" s="4" t="str">
        <f>"Acti9 iC60N C"&amp;Таблица13[[#This Row],[Номинал АВ]]&amp; " " &amp; Таблица13[[#This Row],[Число фаз]] &amp; "P"</f>
        <v>Acti9 iC60N C16 3P</v>
      </c>
      <c r="E223" s="1">
        <v>16</v>
      </c>
      <c r="F223" s="13" t="s">
        <v>388</v>
      </c>
      <c r="G223" s="1" t="s">
        <v>204</v>
      </c>
      <c r="H223" s="1" t="s">
        <v>199</v>
      </c>
      <c r="I223" s="1" t="s">
        <v>219</v>
      </c>
      <c r="J223" s="16">
        <v>4</v>
      </c>
      <c r="K223" s="1">
        <v>3</v>
      </c>
      <c r="L223" s="15">
        <v>0.8</v>
      </c>
      <c r="M223" s="1">
        <v>1</v>
      </c>
      <c r="N223" s="2">
        <f>Таблица13[[#This Row],[Pуст, кВт]]*Таблица13[[#This Row],[Kи]]</f>
        <v>4</v>
      </c>
      <c r="O223" s="2">
        <f>IF(Таблица13[[#This Row],[Число фаз]]=1,J223/220/L223*M223*1000,J223/3/220/L223*M223*1000)</f>
        <v>7.5757575757575752</v>
      </c>
      <c r="P223" s="2" t="str">
        <f>Таблица13[[#This Row],[Коды щитков]] &amp; "/M" &amp; TEXT( Таблица13[[#This Row],[Номер АВ]], "00")</f>
        <v>ШС-4-2Б/M05</v>
      </c>
      <c r="Q223" s="1" t="s">
        <v>63</v>
      </c>
      <c r="R223" s="1">
        <v>5</v>
      </c>
      <c r="S223" s="1">
        <v>2.5</v>
      </c>
      <c r="T223" s="1">
        <f>Таблица13[[#This Row],[Сечение фазного]]</f>
        <v>2.5</v>
      </c>
      <c r="U223" s="1">
        <v>10</v>
      </c>
      <c r="V223" s="2">
        <f>IF(Таблица13[[#This Row],[Число фаз]]=1,2*O223*(22.5/S223*L223+0.08*SIN(ACOS(L223)))*(U223/1000)*(100/220),SQRT(3)*O223*(22.5/S223*L223+0.08*SIN(ACOS(L223)))*(U223/1000)*(100/380))</f>
        <v>0.25027719803148368</v>
      </c>
      <c r="W2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ШС-4-2Б/M05-4,0-7,6-10</v>
      </c>
      <c r="X223" s="1" t="str">
        <f>TEXT(Таблица13[[#This Row],[Потери]],"0,0") &amp; "-" &amp;Таблица13[[#This Row],[Полная марка кабеля]]</f>
        <v>0,3-ВВГнг(A)-LS-5x2,5</v>
      </c>
      <c r="Y223" t="s">
        <v>442</v>
      </c>
      <c r="Z22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24" spans="1:26" x14ac:dyDescent="0.25">
      <c r="A224" s="1" t="s">
        <v>45</v>
      </c>
      <c r="B224" s="1">
        <v>223</v>
      </c>
      <c r="C224" s="4">
        <v>6</v>
      </c>
      <c r="D224" s="4" t="str">
        <f>"Acti9 iC60N C"&amp;Таблица13[[#This Row],[Номинал АВ]]&amp; " " &amp; Таблица13[[#This Row],[Число фаз]] &amp; "P"</f>
        <v>Acti9 iC60N C10 1P</v>
      </c>
      <c r="E224" s="1">
        <v>10</v>
      </c>
      <c r="F224" s="9"/>
      <c r="G224" s="1"/>
      <c r="H224" s="1" t="s">
        <v>73</v>
      </c>
      <c r="I224" s="1" t="s">
        <v>164</v>
      </c>
      <c r="J224" s="16">
        <f>12*0.033</f>
        <v>0.39600000000000002</v>
      </c>
      <c r="K224" s="1">
        <v>1</v>
      </c>
      <c r="L224" s="15">
        <v>0.96</v>
      </c>
      <c r="M224" s="1">
        <v>1</v>
      </c>
      <c r="N224" s="2">
        <f>Таблица13[[#This Row],[Pуст, кВт]]*Таблица13[[#This Row],[Kи]]</f>
        <v>0.39600000000000002</v>
      </c>
      <c r="O224" s="2">
        <f>IF(Таблица13[[#This Row],[Число фаз]]=1,J224/220/L224*M224*1000,J224/3/220/L224*M224*1000)</f>
        <v>1.8750000000000002</v>
      </c>
      <c r="P224" s="2" t="str">
        <f>Таблица13[[#This Row],[Коды щитков]] &amp; "/M" &amp; TEXT( Таблица13[[#This Row],[Номер АВ]], "00")</f>
        <v>ШС-4-2Б/M06</v>
      </c>
      <c r="Q224" s="1" t="s">
        <v>63</v>
      </c>
      <c r="R224" s="1">
        <v>3</v>
      </c>
      <c r="S224" s="1">
        <v>1.5</v>
      </c>
      <c r="T224" s="1">
        <f>Таблица13[[#This Row],[Сечение фазного]]</f>
        <v>1.5</v>
      </c>
      <c r="U224" s="1">
        <v>60</v>
      </c>
      <c r="V224" s="2">
        <f>IF(Таблица13[[#This Row],[Число фаз]]=1,2*O224*(22.5/S224*L224+0.08*SIN(ACOS(L224)))*(U224/1000)*(100/220),SQRT(3)*O224*(22.5/S224*L224+0.08*SIN(ACOS(L224)))*(U224/1000)*(100/380))</f>
        <v>1.4750181818181816</v>
      </c>
      <c r="W2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ШС-4-2Б/M06-0,4-1,9-60</v>
      </c>
      <c r="X224" s="1" t="str">
        <f>TEXT(Таблица13[[#This Row],[Потери]],"0,0") &amp; "-" &amp;Таблица13[[#This Row],[Полная марка кабеля]]</f>
        <v>1,5-ВВГнг(A)-LS-3x1,5</v>
      </c>
      <c r="Y224" t="s">
        <v>442</v>
      </c>
      <c r="Z22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25" spans="1:26" x14ac:dyDescent="0.25">
      <c r="A225" s="1" t="s">
        <v>46</v>
      </c>
      <c r="B225" s="1">
        <v>224</v>
      </c>
      <c r="C225" s="4">
        <v>0</v>
      </c>
      <c r="D225" s="4" t="str">
        <f>"Acti9 iC60N C"&amp;Таблица13[[#This Row],[Номинал АВ]]&amp; " " &amp; Таблица13[[#This Row],[Число фаз]] &amp; "P"</f>
        <v>Acti9 iC60N C50 3P</v>
      </c>
      <c r="E225" s="1">
        <v>50</v>
      </c>
      <c r="F225" s="9"/>
      <c r="G225" s="1"/>
      <c r="H225" s="1"/>
      <c r="I225" s="1"/>
      <c r="K225" s="1">
        <v>3</v>
      </c>
      <c r="N225" s="2">
        <f>Таблица13[[#This Row],[Pуст, кВт]]*Таблица13[[#This Row],[Kи]]</f>
        <v>0</v>
      </c>
      <c r="O225" s="2" t="e">
        <f>IF(Таблица13[[#This Row],[Число фаз]]=1,J225/220/L225*M225*1000,J225/3/220/L225*M225*1000)</f>
        <v>#DIV/0!</v>
      </c>
      <c r="P225" s="2" t="str">
        <f>Таблица13[[#This Row],[Коды щитков]] &amp; "/M" &amp; TEXT( Таблица13[[#This Row],[Номер АВ]], "00")</f>
        <v>/M00</v>
      </c>
      <c r="Q225" s="1"/>
      <c r="R225" s="1"/>
      <c r="S225" s="1"/>
      <c r="T225" s="25">
        <f>Таблица13[[#This Row],[Сечение фазного]]</f>
        <v>0</v>
      </c>
      <c r="U225" s="1"/>
      <c r="V225" s="2" t="e">
        <f>IF(Таблица13[[#This Row],[Число фаз]]=1,2*O225*(22.5/S225*L225+0.08*SIN(ACOS(L225)))*(U225/1000)*(100/220),SQRT(3)*O225*(22.5/S225*L225+0.08*SIN(ACOS(L225)))*(U225/1000)*(100/380))</f>
        <v>#DIV/0!</v>
      </c>
      <c r="W225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25" s="25" t="e">
        <f>TEXT(Таблица13[[#This Row],[Потери]],"0,0") &amp; "-" &amp;Таблица13[[#This Row],[Полная марка кабеля]]</f>
        <v>#DIV/0!</v>
      </c>
      <c r="Y225" s="1"/>
      <c r="Z225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26" spans="1:26" x14ac:dyDescent="0.25">
      <c r="A226" s="1" t="s">
        <v>46</v>
      </c>
      <c r="B226" s="1">
        <v>225</v>
      </c>
      <c r="C226" s="4">
        <v>1</v>
      </c>
      <c r="D226" s="4" t="str">
        <f>"Acti9 iC60N C"&amp;Таблица13[[#This Row],[Номинал АВ]]&amp; " " &amp; Таблица13[[#This Row],[Число фаз]] &amp; "P"</f>
        <v>Acti9 iC60N C32 1P</v>
      </c>
      <c r="E226" s="1">
        <v>32</v>
      </c>
      <c r="F226" s="13" t="s">
        <v>382</v>
      </c>
      <c r="G226" s="1" t="s">
        <v>206</v>
      </c>
      <c r="H226" s="1" t="s">
        <v>205</v>
      </c>
      <c r="I226" s="1" t="s">
        <v>132</v>
      </c>
      <c r="J226" s="16">
        <v>2</v>
      </c>
      <c r="K226" s="1">
        <v>1</v>
      </c>
      <c r="L226" s="15">
        <v>0.9</v>
      </c>
      <c r="M226" s="1">
        <v>1</v>
      </c>
      <c r="N226" s="2">
        <f>Таблица13[[#This Row],[Pуст, кВт]]*Таблица13[[#This Row],[Kи]]</f>
        <v>2</v>
      </c>
      <c r="O226" s="2">
        <f>IF(Таблица13[[#This Row],[Число фаз]]=1,J226/220/L226*M226*1000,J226/3/220/L226*M226*1000)</f>
        <v>10.1010101010101</v>
      </c>
      <c r="P226" s="2" t="str">
        <f>Таблица13[[#This Row],[Коды щитков]] &amp; "/M" &amp; TEXT( Таблица13[[#This Row],[Номер АВ]], "00")</f>
        <v>ШС-4-2А/M01</v>
      </c>
      <c r="Q226" s="1" t="s">
        <v>63</v>
      </c>
      <c r="R226" s="1">
        <v>3</v>
      </c>
      <c r="S226" s="1">
        <v>6</v>
      </c>
      <c r="T226" s="1">
        <f>Таблица13[[#This Row],[Сечение фазного]]</f>
        <v>6</v>
      </c>
      <c r="U226" s="1">
        <v>10</v>
      </c>
      <c r="V226" s="2">
        <f>IF(Таблица13[[#This Row],[Число фаз]]=1,2*O226*(22.5/S226*L226+0.08*SIN(ACOS(L226)))*(U226/1000)*(100/220),SQRT(3)*O226*(22.5/S226*L226+0.08*SIN(ACOS(L226)))*(U226/1000)*(100/380))</f>
        <v>0.31311948499066344</v>
      </c>
      <c r="W22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ШС-4-2А/M01-2,0-10,1-10</v>
      </c>
      <c r="X226" s="1" t="str">
        <f>TEXT(Таблица13[[#This Row],[Потери]],"0,0") &amp; "-" &amp;Таблица13[[#This Row],[Полная марка кабеля]]</f>
        <v>0,3-ВВГнг(A)-LS-3x6</v>
      </c>
      <c r="Y226" t="s">
        <v>443</v>
      </c>
      <c r="Z22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ВВГнг(A)-LS-3x6</v>
      </c>
    </row>
    <row r="227" spans="1:26" x14ac:dyDescent="0.25">
      <c r="A227" s="1" t="s">
        <v>46</v>
      </c>
      <c r="B227" s="1">
        <v>226</v>
      </c>
      <c r="C227" s="4">
        <v>2</v>
      </c>
      <c r="D227" s="4" t="str">
        <f>"Acti9 iC60N C"&amp;Таблица13[[#This Row],[Номинал АВ]]&amp; " " &amp; Таблица13[[#This Row],[Число фаз]] &amp; "P"</f>
        <v>Acti9 iC60N C25 1P</v>
      </c>
      <c r="E227" s="1">
        <v>25</v>
      </c>
      <c r="F227" s="13" t="s">
        <v>383</v>
      </c>
      <c r="G227" s="1" t="s">
        <v>207</v>
      </c>
      <c r="H227" s="1" t="s">
        <v>205</v>
      </c>
      <c r="I227" s="1" t="s">
        <v>132</v>
      </c>
      <c r="J227" s="16">
        <v>1</v>
      </c>
      <c r="K227" s="1">
        <v>1</v>
      </c>
      <c r="L227" s="15">
        <v>0.9</v>
      </c>
      <c r="M227" s="1">
        <v>1</v>
      </c>
      <c r="N227" s="2">
        <f>Таблица13[[#This Row],[Pуст, кВт]]*Таблица13[[#This Row],[Kи]]</f>
        <v>1</v>
      </c>
      <c r="O227" s="2">
        <f>IF(Таблица13[[#This Row],[Число фаз]]=1,J227/220/L227*M227*1000,J227/3/220/L227*M227*1000)</f>
        <v>5.0505050505050502</v>
      </c>
      <c r="P227" s="2" t="str">
        <f>Таблица13[[#This Row],[Коды щитков]] &amp; "/M" &amp; TEXT( Таблица13[[#This Row],[Номер АВ]], "00")</f>
        <v>ШС-4-2А/M02</v>
      </c>
      <c r="Q227" s="1" t="s">
        <v>63</v>
      </c>
      <c r="R227" s="1">
        <v>3</v>
      </c>
      <c r="S227" s="1">
        <v>4</v>
      </c>
      <c r="T227" s="1">
        <f>Таблица13[[#This Row],[Сечение фазного]]</f>
        <v>4</v>
      </c>
      <c r="U227" s="1">
        <v>10</v>
      </c>
      <c r="V227" s="2">
        <f>IF(Таблица13[[#This Row],[Число фаз]]=1,2*O227*(22.5/S227*L227+0.08*SIN(ACOS(L227)))*(U227/1000)*(100/220),SQRT(3)*O227*(22.5/S227*L227+0.08*SIN(ACOS(L227)))*(U227/1000)*(100/380))</f>
        <v>0.23403908133830692</v>
      </c>
      <c r="W2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ШС-4-2А/M02-1,0-5,1-10</v>
      </c>
      <c r="X227" s="1" t="str">
        <f>TEXT(Таблица13[[#This Row],[Потери]],"0,0") &amp; "-" &amp;Таблица13[[#This Row],[Полная марка кабеля]]</f>
        <v>0,2-ВВГнг(A)-LS-3x4</v>
      </c>
      <c r="Y227" t="s">
        <v>443</v>
      </c>
      <c r="Z22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228" spans="1:26" x14ac:dyDescent="0.25">
      <c r="A228" s="1" t="s">
        <v>46</v>
      </c>
      <c r="B228" s="1">
        <v>227</v>
      </c>
      <c r="C228" s="4">
        <v>3</v>
      </c>
      <c r="D228" s="4" t="str">
        <f>"Acti9 iC60N C"&amp;Таблица13[[#This Row],[Номинал АВ]]&amp; " " &amp; Таблица13[[#This Row],[Число фаз]] &amp; "P"</f>
        <v>Acti9 iC60N C16 1P</v>
      </c>
      <c r="E228" s="1">
        <v>16</v>
      </c>
      <c r="F228" s="9"/>
      <c r="G228" s="1"/>
      <c r="H228" s="1" t="s">
        <v>208</v>
      </c>
      <c r="I228" s="1"/>
      <c r="J228" s="16">
        <v>2</v>
      </c>
      <c r="K228" s="1">
        <v>1</v>
      </c>
      <c r="L228" s="15">
        <v>0.9</v>
      </c>
      <c r="M228" s="1">
        <v>1</v>
      </c>
      <c r="N228" s="2">
        <f>Таблица13[[#This Row],[Pуст, кВт]]*Таблица13[[#This Row],[Kи]]</f>
        <v>2</v>
      </c>
      <c r="O228" s="2">
        <f>IF(Таблица13[[#This Row],[Число фаз]]=1,J228/220/L228*M228*1000,J228/3/220/L228*M228*1000)</f>
        <v>10.1010101010101</v>
      </c>
      <c r="P228" s="2" t="str">
        <f>Таблица13[[#This Row],[Коды щитков]] &amp; "/M" &amp; TEXT( Таблица13[[#This Row],[Номер АВ]], "00")</f>
        <v>ШС-4-2А/M03</v>
      </c>
      <c r="Q228" s="1" t="s">
        <v>63</v>
      </c>
      <c r="R228" s="1">
        <v>3</v>
      </c>
      <c r="S228" s="1">
        <v>2.5</v>
      </c>
      <c r="T228" s="1">
        <f>Таблица13[[#This Row],[Сечение фазного]]</f>
        <v>2.5</v>
      </c>
      <c r="U228" s="1">
        <v>10</v>
      </c>
      <c r="V228" s="2">
        <f>IF(Таблица13[[#This Row],[Число фаз]]=1,2*O228*(22.5/S228*L228+0.08*SIN(ACOS(L228)))*(U228/1000)*(100/220),SQRT(3)*O228*(22.5/S228*L228+0.08*SIN(ACOS(L228)))*(U228/1000)*(100/380))</f>
        <v>0.74700378251132449</v>
      </c>
      <c r="W22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ШС-4-2А/M03-2,0-10,1-10</v>
      </c>
      <c r="X228" s="1" t="str">
        <f>TEXT(Таблица13[[#This Row],[Потери]],"0,0") &amp; "-" &amp;Таблица13[[#This Row],[Полная марка кабеля]]</f>
        <v>0,7-ВВГнг(A)-LS-3x2,5</v>
      </c>
      <c r="Y228" t="s">
        <v>443</v>
      </c>
      <c r="Z22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29" spans="1:26" x14ac:dyDescent="0.25">
      <c r="A229" s="1" t="s">
        <v>47</v>
      </c>
      <c r="B229" s="1">
        <v>228</v>
      </c>
      <c r="C229" s="4">
        <v>0</v>
      </c>
      <c r="D229" s="4" t="str">
        <f>"ВА57-35 "&amp; Таблица13[[#This Row],[Число фаз]] &amp; "P " &amp;Таблица13[[#This Row],[Номинал АВ]] &amp; " А"</f>
        <v>ВА57-35 3P 160 А</v>
      </c>
      <c r="E229" s="1">
        <v>160</v>
      </c>
      <c r="F229" s="9"/>
      <c r="G229" s="1"/>
      <c r="H229" s="1"/>
      <c r="I229" s="1"/>
      <c r="K229" s="1">
        <v>3</v>
      </c>
      <c r="N229" s="2">
        <f>Таблица13[[#This Row],[Pуст, кВт]]*Таблица13[[#This Row],[Kи]]</f>
        <v>0</v>
      </c>
      <c r="O229" s="2" t="e">
        <f>IF(Таблица13[[#This Row],[Число фаз]]=1,J229/220/L229*M229*1000,J229/3/220/L229*M229*1000)</f>
        <v>#DIV/0!</v>
      </c>
      <c r="P229" s="2" t="str">
        <f>Таблица13[[#This Row],[Коды щитков]] &amp; "/M" &amp; TEXT( Таблица13[[#This Row],[Номер АВ]], "00")</f>
        <v>/M00</v>
      </c>
      <c r="Q229" s="1"/>
      <c r="R229" s="1"/>
      <c r="S229" s="1"/>
      <c r="T229" s="25">
        <f>Таблица13[[#This Row],[Сечение фазного]]</f>
        <v>0</v>
      </c>
      <c r="U229" s="1"/>
      <c r="V229" s="2" t="e">
        <f>IF(Таблица13[[#This Row],[Число фаз]]=1,2*O229*(22.5/S229*L229+0.08*SIN(ACOS(L229)))*(U229/1000)*(100/220),SQRT(3)*O229*(22.5/S229*L229+0.08*SIN(ACOS(L229)))*(U229/1000)*(100/380))</f>
        <v>#DIV/0!</v>
      </c>
      <c r="W229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29" s="25" t="e">
        <f>TEXT(Таблица13[[#This Row],[Потери]],"0,0") &amp; "-" &amp;Таблица13[[#This Row],[Полная марка кабеля]]</f>
        <v>#DIV/0!</v>
      </c>
      <c r="Y229" s="1"/>
      <c r="Z229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30" spans="1:26" x14ac:dyDescent="0.25">
      <c r="A230" s="1" t="s">
        <v>47</v>
      </c>
      <c r="B230" s="1">
        <v>229</v>
      </c>
      <c r="C230" s="4">
        <v>1</v>
      </c>
      <c r="D230" s="4" t="str">
        <f>"ВА57-35 "&amp; Таблица13[[#This Row],[Число фаз]] &amp; "P " &amp;Таблица13[[#This Row],[Номинал АВ]] &amp; " А"</f>
        <v>ВА57-35 3P 125 А</v>
      </c>
      <c r="E230" s="1">
        <v>125</v>
      </c>
      <c r="F230" s="9" t="s">
        <v>46</v>
      </c>
      <c r="G230" s="1" t="s">
        <v>511</v>
      </c>
      <c r="H230" s="1" t="s">
        <v>263</v>
      </c>
      <c r="I230" s="1" t="s">
        <v>209</v>
      </c>
      <c r="J230" s="2">
        <v>5</v>
      </c>
      <c r="K230" s="1">
        <v>3</v>
      </c>
      <c r="L230" s="15">
        <v>0.9</v>
      </c>
      <c r="M230" s="1">
        <v>1.2</v>
      </c>
      <c r="N230" s="2">
        <f>Таблица13[[#This Row],[Pуст, кВт]]*Таблица13[[#This Row],[Kи]]</f>
        <v>6</v>
      </c>
      <c r="O230" s="2">
        <f>IF(Таблица13[[#This Row],[Число фаз]]=1,J230/220/L230*M230*1000,J230/3/220/L230*M230*1000)</f>
        <v>10.1010101010101</v>
      </c>
      <c r="P230" s="2" t="str">
        <f>Таблица13[[#This Row],[Коды щитков]] &amp; "/M" &amp; TEXT( Таблица13[[#This Row],[Номер АВ]], "00")</f>
        <v>ШС-4-2/M01</v>
      </c>
      <c r="Q230" s="1" t="s">
        <v>63</v>
      </c>
      <c r="R230" s="1">
        <v>5</v>
      </c>
      <c r="S230" s="1">
        <v>10</v>
      </c>
      <c r="T230" s="1">
        <f>Таблица13[[#This Row],[Сечение фазного]]</f>
        <v>10</v>
      </c>
      <c r="U230" s="1">
        <v>10</v>
      </c>
      <c r="V230" s="2">
        <f>IF(Таблица13[[#This Row],[Число фаз]]=1,2*O230*(22.5/S230*L230+0.08*SIN(ACOS(L230)))*(U230/1000)*(100/220),SQRT(3)*O230*(22.5/S230*L230+0.08*SIN(ACOS(L230)))*(U230/1000)*(100/380))</f>
        <v>9.4837893695086176E-2</v>
      </c>
      <c r="W23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ШС-4-2/M01-5,0-10,1-10</v>
      </c>
      <c r="X230" s="1" t="str">
        <f>TEXT(Таблица13[[#This Row],[Потери]],"0,0") &amp; "-" &amp;Таблица13[[#This Row],[Полная марка кабеля]]</f>
        <v>0,1-ВВГнг(A)-LS-5x10</v>
      </c>
      <c r="Y230" t="s">
        <v>444</v>
      </c>
      <c r="Z23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31" spans="1:26" x14ac:dyDescent="0.25">
      <c r="A231" s="1" t="s">
        <v>47</v>
      </c>
      <c r="B231" s="1">
        <v>230</v>
      </c>
      <c r="C231" s="4">
        <v>2</v>
      </c>
      <c r="D231" s="4" t="str">
        <f>"Acti9 iC60N C"&amp;Таблица13[[#This Row],[Номинал АВ]]&amp; " " &amp; Таблица13[[#This Row],[Число фаз]] &amp; "P"</f>
        <v>Acti9 iC60N C32 3P</v>
      </c>
      <c r="E231" s="1">
        <v>32</v>
      </c>
      <c r="F231" s="13" t="s">
        <v>389</v>
      </c>
      <c r="G231" s="1" t="s">
        <v>212</v>
      </c>
      <c r="H231" s="1" t="s">
        <v>210</v>
      </c>
      <c r="I231" s="1" t="s">
        <v>164</v>
      </c>
      <c r="J231" s="16">
        <v>10</v>
      </c>
      <c r="K231" s="1">
        <v>3</v>
      </c>
      <c r="L231" s="15">
        <v>0.8</v>
      </c>
      <c r="M231" s="1">
        <v>1</v>
      </c>
      <c r="N231" s="2">
        <f>Таблица13[[#This Row],[Pуст, кВт]]*Таблица13[[#This Row],[Kи]]</f>
        <v>10</v>
      </c>
      <c r="O231" s="2">
        <f>IF(Таблица13[[#This Row],[Число фаз]]=1,J231/220/L231*M231*1000,J231/3/220/L231*M231*1000)</f>
        <v>18.939393939393941</v>
      </c>
      <c r="P231" s="2" t="str">
        <f>Таблица13[[#This Row],[Коды щитков]] &amp; "/M" &amp; TEXT( Таблица13[[#This Row],[Номер АВ]], "00")</f>
        <v>ШС-4-2/M02</v>
      </c>
      <c r="Q231" s="1" t="s">
        <v>63</v>
      </c>
      <c r="R231" s="1">
        <v>5</v>
      </c>
      <c r="S231" s="1">
        <v>6</v>
      </c>
      <c r="T231" s="1">
        <f>Таблица13[[#This Row],[Сечение фазного]]</f>
        <v>6</v>
      </c>
      <c r="U231" s="1">
        <v>10</v>
      </c>
      <c r="V231" s="2">
        <f>IF(Таблица13[[#This Row],[Число фаз]]=1,2*O231*(22.5/S231*L231+0.08*SIN(ACOS(L231)))*(U231/1000)*(100/220),SQRT(3)*O231*(22.5/S231*L231+0.08*SIN(ACOS(L231)))*(U231/1000)*(100/380))</f>
        <v>0.26312255091058301</v>
      </c>
      <c r="W2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ШС-4-2/M02-10,0-18,9-10</v>
      </c>
      <c r="X231" s="1" t="str">
        <f>TEXT(Таблица13[[#This Row],[Потери]],"0,0") &amp; "-" &amp;Таблица13[[#This Row],[Полная марка кабеля]]</f>
        <v>0,3-ВВГнг(A)-LS-5x6</v>
      </c>
      <c r="Y231" t="s">
        <v>444</v>
      </c>
      <c r="Z23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232" spans="1:26" x14ac:dyDescent="0.25">
      <c r="A232" s="1" t="s">
        <v>47</v>
      </c>
      <c r="B232" s="1">
        <v>231</v>
      </c>
      <c r="C232" s="4">
        <v>3</v>
      </c>
      <c r="D232" s="4" t="str">
        <f>"Acti9 DPN N Vigi C" &amp; Таблица13[[#This Row],[Номинал АВ]]&amp; " 1P+N 30 мА"</f>
        <v>Acti9 DPN N Vigi C25 1P+N 30 мА</v>
      </c>
      <c r="E232" s="1">
        <v>25</v>
      </c>
      <c r="F232" s="9"/>
      <c r="G232" s="1"/>
      <c r="H232" s="1" t="s">
        <v>72</v>
      </c>
      <c r="I232" s="1" t="s">
        <v>164</v>
      </c>
      <c r="J232" s="16">
        <v>2</v>
      </c>
      <c r="K232" s="1">
        <v>1</v>
      </c>
      <c r="L232" s="15">
        <v>0.9</v>
      </c>
      <c r="M232" s="1">
        <v>1</v>
      </c>
      <c r="N232" s="2">
        <f>Таблица13[[#This Row],[Pуст, кВт]]*Таблица13[[#This Row],[Kи]]</f>
        <v>2</v>
      </c>
      <c r="O232" s="2">
        <f>IF(Таблица13[[#This Row],[Число фаз]]=1,J232/220/L232*M232*1000,J232/3/220/L232*M232*1000)</f>
        <v>10.1010101010101</v>
      </c>
      <c r="P232" s="2" t="str">
        <f>Таблица13[[#This Row],[Коды щитков]] &amp; "/M" &amp; TEXT( Таблица13[[#This Row],[Номер АВ]], "00")</f>
        <v>ШС-4-2/M03</v>
      </c>
      <c r="Q232" s="1" t="s">
        <v>63</v>
      </c>
      <c r="R232" s="1">
        <v>3</v>
      </c>
      <c r="S232" s="1">
        <v>2.5</v>
      </c>
      <c r="T232" s="1">
        <f>Таблица13[[#This Row],[Сечение фазного]]</f>
        <v>2.5</v>
      </c>
      <c r="U232" s="1">
        <v>10</v>
      </c>
      <c r="V232" s="2">
        <f>IF(Таблица13[[#This Row],[Число фаз]]=1,2*O232*(22.5/S232*L232+0.08*SIN(ACOS(L232)))*(U232/1000)*(100/220),SQRT(3)*O232*(22.5/S232*L232+0.08*SIN(ACOS(L232)))*(U232/1000)*(100/380))</f>
        <v>0.74700378251132449</v>
      </c>
      <c r="W2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ШС-4-2/M03-2,0-10,1-10</v>
      </c>
      <c r="X232" s="1" t="str">
        <f>TEXT(Таблица13[[#This Row],[Потери]],"0,0") &amp; "-" &amp;Таблица13[[#This Row],[Полная марка кабеля]]</f>
        <v>0,7-ВВГнг(A)-LS-3x2,5</v>
      </c>
      <c r="Y232" t="s">
        <v>444</v>
      </c>
      <c r="Z23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33" spans="1:26" x14ac:dyDescent="0.25">
      <c r="A233" s="1" t="s">
        <v>47</v>
      </c>
      <c r="B233" s="1">
        <v>232</v>
      </c>
      <c r="C233" s="4">
        <v>4</v>
      </c>
      <c r="D233" s="4" t="str">
        <f>"Acti9 iC60N C"&amp;Таблица13[[#This Row],[Номинал АВ]]&amp; " " &amp; Таблица13[[#This Row],[Число фаз]] &amp; "P"</f>
        <v>Acti9 iC60N C16 3P</v>
      </c>
      <c r="E233" s="1">
        <v>16</v>
      </c>
      <c r="F233" s="9"/>
      <c r="G233" s="1"/>
      <c r="H233" s="1" t="s">
        <v>124</v>
      </c>
      <c r="I233" s="1" t="s">
        <v>164</v>
      </c>
      <c r="J233" s="16">
        <v>2</v>
      </c>
      <c r="K233" s="1">
        <v>3</v>
      </c>
      <c r="L233" s="15">
        <v>0.9</v>
      </c>
      <c r="M233" s="1">
        <v>1</v>
      </c>
      <c r="N233" s="2">
        <f>Таблица13[[#This Row],[Pуст, кВт]]*Таблица13[[#This Row],[Kи]]</f>
        <v>2</v>
      </c>
      <c r="O233" s="2">
        <f>IF(Таблица13[[#This Row],[Число фаз]]=1,J233/220/L233*M233*1000,J233/3/220/L233*M233*1000)</f>
        <v>3.3670033670033668</v>
      </c>
      <c r="P233" s="2" t="str">
        <f>Таблица13[[#This Row],[Коды щитков]] &amp; "/M" &amp; TEXT( Таблица13[[#This Row],[Номер АВ]], "00")</f>
        <v>ШС-4-2/M04</v>
      </c>
      <c r="Q233" s="1" t="s">
        <v>63</v>
      </c>
      <c r="R233" s="1">
        <v>5</v>
      </c>
      <c r="S233" s="1">
        <v>2.5</v>
      </c>
      <c r="T233" s="1">
        <f>Таблица13[[#This Row],[Сечение фазного]]</f>
        <v>2.5</v>
      </c>
      <c r="U233" s="1">
        <v>10</v>
      </c>
      <c r="V233" s="2">
        <f>IF(Таблица13[[#This Row],[Число фаз]]=1,2*O233*(22.5/S233*L233+0.08*SIN(ACOS(L233)))*(U233/1000)*(100/220),SQRT(3)*O233*(22.5/S233*L233+0.08*SIN(ACOS(L233)))*(U233/1000)*(100/380))</f>
        <v>0.12484503116064209</v>
      </c>
      <c r="W23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ШС-4-2/M04-2,0-3,4-10</v>
      </c>
      <c r="X233" s="1" t="str">
        <f>TEXT(Таблица13[[#This Row],[Потери]],"0,0") &amp; "-" &amp;Таблица13[[#This Row],[Полная марка кабеля]]</f>
        <v>0,1-ВВГнг(A)-LS-5x2,5</v>
      </c>
      <c r="Y233" t="s">
        <v>444</v>
      </c>
      <c r="Z23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34" spans="1:26" x14ac:dyDescent="0.25">
      <c r="A234" s="1" t="s">
        <v>47</v>
      </c>
      <c r="B234" s="1">
        <v>233</v>
      </c>
      <c r="C234" s="4">
        <v>5</v>
      </c>
      <c r="D234" s="4" t="str">
        <f>"Acti9 iC60N C"&amp;Таблица13[[#This Row],[Номинал АВ]]&amp; " " &amp; Таблица13[[#This Row],[Число фаз]] &amp; "P"</f>
        <v>Acti9 iC60N C25 3P</v>
      </c>
      <c r="E234" s="1">
        <v>25</v>
      </c>
      <c r="F234" s="13" t="s">
        <v>395</v>
      </c>
      <c r="G234" s="1"/>
      <c r="H234" s="1" t="s">
        <v>211</v>
      </c>
      <c r="I234" s="1" t="s">
        <v>164</v>
      </c>
      <c r="J234" s="16">
        <v>5</v>
      </c>
      <c r="K234" s="1">
        <v>3</v>
      </c>
      <c r="L234" s="15">
        <v>0.9</v>
      </c>
      <c r="M234" s="1">
        <v>1</v>
      </c>
      <c r="N234" s="2">
        <f>Таблица13[[#This Row],[Pуст, кВт]]*Таблица13[[#This Row],[Kи]]</f>
        <v>5</v>
      </c>
      <c r="O234" s="2">
        <f>IF(Таблица13[[#This Row],[Число фаз]]=1,J234/220/L234*M234*1000,J234/3/220/L234*M234*1000)</f>
        <v>8.4175084175084169</v>
      </c>
      <c r="P234" s="2" t="str">
        <f>Таблица13[[#This Row],[Коды щитков]] &amp; "/M" &amp; TEXT( Таблица13[[#This Row],[Номер АВ]], "00")</f>
        <v>ШС-4-2/M05</v>
      </c>
      <c r="Q234" s="1" t="s">
        <v>63</v>
      </c>
      <c r="R234" s="1">
        <v>5</v>
      </c>
      <c r="S234" s="1">
        <v>4</v>
      </c>
      <c r="T234" s="1">
        <f>Таблица13[[#This Row],[Сечение фазного]]</f>
        <v>4</v>
      </c>
      <c r="U234" s="1">
        <v>10</v>
      </c>
      <c r="V234" s="2">
        <f>IF(Таблица13[[#This Row],[Число фаз]]=1,2*O234*(22.5/S234*L234+0.08*SIN(ACOS(L234)))*(U234/1000)*(100/220),SQRT(3)*O234*(22.5/S234*L234+0.08*SIN(ACOS(L234)))*(U234/1000)*(100/380))</f>
        <v>0.19557207799042189</v>
      </c>
      <c r="W2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ШС-4-2/M05-5,0-8,4-10</v>
      </c>
      <c r="X234" s="1" t="str">
        <f>TEXT(Таблица13[[#This Row],[Потери]],"0,0") &amp; "-" &amp;Таблица13[[#This Row],[Полная марка кабеля]]</f>
        <v>0,2-ВВГнг(A)-LS-5x4</v>
      </c>
      <c r="Y234" t="s">
        <v>444</v>
      </c>
      <c r="Z23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35" spans="1:26" x14ac:dyDescent="0.25">
      <c r="A235" s="1" t="s">
        <v>47</v>
      </c>
      <c r="B235" s="1">
        <v>234</v>
      </c>
      <c r="C235" s="4">
        <v>6</v>
      </c>
      <c r="D235" s="4" t="str">
        <f>"Acti9 iC60N C"&amp;Таблица13[[#This Row],[Номинал АВ]]&amp; " " &amp; Таблица13[[#This Row],[Число фаз]] &amp; "P"</f>
        <v>Acti9 iC60N C25 1P</v>
      </c>
      <c r="E235" s="1">
        <v>25</v>
      </c>
      <c r="F235" s="9"/>
      <c r="G235" s="1"/>
      <c r="H235" s="1" t="s">
        <v>73</v>
      </c>
      <c r="I235" s="1" t="s">
        <v>164</v>
      </c>
      <c r="J235" s="16">
        <f>28*0.033</f>
        <v>0.92400000000000004</v>
      </c>
      <c r="K235" s="1">
        <v>1</v>
      </c>
      <c r="L235" s="15">
        <v>0.96</v>
      </c>
      <c r="M235" s="1">
        <v>1</v>
      </c>
      <c r="N235" s="2">
        <f>Таблица13[[#This Row],[Pуст, кВт]]*Таблица13[[#This Row],[Kи]]</f>
        <v>0.92400000000000004</v>
      </c>
      <c r="O235" s="2">
        <f>IF(Таблица13[[#This Row],[Число фаз]]=1,J235/220/L235*M235*1000,J235/3/220/L235*M235*1000)</f>
        <v>4.375</v>
      </c>
      <c r="P235" s="2" t="str">
        <f>Таблица13[[#This Row],[Коды щитков]] &amp; "/M" &amp; TEXT( Таблица13[[#This Row],[Номер АВ]], "00")</f>
        <v>ШС-4-2/M06</v>
      </c>
      <c r="Q235" s="1" t="s">
        <v>63</v>
      </c>
      <c r="R235" s="1">
        <v>3</v>
      </c>
      <c r="S235" s="1">
        <v>1.5</v>
      </c>
      <c r="T235" s="1">
        <f>Таблица13[[#This Row],[Сечение фазного]]</f>
        <v>1.5</v>
      </c>
      <c r="U235" s="1">
        <v>100</v>
      </c>
      <c r="V235" s="2">
        <f>IF(Таблица13[[#This Row],[Число фаз]]=1,2*O235*(22.5/S235*L235+0.08*SIN(ACOS(L235)))*(U235/1000)*(100/220),SQRT(3)*O235*(22.5/S235*L235+0.08*SIN(ACOS(L235)))*(U235/1000)*(100/380))</f>
        <v>5.7361818181818176</v>
      </c>
      <c r="W2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ШС-4-2/M06-0,9-4,4-100</v>
      </c>
      <c r="X235" s="1" t="str">
        <f>TEXT(Таблица13[[#This Row],[Потери]],"0,0") &amp; "-" &amp;Таблица13[[#This Row],[Полная марка кабеля]]</f>
        <v>5,7-ВВГнг(A)-LS-3x1,5</v>
      </c>
      <c r="Y235" t="s">
        <v>444</v>
      </c>
      <c r="Z23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36" spans="1:26" x14ac:dyDescent="0.25">
      <c r="A236" s="1" t="s">
        <v>47</v>
      </c>
      <c r="B236" s="1">
        <v>235</v>
      </c>
      <c r="C236" s="4">
        <v>7</v>
      </c>
      <c r="D236" s="4" t="str">
        <f>"ВА57-35 "&amp; Таблица13[[#This Row],[Число фаз]] &amp; "P " &amp;Таблица13[[#This Row],[Номинал АВ]] &amp; " А"</f>
        <v>ВА57-35 3P 125 А</v>
      </c>
      <c r="E236" s="1">
        <v>125</v>
      </c>
      <c r="F236" s="9" t="s">
        <v>45</v>
      </c>
      <c r="G236" s="1" t="s">
        <v>511</v>
      </c>
      <c r="H236" s="1" t="s">
        <v>263</v>
      </c>
      <c r="I236" s="1" t="s">
        <v>489</v>
      </c>
      <c r="J236" s="2">
        <v>26.196000000000002</v>
      </c>
      <c r="K236" s="1">
        <v>3</v>
      </c>
      <c r="L236" s="15">
        <v>0.80202066590126297</v>
      </c>
      <c r="M236" s="1">
        <v>0.8</v>
      </c>
      <c r="N236" s="2">
        <f>Таблица13[[#This Row],[Pуст, кВт]]*Таблица13[[#This Row],[Kи]]</f>
        <v>20.956800000000001</v>
      </c>
      <c r="O236" s="2">
        <f>IF(Таблица13[[#This Row],[Число фаз]]=1,J236/220/L236*M236*1000,J236/3/220/L236*M236*1000)</f>
        <v>39.590909090909093</v>
      </c>
      <c r="P236" s="2" t="str">
        <f>Таблица13[[#This Row],[Коды щитков]] &amp; "/M" &amp; TEXT( Таблица13[[#This Row],[Номер АВ]], "00")</f>
        <v>ШС-4-2/M07</v>
      </c>
      <c r="Q236" s="1" t="s">
        <v>63</v>
      </c>
      <c r="R236" s="1">
        <v>5</v>
      </c>
      <c r="S236" s="1">
        <v>25</v>
      </c>
      <c r="T236" s="1">
        <f>Таблица13[[#This Row],[Сечение фазного]]</f>
        <v>25</v>
      </c>
      <c r="U236" s="1">
        <v>20</v>
      </c>
      <c r="V236" s="2">
        <f>IF(Таблица13[[#This Row],[Число фаз]]=1,2*O236*(22.5/S236*L236+0.08*SIN(ACOS(L236)))*(U236/1000)*(100/220),SQRT(3)*O236*(22.5/S236*L236+0.08*SIN(ACOS(L236)))*(U236/1000)*(100/380))</f>
        <v>0.27775945970137889</v>
      </c>
      <c r="W23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ШС-4-2/M07-26,2-39,6-20</v>
      </c>
      <c r="X236" s="1" t="str">
        <f>TEXT(Таблица13[[#This Row],[Потери]],"0,0") &amp; "-" &amp;Таблица13[[#This Row],[Полная марка кабеля]]</f>
        <v>0,3-ВВГнг(A)-LS-5x25</v>
      </c>
      <c r="Y236" t="s">
        <v>444</v>
      </c>
      <c r="Z23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237" spans="1:26" x14ac:dyDescent="0.25">
      <c r="A237" s="1" t="s">
        <v>48</v>
      </c>
      <c r="B237" s="1">
        <v>236</v>
      </c>
      <c r="C237" s="4">
        <v>1</v>
      </c>
      <c r="D237" s="4" t="str">
        <f>"ВА57-35 "&amp; Таблица13[[#This Row],[Число фаз]] &amp; "P " &amp;Таблица13[[#This Row],[Номинал АВ]] &amp; " А"</f>
        <v>ВА57-35 3P 80 А</v>
      </c>
      <c r="E237" s="1">
        <v>80</v>
      </c>
      <c r="F237" s="13" t="s">
        <v>402</v>
      </c>
      <c r="G237" s="1"/>
      <c r="H237" s="1" t="s">
        <v>409</v>
      </c>
      <c r="I237" s="1" t="s">
        <v>164</v>
      </c>
      <c r="J237" s="16">
        <v>32.700000000000003</v>
      </c>
      <c r="K237" s="1">
        <v>3</v>
      </c>
      <c r="L237" s="15">
        <v>1</v>
      </c>
      <c r="M237" s="1">
        <v>1</v>
      </c>
      <c r="N237" s="2">
        <f>Таблица13[[#This Row],[Pуст, кВт]]*Таблица13[[#This Row],[Kи]]</f>
        <v>32.700000000000003</v>
      </c>
      <c r="O237" s="2">
        <f>IF(Таблица13[[#This Row],[Число фаз]]=1,J237/220/L237*M237*1000,J237/3/220/L237*M237*1000)</f>
        <v>49.545454545454547</v>
      </c>
      <c r="P237" s="2" t="str">
        <f>Таблица13[[#This Row],[Коды щитков]] &amp; "/M" &amp; TEXT( Таблица13[[#This Row],[Номер АВ]], "00")</f>
        <v>ШС-4-1/M01</v>
      </c>
      <c r="Q237" s="1" t="s">
        <v>63</v>
      </c>
      <c r="R237" s="1">
        <v>5</v>
      </c>
      <c r="S237" s="1">
        <v>25</v>
      </c>
      <c r="T237" s="1">
        <f>Таблица13[[#This Row],[Сечение фазного]]</f>
        <v>25</v>
      </c>
      <c r="U237" s="1">
        <v>5</v>
      </c>
      <c r="V237" s="2">
        <f>IF(Таблица13[[#This Row],[Число фаз]]=1,2*O237*(22.5/S237*L237+0.08*SIN(ACOS(L237)))*(U237/1000)*(100/220),SQRT(3)*O237*(22.5/S237*L237+0.08*SIN(ACOS(L237)))*(U237/1000)*(100/380))</f>
        <v>0.10162331592255194</v>
      </c>
      <c r="W2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ШС-4-1/M01-32,7-49,5-5</v>
      </c>
      <c r="X237" s="1" t="str">
        <f>TEXT(Таблица13[[#This Row],[Потери]],"0,0") &amp; "-" &amp;Таблица13[[#This Row],[Полная марка кабеля]]</f>
        <v>0,1-ВВГнг(A)-LS-5x25</v>
      </c>
      <c r="Y237" t="s">
        <v>445</v>
      </c>
      <c r="Z23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238" spans="1:26" x14ac:dyDescent="0.25">
      <c r="A238" s="1" t="s">
        <v>48</v>
      </c>
      <c r="B238" s="1">
        <v>237</v>
      </c>
      <c r="C238" s="4">
        <v>2</v>
      </c>
      <c r="D238" s="4" t="str">
        <f>"Acti9 iC60N C"&amp;Таблица13[[#This Row],[Номинал АВ]]&amp; " " &amp; Таблица13[[#This Row],[Число фаз]] &amp; "P"</f>
        <v>Acti9 iC60N C40 3P</v>
      </c>
      <c r="E238" s="1">
        <v>40</v>
      </c>
      <c r="F238" s="13" t="s">
        <v>403</v>
      </c>
      <c r="G238" s="1"/>
      <c r="H238" s="1" t="s">
        <v>410</v>
      </c>
      <c r="I238" s="1" t="s">
        <v>164</v>
      </c>
      <c r="J238" s="16">
        <v>11.7</v>
      </c>
      <c r="K238" s="1">
        <v>3</v>
      </c>
      <c r="L238" s="15">
        <v>1</v>
      </c>
      <c r="M238" s="1">
        <v>1</v>
      </c>
      <c r="N238" s="2">
        <f>Таблица13[[#This Row],[Pуст, кВт]]*Таблица13[[#This Row],[Kи]]</f>
        <v>11.7</v>
      </c>
      <c r="O238" s="2">
        <f>IF(Таблица13[[#This Row],[Число фаз]]=1,J238/220/L238*M238*1000,J238/3/220/L238*M238*1000)</f>
        <v>17.727272727272727</v>
      </c>
      <c r="P238" s="2" t="str">
        <f>Таблица13[[#This Row],[Коды щитков]] &amp; "/M" &amp; TEXT( Таблица13[[#This Row],[Номер АВ]], "00")</f>
        <v>ШС-4-1/M02</v>
      </c>
      <c r="Q238" s="1" t="s">
        <v>63</v>
      </c>
      <c r="R238" s="1">
        <v>5</v>
      </c>
      <c r="S238" s="1">
        <v>10</v>
      </c>
      <c r="T238" s="1">
        <f>Таблица13[[#This Row],[Сечение фазного]]</f>
        <v>10</v>
      </c>
      <c r="U238" s="1">
        <v>5</v>
      </c>
      <c r="V238" s="2">
        <f>IF(Таблица13[[#This Row],[Число фаз]]=1,2*O238*(22.5/S238*L238+0.08*SIN(ACOS(L238)))*(U238/1000)*(100/220),SQRT(3)*O238*(22.5/S238*L238+0.08*SIN(ACOS(L238)))*(U238/1000)*(100/380))</f>
        <v>9.0901589930723073E-2</v>
      </c>
      <c r="W2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ШС-4-1/M02-11,7-17,7-5</v>
      </c>
      <c r="X238" s="1" t="str">
        <f>TEXT(Таблица13[[#This Row],[Потери]],"0,0") &amp; "-" &amp;Таблица13[[#This Row],[Полная марка кабеля]]</f>
        <v>0,1-ВВГнг(A)-LS-5x10</v>
      </c>
      <c r="Y238" t="s">
        <v>445</v>
      </c>
      <c r="Z23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39" spans="1:26" x14ac:dyDescent="0.25">
      <c r="A239" s="1" t="s">
        <v>48</v>
      </c>
      <c r="B239" s="1">
        <v>238</v>
      </c>
      <c r="C239" s="4">
        <v>3</v>
      </c>
      <c r="D239" s="4" t="str">
        <f>"Acti9 iC60N C"&amp;Таблица13[[#This Row],[Номинал АВ]]&amp; " " &amp; Таблица13[[#This Row],[Число фаз]] &amp; "P"</f>
        <v>Acti9 iC60N C25 1P</v>
      </c>
      <c r="E239" s="1">
        <v>25</v>
      </c>
      <c r="F239" s="9"/>
      <c r="G239" s="1"/>
      <c r="H239" s="1" t="s">
        <v>73</v>
      </c>
      <c r="I239" s="1" t="s">
        <v>164</v>
      </c>
      <c r="J239" s="16">
        <f>22*0.033</f>
        <v>0.72599999999999998</v>
      </c>
      <c r="K239" s="1">
        <v>1</v>
      </c>
      <c r="L239" s="15">
        <v>0.96</v>
      </c>
      <c r="M239" s="1">
        <v>1</v>
      </c>
      <c r="N239" s="2">
        <f>Таблица13[[#This Row],[Pуст, кВт]]*Таблица13[[#This Row],[Kи]]</f>
        <v>0.72599999999999998</v>
      </c>
      <c r="O239" s="2">
        <f>IF(Таблица13[[#This Row],[Число фаз]]=1,J239/220/L239*M239*1000,J239/3/220/L239*M239*1000)</f>
        <v>3.4375</v>
      </c>
      <c r="P239" s="2" t="str">
        <f>Таблица13[[#This Row],[Коды щитков]] &amp; "/M" &amp; TEXT( Таблица13[[#This Row],[Номер АВ]], "00")</f>
        <v>ШС-4-1/M03</v>
      </c>
      <c r="Q239" s="1" t="s">
        <v>63</v>
      </c>
      <c r="R239" s="1">
        <v>3</v>
      </c>
      <c r="S239" s="1">
        <v>1.5</v>
      </c>
      <c r="T239" s="1">
        <f>Таблица13[[#This Row],[Сечение фазного]]</f>
        <v>1.5</v>
      </c>
      <c r="U239" s="1">
        <f>150</f>
        <v>150</v>
      </c>
      <c r="V239" s="2">
        <f>IF(Таблица13[[#This Row],[Число фаз]]=1,2*O239*(22.5/S239*L239+0.08*SIN(ACOS(L239)))*(U239/1000)*(100/220),SQRT(3)*O239*(22.5/S239*L239+0.08*SIN(ACOS(L239)))*(U239/1000)*(100/380))</f>
        <v>6.7604999999999986</v>
      </c>
      <c r="W2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ШС-4-1/M03-0,7-3,4-150</v>
      </c>
      <c r="X239" s="1" t="str">
        <f>TEXT(Таблица13[[#This Row],[Потери]],"0,0") &amp; "-" &amp;Таблица13[[#This Row],[Полная марка кабеля]]</f>
        <v>6,8-ВВГнг(A)-LS-3x1,5</v>
      </c>
      <c r="Y239" t="s">
        <v>445</v>
      </c>
      <c r="Z23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40" spans="1:26" x14ac:dyDescent="0.25">
      <c r="A240" s="1" t="s">
        <v>48</v>
      </c>
      <c r="B240" s="1">
        <v>239</v>
      </c>
      <c r="C240" s="4">
        <v>4</v>
      </c>
      <c r="D240" s="4" t="str">
        <f>"Acti9 iC60N C"&amp;Таблица13[[#This Row],[Номинал АВ]]&amp; " " &amp; Таблица13[[#This Row],[Число фаз]] &amp; "P"</f>
        <v>Acti9 iC60N C16 1P</v>
      </c>
      <c r="E240" s="1">
        <v>16</v>
      </c>
      <c r="F240" s="9"/>
      <c r="G240" s="1"/>
      <c r="H240" s="1" t="s">
        <v>73</v>
      </c>
      <c r="I240" s="1" t="s">
        <v>214</v>
      </c>
      <c r="J240" s="16">
        <f>12*0.016</f>
        <v>0.192</v>
      </c>
      <c r="K240" s="1">
        <v>1</v>
      </c>
      <c r="L240" s="15">
        <v>0.96</v>
      </c>
      <c r="M240" s="1">
        <v>1</v>
      </c>
      <c r="N240" s="2">
        <f>Таблица13[[#This Row],[Pуст, кВт]]*Таблица13[[#This Row],[Kи]]</f>
        <v>0.192</v>
      </c>
      <c r="O240" s="2">
        <f>IF(Таблица13[[#This Row],[Число фаз]]=1,J240/220/L240*M240*1000,J240/3/220/L240*M240*1000)</f>
        <v>0.90909090909090906</v>
      </c>
      <c r="P240" s="2" t="str">
        <f>Таблица13[[#This Row],[Коды щитков]] &amp; "/M" &amp; TEXT( Таблица13[[#This Row],[Номер АВ]], "00")</f>
        <v>ШС-4-1/M04</v>
      </c>
      <c r="Q240" s="1" t="s">
        <v>63</v>
      </c>
      <c r="R240" s="1">
        <v>3</v>
      </c>
      <c r="S240" s="1">
        <v>1.5</v>
      </c>
      <c r="T240" s="1">
        <f>Таблица13[[#This Row],[Сечение фазного]]</f>
        <v>1.5</v>
      </c>
      <c r="U240" s="1">
        <v>90</v>
      </c>
      <c r="V240" s="2">
        <f>IF(Таблица13[[#This Row],[Число фаз]]=1,2*O240*(22.5/S240*L240+0.08*SIN(ACOS(L240)))*(U240/1000)*(100/220),SQRT(3)*O240*(22.5/S240*L240+0.08*SIN(ACOS(L240)))*(U240/1000)*(100/380))</f>
        <v>1.0727404958677684</v>
      </c>
      <c r="W2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ШС-4-1/M04-0,2-0,9-90</v>
      </c>
      <c r="X240" s="1" t="str">
        <f>TEXT(Таблица13[[#This Row],[Потери]],"0,0") &amp; "-" &amp;Таблица13[[#This Row],[Полная марка кабеля]]</f>
        <v>1,1-ВВГнг(A)-LS-3x1,5</v>
      </c>
      <c r="Y240" t="s">
        <v>445</v>
      </c>
      <c r="Z24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41" spans="1:26" x14ac:dyDescent="0.25">
      <c r="A241" s="1" t="s">
        <v>49</v>
      </c>
      <c r="B241" s="1">
        <v>240</v>
      </c>
      <c r="C241" s="4">
        <v>0</v>
      </c>
      <c r="D241" s="4" t="str">
        <f>"ВА57-35 "&amp; Таблица13[[#This Row],[Число фаз]] &amp; "P " &amp;Таблица13[[#This Row],[Номинал АВ]] &amp; " А"</f>
        <v>ВА57-35 3P 250 А</v>
      </c>
      <c r="E241" s="1">
        <v>250</v>
      </c>
      <c r="F241" s="9"/>
      <c r="G241" s="1"/>
      <c r="H241" s="1"/>
      <c r="I241" s="1"/>
      <c r="K241" s="1">
        <v>3</v>
      </c>
      <c r="N241" s="2">
        <f>Таблица13[[#This Row],[Pуст, кВт]]*Таблица13[[#This Row],[Kи]]</f>
        <v>0</v>
      </c>
      <c r="O241" s="2" t="e">
        <f>IF(Таблица13[[#This Row],[Число фаз]]=1,J241/220/L241*M241*1000,J241/3/220/L241*M241*1000)</f>
        <v>#DIV/0!</v>
      </c>
      <c r="P241" s="2" t="str">
        <f>Таблица13[[#This Row],[Коды щитков]] &amp; "/M" &amp; TEXT( Таблица13[[#This Row],[Номер АВ]], "00")</f>
        <v>/M00</v>
      </c>
      <c r="Q241" s="1"/>
      <c r="R241" s="1"/>
      <c r="S241" s="1"/>
      <c r="T241" s="25">
        <f>Таблица13[[#This Row],[Сечение фазного]]</f>
        <v>0</v>
      </c>
      <c r="U241" s="1"/>
      <c r="V241" s="2" t="e">
        <f>IF(Таблица13[[#This Row],[Число фаз]]=1,2*O241*(22.5/S241*L241+0.08*SIN(ACOS(L241)))*(U241/1000)*(100/220),SQRT(3)*O241*(22.5/S241*L241+0.08*SIN(ACOS(L241)))*(U241/1000)*(100/380))</f>
        <v>#DIV/0!</v>
      </c>
      <c r="W24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41" s="25" t="e">
        <f>TEXT(Таблица13[[#This Row],[Потери]],"0,0") &amp; "-" &amp;Таблица13[[#This Row],[Полная марка кабеля]]</f>
        <v>#DIV/0!</v>
      </c>
      <c r="Y241" s="1"/>
      <c r="Z241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42" spans="1:26" x14ac:dyDescent="0.25">
      <c r="A242" s="1" t="s">
        <v>49</v>
      </c>
      <c r="B242" s="1">
        <v>241</v>
      </c>
      <c r="C242" s="4">
        <v>1</v>
      </c>
      <c r="D242" s="4" t="str">
        <f>"ВА57-35 "&amp; Таблица13[[#This Row],[Число фаз]] &amp; "P " &amp;Таблица13[[#This Row],[Номинал АВ]] &amp; " А"</f>
        <v>ВА57-35 3P 160 А</v>
      </c>
      <c r="E242" s="1">
        <v>160</v>
      </c>
      <c r="F242" s="9" t="s">
        <v>48</v>
      </c>
      <c r="G242" s="1" t="s">
        <v>511</v>
      </c>
      <c r="H242" s="1" t="s">
        <v>263</v>
      </c>
      <c r="I242" s="1" t="s">
        <v>213</v>
      </c>
      <c r="J242" s="2">
        <v>45.317999999999998</v>
      </c>
      <c r="K242" s="1">
        <v>3</v>
      </c>
      <c r="L242" s="15">
        <v>0.99915667631252569</v>
      </c>
      <c r="M242" s="1">
        <v>0.8</v>
      </c>
      <c r="N242" s="2">
        <f>Таблица13[[#This Row],[Pуст, кВт]]*Таблица13[[#This Row],[Kи]]</f>
        <v>36.254399999999997</v>
      </c>
      <c r="O242" s="2">
        <f>IF(Таблица13[[#This Row],[Число фаз]]=1,J242/220/L242*M242*1000,J242/3/220/L242*M242*1000)</f>
        <v>54.977272727272734</v>
      </c>
      <c r="P242" s="2" t="str">
        <f>Таблица13[[#This Row],[Коды щитков]] &amp; "/M" &amp; TEXT( Таблица13[[#This Row],[Номер АВ]], "00")</f>
        <v>ШР-2/M01</v>
      </c>
      <c r="Q242" s="1" t="s">
        <v>7</v>
      </c>
      <c r="R242" s="1">
        <v>4</v>
      </c>
      <c r="S242" s="1">
        <v>25</v>
      </c>
      <c r="T242" s="1">
        <f>Таблица13[[#This Row],[Сечение фазного]]</f>
        <v>25</v>
      </c>
      <c r="U242" s="1">
        <v>30</v>
      </c>
      <c r="V242" s="2">
        <f>IF(Таблица13[[#This Row],[Число фаз]]=1,2*O242*(22.5/S242*L242+0.08*SIN(ACOS(L242)))*(U242/1000)*(100/220),SQRT(3)*O242*(22.5/S242*L242+0.08*SIN(ACOS(L242)))*(U242/1000)*(100/380))</f>
        <v>0.6784863473280609</v>
      </c>
      <c r="W24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ШР-2/M01-45,3-55,0-30</v>
      </c>
      <c r="X242" s="1" t="str">
        <f>TEXT(Таблица13[[#This Row],[Потери]],"0,0") &amp; "-" &amp;Таблица13[[#This Row],[Полная марка кабеля]]</f>
        <v>0,7-КГ-4x25</v>
      </c>
      <c r="Y242" t="s">
        <v>446</v>
      </c>
      <c r="Z24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КГ-4x25</v>
      </c>
    </row>
    <row r="243" spans="1:26" x14ac:dyDescent="0.25">
      <c r="A243" s="1" t="s">
        <v>49</v>
      </c>
      <c r="B243" s="1">
        <v>242</v>
      </c>
      <c r="C243" s="4"/>
      <c r="D243" s="4"/>
      <c r="E243" s="1"/>
      <c r="F243" s="9" t="s">
        <v>47</v>
      </c>
      <c r="G243" s="1" t="s">
        <v>511</v>
      </c>
      <c r="H243" s="1" t="s">
        <v>263</v>
      </c>
      <c r="I243" s="1" t="s">
        <v>196</v>
      </c>
      <c r="J243" s="2">
        <v>51.12</v>
      </c>
      <c r="K243" s="1">
        <v>3</v>
      </c>
      <c r="L243" s="15">
        <v>0.82878630938977704</v>
      </c>
      <c r="M243" s="1">
        <v>0.8</v>
      </c>
      <c r="N243" s="2">
        <f>Таблица13[[#This Row],[Pуст, кВт]]*Таблица13[[#This Row],[Kи]]</f>
        <v>40.896000000000001</v>
      </c>
      <c r="O243" s="2">
        <f>IF(Таблица13[[#This Row],[Число фаз]]=1,J243/220/L243*M243*1000,J243/3/220/L243*M243*1000)</f>
        <v>74.764309764309772</v>
      </c>
      <c r="P243" s="2" t="str">
        <f>Таблица13[[#This Row],[Коды щитков]] &amp; "/M" &amp; TEXT( Таблица13[[#This Row],[Номер АВ]], "00")</f>
        <v>ШР-2/M00</v>
      </c>
      <c r="Q243" s="1" t="s">
        <v>7</v>
      </c>
      <c r="R243" s="1">
        <v>4</v>
      </c>
      <c r="S243" s="1">
        <v>35</v>
      </c>
      <c r="T243" s="1">
        <f>Таблица13[[#This Row],[Сечение фазного]]</f>
        <v>35</v>
      </c>
      <c r="U243" s="1">
        <v>20</v>
      </c>
      <c r="V243" s="2">
        <f>IF(Таблица13[[#This Row],[Число фаз]]=1,2*O243*(22.5/S243*L243+0.08*SIN(ACOS(L243)))*(U243/1000)*(100/220),SQRT(3)*O243*(22.5/S243*L243+0.08*SIN(ACOS(L243)))*(U243/1000)*(100/380))</f>
        <v>0.39363686892440924</v>
      </c>
      <c r="W24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ШР-2/M00-51,1-74,8-20</v>
      </c>
      <c r="X243" s="1" t="str">
        <f>TEXT(Таблица13[[#This Row],[Потери]],"0,0") &amp; "-" &amp;Таблица13[[#This Row],[Полная марка кабеля]]</f>
        <v>0,4-КГ-4x35</v>
      </c>
      <c r="Y243" t="s">
        <v>446</v>
      </c>
      <c r="Z24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КГ-4x35</v>
      </c>
    </row>
    <row r="244" spans="1:26" x14ac:dyDescent="0.25">
      <c r="A244" s="1" t="s">
        <v>49</v>
      </c>
      <c r="B244" s="1">
        <v>243</v>
      </c>
      <c r="C244" s="4">
        <v>3</v>
      </c>
      <c r="D244" s="4" t="str">
        <f>"Acti9 iC60N C"&amp;Таблица13[[#This Row],[Номинал АВ]]&amp; " " &amp; Таблица13[[#This Row],[Число фаз]] &amp; "P"</f>
        <v>Acti9 iC60N C63 3P</v>
      </c>
      <c r="E244" s="1">
        <v>63</v>
      </c>
      <c r="F244" s="9" t="s">
        <v>44</v>
      </c>
      <c r="G244" s="1" t="s">
        <v>511</v>
      </c>
      <c r="H244" s="1" t="s">
        <v>263</v>
      </c>
      <c r="I244" s="1" t="s">
        <v>171</v>
      </c>
      <c r="J244" s="2">
        <v>56.429000000000002</v>
      </c>
      <c r="K244" s="1">
        <v>3</v>
      </c>
      <c r="L244" s="15">
        <v>0.8964543513875789</v>
      </c>
      <c r="M244" s="1">
        <v>0.65</v>
      </c>
      <c r="N244" s="2">
        <f>Таблица13[[#This Row],[Pуст, кВт]]*Таблица13[[#This Row],[Kи]]</f>
        <v>36.678850000000004</v>
      </c>
      <c r="O244" s="2">
        <f>IF(Таблица13[[#This Row],[Число фаз]]=1,J244/220/L244*M244*1000,J244/3/220/L244*M244*1000)</f>
        <v>61.993134469696969</v>
      </c>
      <c r="P244" s="2" t="str">
        <f>Таблица13[[#This Row],[Коды щитков]] &amp; "/M" &amp; TEXT( Таблица13[[#This Row],[Номер АВ]], "00")</f>
        <v>ШР-2/M03</v>
      </c>
      <c r="Q244" s="1" t="s">
        <v>9</v>
      </c>
      <c r="R244" s="1">
        <v>5</v>
      </c>
      <c r="S244" s="1">
        <v>10</v>
      </c>
      <c r="T244" s="1">
        <f>Таблица13[[#This Row],[Сечение фазного]]</f>
        <v>10</v>
      </c>
      <c r="U244" s="1">
        <v>40</v>
      </c>
      <c r="V244" s="2">
        <f>IF(Таблица13[[#This Row],[Число фаз]]=1,2*O244*(22.5/S244*L244+0.08*SIN(ACOS(L244)))*(U244/1000)*(100/220),SQRT(3)*O244*(22.5/S244*L244+0.08*SIN(ACOS(L244)))*(U244/1000)*(100/380))</f>
        <v>2.3198404031470377</v>
      </c>
      <c r="W24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ШР-2/M03-56,4-62,0-40</v>
      </c>
      <c r="X244" s="1" t="str">
        <f>TEXT(Таблица13[[#This Row],[Потери]],"0,0") &amp; "-" &amp;Таблица13[[#This Row],[Полная марка кабеля]]</f>
        <v>2,3-ПВС-5x10</v>
      </c>
      <c r="Y244" t="s">
        <v>446</v>
      </c>
      <c r="Z24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ПВС-5x10</v>
      </c>
    </row>
    <row r="245" spans="1:26" x14ac:dyDescent="0.25">
      <c r="A245" s="1" t="s">
        <v>49</v>
      </c>
      <c r="B245" s="1">
        <v>244</v>
      </c>
      <c r="C245" s="4">
        <v>2</v>
      </c>
      <c r="D245" s="4" t="str">
        <f>"Acti9 iC60N C"&amp;Таблица13[[#This Row],[Номинал АВ]]&amp; " " &amp; Таблица13[[#This Row],[Число фаз]] &amp; "P"</f>
        <v>Acti9 iC60N C50 3P</v>
      </c>
      <c r="E245" s="1">
        <v>50</v>
      </c>
      <c r="F245" s="9" t="s">
        <v>43</v>
      </c>
      <c r="G245" s="1" t="s">
        <v>511</v>
      </c>
      <c r="H245" s="1" t="s">
        <v>263</v>
      </c>
      <c r="I245" s="1" t="s">
        <v>479</v>
      </c>
      <c r="J245" s="2">
        <v>22.5</v>
      </c>
      <c r="K245" s="1">
        <v>3</v>
      </c>
      <c r="L245" s="15">
        <v>0.81203007518796999</v>
      </c>
      <c r="M245" s="1">
        <v>0.8</v>
      </c>
      <c r="N245" s="2">
        <f>Таблица13[[#This Row],[Pуст, кВт]]*Таблица13[[#This Row],[Kи]]</f>
        <v>18</v>
      </c>
      <c r="O245" s="2">
        <f>IF(Таблица13[[#This Row],[Число фаз]]=1,J245/220/L245*M245*1000,J245/3/220/L245*M245*1000)</f>
        <v>33.585858585858581</v>
      </c>
      <c r="P245" s="2" t="str">
        <f>Таблица13[[#This Row],[Коды щитков]] &amp; "/M" &amp; TEXT( Таблица13[[#This Row],[Номер АВ]], "00")</f>
        <v>ШР-2/M02</v>
      </c>
      <c r="Q245" s="1" t="s">
        <v>493</v>
      </c>
      <c r="R245" s="1">
        <v>4</v>
      </c>
      <c r="S245" s="1">
        <v>16</v>
      </c>
      <c r="T245" s="1">
        <f>Таблица13[[#This Row],[Сечение фазного]]</f>
        <v>16</v>
      </c>
      <c r="U245" s="1">
        <v>35</v>
      </c>
      <c r="V245" s="2">
        <f>IF(Таблица13[[#This Row],[Число фаз]]=1,2*O245*(22.5/S245*L245+0.08*SIN(ACOS(L245)))*(U245/1000)*(100/220),SQRT(3)*O245*(22.5/S245*L245+0.08*SIN(ACOS(L245)))*(U245/1000)*(100/380))</f>
        <v>0.63685365526689786</v>
      </c>
      <c r="W24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ШР-2/M02-22,5-33,6-35</v>
      </c>
      <c r="X245" s="1" t="str">
        <f>TEXT(Таблица13[[#This Row],[Потери]],"0,0") &amp; "-" &amp;Таблица13[[#This Row],[Полная марка кабеля]]</f>
        <v>0,6-ВВГ-4x16</v>
      </c>
      <c r="Y245" t="s">
        <v>446</v>
      </c>
      <c r="Z24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ВВГ-4x16</v>
      </c>
    </row>
    <row r="246" spans="1:26" x14ac:dyDescent="0.25">
      <c r="A246" s="1" t="s">
        <v>49</v>
      </c>
      <c r="B246" s="1">
        <v>245</v>
      </c>
      <c r="C246" s="4">
        <v>5</v>
      </c>
      <c r="D246" s="4" t="str">
        <f>"ВА57-35 "&amp; Таблица13[[#This Row],[Число фаз]] &amp; "P " &amp;Таблица13[[#This Row],[Номинал АВ]] &amp; " А"</f>
        <v>ВА57-35 3P 100 А</v>
      </c>
      <c r="E246" s="1">
        <v>100</v>
      </c>
      <c r="F246" s="9" t="s">
        <v>42</v>
      </c>
      <c r="G246" s="1" t="s">
        <v>511</v>
      </c>
      <c r="H246" s="1" t="s">
        <v>263</v>
      </c>
      <c r="I246" s="1" t="s">
        <v>120</v>
      </c>
      <c r="J246" s="2">
        <v>16.431000000000001</v>
      </c>
      <c r="K246" s="1">
        <v>3</v>
      </c>
      <c r="L246" s="15">
        <v>0.81289883702952948</v>
      </c>
      <c r="M246" s="1">
        <v>0.8</v>
      </c>
      <c r="N246" s="2">
        <f>Таблица13[[#This Row],[Pуст, кВт]]*Таблица13[[#This Row],[Kи]]</f>
        <v>13.144800000000002</v>
      </c>
      <c r="O246" s="2">
        <f>IF(Таблица13[[#This Row],[Число фаз]]=1,J246/220/L246*M246*1000,J246/3/220/L246*M246*1000)</f>
        <v>24.500420875420879</v>
      </c>
      <c r="P246" s="2" t="str">
        <f>Таблица13[[#This Row],[Коды щитков]] &amp; "/M" &amp; TEXT( Таблица13[[#This Row],[Номер АВ]], "00")</f>
        <v>ШР-2/M05</v>
      </c>
      <c r="Q246" s="1" t="s">
        <v>9</v>
      </c>
      <c r="R246" s="1">
        <v>5</v>
      </c>
      <c r="S246" s="1">
        <v>10</v>
      </c>
      <c r="T246" s="1">
        <f>Таблица13[[#This Row],[Сечение фазного]]</f>
        <v>10</v>
      </c>
      <c r="U246" s="1">
        <v>40</v>
      </c>
      <c r="V246" s="2">
        <f>IF(Таблица13[[#This Row],[Число фаз]]=1,2*O246*(22.5/S246*L246+0.08*SIN(ACOS(L246)))*(U246/1000)*(100/220),SQRT(3)*O246*(22.5/S246*L246+0.08*SIN(ACOS(L246)))*(U246/1000)*(100/380))</f>
        <v>0.83782673087815307</v>
      </c>
      <c r="W24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ШР-2/M05-16,4-24,5-40</v>
      </c>
      <c r="X246" s="1" t="str">
        <f>TEXT(Таблица13[[#This Row],[Потери]],"0,0") &amp; "-" &amp;Таблица13[[#This Row],[Полная марка кабеля]]</f>
        <v>0,8-ПВС-5x10</v>
      </c>
      <c r="Y246" t="s">
        <v>446</v>
      </c>
      <c r="Z24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ПВС-5x10</v>
      </c>
    </row>
    <row r="247" spans="1:26" x14ac:dyDescent="0.25">
      <c r="A247" s="1" t="s">
        <v>50</v>
      </c>
      <c r="B247" s="1">
        <v>246</v>
      </c>
      <c r="C247" s="4">
        <v>1</v>
      </c>
      <c r="D247" s="4" t="str">
        <f>"ВА57-35 "&amp; Таблица13[[#This Row],[Число фаз]] &amp; "P " &amp;Таблица13[[#This Row],[Номинал АВ]] &amp; " А"</f>
        <v>ВА57-35 3P 80 А</v>
      </c>
      <c r="E247" s="1">
        <v>80</v>
      </c>
      <c r="F247" s="13" t="s">
        <v>311</v>
      </c>
      <c r="G247" s="1" t="s">
        <v>218</v>
      </c>
      <c r="H247" s="1" t="s">
        <v>94</v>
      </c>
      <c r="I247" s="1" t="s">
        <v>214</v>
      </c>
      <c r="J247" s="16">
        <v>38.6</v>
      </c>
      <c r="K247" s="1">
        <v>3</v>
      </c>
      <c r="L247" s="15">
        <v>0.8</v>
      </c>
      <c r="M247" s="1">
        <v>1</v>
      </c>
      <c r="N247" s="2">
        <f>Таблица13[[#This Row],[Pуст, кВт]]*Таблица13[[#This Row],[Kи]]</f>
        <v>38.6</v>
      </c>
      <c r="O247" s="2">
        <f>IF(Таблица13[[#This Row],[Число фаз]]=1,J247/220/L247*M247*1000,J247/3/220/L247*M247*1000)</f>
        <v>73.106060606060609</v>
      </c>
      <c r="P247" s="2" t="str">
        <f>Таблица13[[#This Row],[Коды щитков]] &amp; "/M" &amp; TEXT( Таблица13[[#This Row],[Номер АВ]], "00")</f>
        <v>ШС-2-3/M01</v>
      </c>
      <c r="Q247" s="1" t="s">
        <v>63</v>
      </c>
      <c r="R247" s="1">
        <v>5</v>
      </c>
      <c r="S247" s="1">
        <v>25</v>
      </c>
      <c r="T247" s="1">
        <f>Таблица13[[#This Row],[Сечение фазного]]</f>
        <v>25</v>
      </c>
      <c r="U247" s="1">
        <v>20</v>
      </c>
      <c r="V247" s="2">
        <f>IF(Таблица13[[#This Row],[Число фаз]]=1,2*O247*(22.5/S247*L247+0.08*SIN(ACOS(L247)))*(U247/1000)*(100/220),SQRT(3)*O247*(22.5/S247*L247+0.08*SIN(ACOS(L247)))*(U247/1000)*(100/380))</f>
        <v>0.51182515729882228</v>
      </c>
      <c r="W24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ШС-2-3/M01-38,6-73,1-20</v>
      </c>
      <c r="X247" s="1" t="str">
        <f>TEXT(Таблица13[[#This Row],[Потери]],"0,0") &amp; "-" &amp;Таблица13[[#This Row],[Полная марка кабеля]]</f>
        <v>0,5-ВВГнг(A)-LS-5x25</v>
      </c>
      <c r="Y247" t="s">
        <v>447</v>
      </c>
      <c r="Z24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248" spans="1:26" x14ac:dyDescent="0.25">
      <c r="A248" s="1" t="s">
        <v>50</v>
      </c>
      <c r="B248" s="1">
        <v>247</v>
      </c>
      <c r="C248" s="4">
        <v>2</v>
      </c>
      <c r="D248" s="4" t="str">
        <f>"ВА57-35 "&amp; Таблица13[[#This Row],[Число фаз]] &amp; "P " &amp;Таблица13[[#This Row],[Номинал АВ]] &amp; " А"</f>
        <v>ВА57-35 3P 80 А</v>
      </c>
      <c r="E248" s="1">
        <v>80</v>
      </c>
      <c r="F248" s="13" t="s">
        <v>304</v>
      </c>
      <c r="G248" s="1" t="s">
        <v>223</v>
      </c>
      <c r="H248" s="1" t="s">
        <v>94</v>
      </c>
      <c r="I248" s="1" t="s">
        <v>164</v>
      </c>
      <c r="J248" s="16">
        <v>36</v>
      </c>
      <c r="K248" s="1">
        <v>3</v>
      </c>
      <c r="L248" s="15">
        <v>0.8</v>
      </c>
      <c r="M248" s="1">
        <v>1</v>
      </c>
      <c r="N248" s="2">
        <f>Таблица13[[#This Row],[Pуст, кВт]]*Таблица13[[#This Row],[Kи]]</f>
        <v>36</v>
      </c>
      <c r="O248" s="2">
        <f>IF(Таблица13[[#This Row],[Число фаз]]=1,J248/220/L248*M248*1000,J248/3/220/L248*M248*1000)</f>
        <v>68.181818181818173</v>
      </c>
      <c r="P248" s="2" t="str">
        <f>Таблица13[[#This Row],[Коды щитков]] &amp; "/M" &amp; TEXT( Таблица13[[#This Row],[Номер АВ]], "00")</f>
        <v>ШС-2-3/M02</v>
      </c>
      <c r="Q248" s="1" t="s">
        <v>63</v>
      </c>
      <c r="R248" s="1">
        <v>5</v>
      </c>
      <c r="S248" s="1">
        <v>25</v>
      </c>
      <c r="T248" s="1">
        <f>Таблица13[[#This Row],[Сечение фазного]]</f>
        <v>25</v>
      </c>
      <c r="U248" s="1">
        <v>5</v>
      </c>
      <c r="V248" s="2">
        <f>IF(Таблица13[[#This Row],[Число фаз]]=1,2*O248*(22.5/S248*L248+0.08*SIN(ACOS(L248)))*(U248/1000)*(100/220),SQRT(3)*O248*(22.5/S248*L248+0.08*SIN(ACOS(L248)))*(U248/1000)*(100/380))</f>
        <v>0.11933747190905182</v>
      </c>
      <c r="W24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ШС-2-3/M02-36,0-68,2-5</v>
      </c>
      <c r="X248" s="1" t="str">
        <f>TEXT(Таблица13[[#This Row],[Потери]],"0,0") &amp; "-" &amp;Таблица13[[#This Row],[Полная марка кабеля]]</f>
        <v>0,1-ВВГнг(A)-LS-5x25</v>
      </c>
      <c r="Y248" t="s">
        <v>447</v>
      </c>
      <c r="Z24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249" spans="1:26" x14ac:dyDescent="0.25">
      <c r="A249" s="1" t="s">
        <v>50</v>
      </c>
      <c r="B249" s="1">
        <v>248</v>
      </c>
      <c r="C249" s="4">
        <v>3</v>
      </c>
      <c r="D249" s="4" t="str">
        <f>"ВА57-35 "&amp; Таблица13[[#This Row],[Число фаз]] &amp; "P " &amp;Таблица13[[#This Row],[Номинал АВ]] &amp; " А"</f>
        <v>ВА57-35 3P 80 А</v>
      </c>
      <c r="E249" s="1">
        <v>80</v>
      </c>
      <c r="F249" s="13" t="s">
        <v>325</v>
      </c>
      <c r="G249" s="1"/>
      <c r="H249" s="1" t="s">
        <v>97</v>
      </c>
      <c r="I249" s="1" t="s">
        <v>214</v>
      </c>
      <c r="J249" s="16">
        <v>38.6</v>
      </c>
      <c r="K249" s="1">
        <v>3</v>
      </c>
      <c r="L249" s="15">
        <v>1</v>
      </c>
      <c r="M249" s="1">
        <v>1</v>
      </c>
      <c r="N249" s="2">
        <f>Таблица13[[#This Row],[Pуст, кВт]]*Таблица13[[#This Row],[Kи]]</f>
        <v>38.6</v>
      </c>
      <c r="O249" s="2">
        <f>IF(Таблица13[[#This Row],[Число фаз]]=1,J249/220/L249*M249*1000,J249/3/220/L249*M249*1000)</f>
        <v>58.484848484848484</v>
      </c>
      <c r="P249" s="2" t="str">
        <f>Таблица13[[#This Row],[Коды щитков]] &amp; "/M" &amp; TEXT( Таблица13[[#This Row],[Номер АВ]], "00")</f>
        <v>ШС-2-3/M03</v>
      </c>
      <c r="Q249" s="1" t="s">
        <v>63</v>
      </c>
      <c r="R249" s="1">
        <v>5</v>
      </c>
      <c r="S249" s="1">
        <v>25</v>
      </c>
      <c r="T249" s="1">
        <f>Таблица13[[#This Row],[Сечение фазного]]</f>
        <v>25</v>
      </c>
      <c r="U249" s="1">
        <v>45</v>
      </c>
      <c r="V249" s="2">
        <f>IF(Таблица13[[#This Row],[Число фаз]]=1,2*O249*(22.5/S249*L249+0.08*SIN(ACOS(L249)))*(U249/1000)*(100/220),SQRT(3)*O249*(22.5/S249*L249+0.08*SIN(ACOS(L249)))*(U249/1000)*(100/380))</f>
        <v>1.0796311911772032</v>
      </c>
      <c r="W24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ШС-2-3/M03-38,6-58,5-45</v>
      </c>
      <c r="X249" s="1" t="str">
        <f>TEXT(Таблица13[[#This Row],[Потери]],"0,0") &amp; "-" &amp;Таблица13[[#This Row],[Полная марка кабеля]]</f>
        <v>1,1-ВВГнг(A)-LS-5x25</v>
      </c>
      <c r="Y249" t="s">
        <v>447</v>
      </c>
      <c r="Z24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250" spans="1:26" x14ac:dyDescent="0.25">
      <c r="A250" s="1" t="s">
        <v>50</v>
      </c>
      <c r="B250" s="1">
        <v>249</v>
      </c>
      <c r="C250" s="4">
        <v>4</v>
      </c>
      <c r="D250" s="4" t="str">
        <f>"Acti9 iC60N C"&amp;Таблица13[[#This Row],[Номинал АВ]]&amp; " " &amp; Таблица13[[#This Row],[Число фаз]] &amp; "P"</f>
        <v>Acti9 iC60N C40 3P</v>
      </c>
      <c r="E250" s="1">
        <v>40</v>
      </c>
      <c r="F250" s="9"/>
      <c r="G250" s="1"/>
      <c r="H250" s="1" t="s">
        <v>215</v>
      </c>
      <c r="I250" s="1"/>
      <c r="J250" s="16">
        <v>15</v>
      </c>
      <c r="K250" s="1">
        <v>3</v>
      </c>
      <c r="L250" s="15">
        <v>0.9</v>
      </c>
      <c r="M250" s="1">
        <v>1</v>
      </c>
      <c r="N250" s="2">
        <f>Таблица13[[#This Row],[Pуст, кВт]]*Таблица13[[#This Row],[Kи]]</f>
        <v>15</v>
      </c>
      <c r="O250" s="2">
        <f>IF(Таблица13[[#This Row],[Число фаз]]=1,J250/220/L250*M250*1000,J250/3/220/L250*M250*1000)</f>
        <v>25.252525252525253</v>
      </c>
      <c r="P250" s="2" t="str">
        <f>Таблица13[[#This Row],[Коды щитков]] &amp; "/M" &amp; TEXT( Таблица13[[#This Row],[Номер АВ]], "00")</f>
        <v>ШС-2-3/M04</v>
      </c>
      <c r="Q250" s="1" t="s">
        <v>63</v>
      </c>
      <c r="R250" s="1">
        <v>5</v>
      </c>
      <c r="S250" s="1">
        <v>10</v>
      </c>
      <c r="T250" s="1">
        <f>Таблица13[[#This Row],[Сечение фазного]]</f>
        <v>10</v>
      </c>
      <c r="U250" s="1">
        <v>25</v>
      </c>
      <c r="V250" s="2">
        <f>IF(Таблица13[[#This Row],[Число фаз]]=1,2*O250*(22.5/S250*L250+0.08*SIN(ACOS(L250)))*(U250/1000)*(100/220),SQRT(3)*O250*(22.5/S250*L250+0.08*SIN(ACOS(L250)))*(U250/1000)*(100/380))</f>
        <v>0.59273683559428869</v>
      </c>
      <c r="W25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ШС-2-3/M04-15,0-25,3-25</v>
      </c>
      <c r="X250" s="1" t="str">
        <f>TEXT(Таблица13[[#This Row],[Потери]],"0,0") &amp; "-" &amp;Таблица13[[#This Row],[Полная марка кабеля]]</f>
        <v>0,6-ВВГнг(A)-LS-5x10</v>
      </c>
      <c r="Y250" t="s">
        <v>447</v>
      </c>
      <c r="Z25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51" spans="1:26" x14ac:dyDescent="0.25">
      <c r="A251" s="1" t="s">
        <v>50</v>
      </c>
      <c r="B251" s="1">
        <v>250</v>
      </c>
      <c r="C251" s="4">
        <v>5</v>
      </c>
      <c r="D251" s="4" t="str">
        <f>"Acti9 iC60N C"&amp;Таблица13[[#This Row],[Номинал АВ]]&amp; " " &amp; Таблица13[[#This Row],[Число фаз]] &amp; "P"</f>
        <v>Acti9 iC60N C25 3P</v>
      </c>
      <c r="E251" s="1">
        <v>25</v>
      </c>
      <c r="F251" s="13" t="s">
        <v>283</v>
      </c>
      <c r="G251" s="1" t="s">
        <v>224</v>
      </c>
      <c r="H251" s="1" t="s">
        <v>94</v>
      </c>
      <c r="I251" s="1" t="s">
        <v>216</v>
      </c>
      <c r="J251" s="16">
        <v>9.6999999999999993</v>
      </c>
      <c r="K251" s="1">
        <v>3</v>
      </c>
      <c r="L251" s="15">
        <v>0.8</v>
      </c>
      <c r="M251" s="1">
        <v>1</v>
      </c>
      <c r="N251" s="2">
        <f>Таблица13[[#This Row],[Pуст, кВт]]*Таблица13[[#This Row],[Kи]]</f>
        <v>9.6999999999999993</v>
      </c>
      <c r="O251" s="2">
        <f>IF(Таблица13[[#This Row],[Число фаз]]=1,J251/220/L251*M251*1000,J251/3/220/L251*M251*1000)</f>
        <v>18.371212121212118</v>
      </c>
      <c r="P251" s="2" t="str">
        <f>Таблица13[[#This Row],[Коды щитков]] &amp; "/M" &amp; TEXT( Таблица13[[#This Row],[Номер АВ]], "00")</f>
        <v>ШС-2-3/M05</v>
      </c>
      <c r="Q251" s="1" t="s">
        <v>63</v>
      </c>
      <c r="R251" s="1">
        <v>5</v>
      </c>
      <c r="S251" s="1">
        <v>4</v>
      </c>
      <c r="T251" s="1">
        <f>Таблица13[[#This Row],[Сечение фазного]]</f>
        <v>4</v>
      </c>
      <c r="U251" s="1">
        <v>10</v>
      </c>
      <c r="V251" s="2">
        <f>IF(Таблица13[[#This Row],[Число фаз]]=1,2*O251*(22.5/S251*L251+0.08*SIN(ACOS(L251)))*(U251/1000)*(100/220),SQRT(3)*O251*(22.5/S251*L251+0.08*SIN(ACOS(L251)))*(U251/1000)*(100/380))</f>
        <v>0.38083363539865206</v>
      </c>
      <c r="W25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ШС-2-3/M05-9,7-18,4-10</v>
      </c>
      <c r="X251" s="1" t="str">
        <f>TEXT(Таблица13[[#This Row],[Потери]],"0,0") &amp; "-" &amp;Таблица13[[#This Row],[Полная марка кабеля]]</f>
        <v>0,4-ВВГнг(A)-LS-5x4</v>
      </c>
      <c r="Y251" t="s">
        <v>447</v>
      </c>
      <c r="Z25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52" spans="1:26" x14ac:dyDescent="0.25">
      <c r="A252" s="1" t="s">
        <v>50</v>
      </c>
      <c r="B252" s="1">
        <v>251</v>
      </c>
      <c r="C252" s="4">
        <v>6</v>
      </c>
      <c r="D252" s="4" t="str">
        <f>"Acti9 iC60N C"&amp;Таблица13[[#This Row],[Номинал АВ]]&amp; " " &amp; Таблица13[[#This Row],[Число фаз]] &amp; "P"</f>
        <v>Acti9 iC60N C40 3P</v>
      </c>
      <c r="E252" s="1">
        <v>40</v>
      </c>
      <c r="F252" s="13" t="s">
        <v>289</v>
      </c>
      <c r="G252" s="1" t="s">
        <v>100</v>
      </c>
      <c r="H252" s="1" t="s">
        <v>94</v>
      </c>
      <c r="I252" s="1" t="s">
        <v>217</v>
      </c>
      <c r="J252" s="16">
        <v>19</v>
      </c>
      <c r="K252" s="1">
        <v>3</v>
      </c>
      <c r="L252" s="15">
        <v>0.8</v>
      </c>
      <c r="M252" s="1">
        <v>1</v>
      </c>
      <c r="N252" s="2">
        <f>Таблица13[[#This Row],[Pуст, кВт]]*Таблица13[[#This Row],[Kи]]</f>
        <v>19</v>
      </c>
      <c r="O252" s="2">
        <f>IF(Таблица13[[#This Row],[Число фаз]]=1,J252/220/L252*M252*1000,J252/3/220/L252*M252*1000)</f>
        <v>35.984848484848477</v>
      </c>
      <c r="P252" s="2" t="str">
        <f>Таблица13[[#This Row],[Коды щитков]] &amp; "/M" &amp; TEXT( Таблица13[[#This Row],[Номер АВ]], "00")</f>
        <v>ШС-2-3/M06</v>
      </c>
      <c r="Q252" s="1" t="s">
        <v>63</v>
      </c>
      <c r="R252" s="1">
        <v>5</v>
      </c>
      <c r="S252" s="1">
        <v>10</v>
      </c>
      <c r="T252" s="1">
        <f>Таблица13[[#This Row],[Сечение фазного]]</f>
        <v>10</v>
      </c>
      <c r="U252" s="1">
        <v>20</v>
      </c>
      <c r="V252" s="2">
        <f>IF(Таблица13[[#This Row],[Число фаз]]=1,2*O252*(22.5/S252*L252+0.08*SIN(ACOS(L252)))*(U252/1000)*(100/220),SQRT(3)*O252*(22.5/S252*L252+0.08*SIN(ACOS(L252)))*(U252/1000)*(100/380))</f>
        <v>0.60621778264910686</v>
      </c>
      <c r="W25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ШС-2-3/M06-19,0-36,0-20</v>
      </c>
      <c r="X252" s="1" t="str">
        <f>TEXT(Таблица13[[#This Row],[Потери]],"0,0") &amp; "-" &amp;Таблица13[[#This Row],[Полная марка кабеля]]</f>
        <v>0,6-ВВГнг(A)-LS-5x10</v>
      </c>
      <c r="Y252" t="s">
        <v>447</v>
      </c>
      <c r="Z25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53" spans="1:26" x14ac:dyDescent="0.25">
      <c r="A253" s="1" t="s">
        <v>50</v>
      </c>
      <c r="B253" s="1">
        <v>252</v>
      </c>
      <c r="C253" s="4">
        <v>7</v>
      </c>
      <c r="D253" s="4" t="str">
        <f>"Acti9 iC60N C"&amp;Таблица13[[#This Row],[Номинал АВ]]&amp; " " &amp; Таблица13[[#This Row],[Число фаз]] &amp; "P"</f>
        <v>Acti9 iC60N C25 3P</v>
      </c>
      <c r="E253" s="1">
        <v>25</v>
      </c>
      <c r="F253" s="13" t="s">
        <v>296</v>
      </c>
      <c r="G253" s="1" t="s">
        <v>224</v>
      </c>
      <c r="H253" s="1" t="s">
        <v>94</v>
      </c>
      <c r="I253" s="1" t="s">
        <v>219</v>
      </c>
      <c r="J253" s="16">
        <v>9.6999999999999993</v>
      </c>
      <c r="K253" s="1">
        <v>3</v>
      </c>
      <c r="L253" s="15">
        <v>0.8</v>
      </c>
      <c r="M253" s="1">
        <v>1</v>
      </c>
      <c r="N253" s="2">
        <f>Таблица13[[#This Row],[Pуст, кВт]]*Таблица13[[#This Row],[Kи]]</f>
        <v>9.6999999999999993</v>
      </c>
      <c r="O253" s="2">
        <f>IF(Таблица13[[#This Row],[Число фаз]]=1,J253/220/L253*M253*1000,J253/3/220/L253*M253*1000)</f>
        <v>18.371212121212118</v>
      </c>
      <c r="P253" s="2" t="str">
        <f>Таблица13[[#This Row],[Коды щитков]] &amp; "/M" &amp; TEXT( Таблица13[[#This Row],[Номер АВ]], "00")</f>
        <v>ШС-2-3/M07</v>
      </c>
      <c r="Q253" s="1" t="s">
        <v>63</v>
      </c>
      <c r="R253" s="1">
        <v>5</v>
      </c>
      <c r="S253" s="1">
        <v>4</v>
      </c>
      <c r="T253" s="1">
        <f>Таблица13[[#This Row],[Сечение фазного]]</f>
        <v>4</v>
      </c>
      <c r="U253" s="1">
        <v>10</v>
      </c>
      <c r="V253" s="2">
        <f>IF(Таблица13[[#This Row],[Число фаз]]=1,2*O253*(22.5/S253*L253+0.08*SIN(ACOS(L253)))*(U253/1000)*(100/220),SQRT(3)*O253*(22.5/S253*L253+0.08*SIN(ACOS(L253)))*(U253/1000)*(100/380))</f>
        <v>0.38083363539865206</v>
      </c>
      <c r="W25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ШС-2-3/M07-9,7-18,4-10</v>
      </c>
      <c r="X253" s="1" t="str">
        <f>TEXT(Таблица13[[#This Row],[Потери]],"0,0") &amp; "-" &amp;Таблица13[[#This Row],[Полная марка кабеля]]</f>
        <v>0,4-ВВГнг(A)-LS-5x4</v>
      </c>
      <c r="Y253" t="s">
        <v>447</v>
      </c>
      <c r="Z25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54" spans="1:26" x14ac:dyDescent="0.25">
      <c r="A254" s="1" t="s">
        <v>51</v>
      </c>
      <c r="B254" s="1">
        <v>253</v>
      </c>
      <c r="C254" s="4">
        <v>1</v>
      </c>
      <c r="D254" s="4" t="str">
        <f>"ВА57-35 "&amp; Таблица13[[#This Row],[Число фаз]] &amp; "P " &amp;Таблица13[[#This Row],[Номинал АВ]] &amp; " А"</f>
        <v>ВА57-35 3P 125 А</v>
      </c>
      <c r="E254" s="1">
        <v>125</v>
      </c>
      <c r="F254" s="9" t="s">
        <v>220</v>
      </c>
      <c r="G254" s="1" t="s">
        <v>514</v>
      </c>
      <c r="H254" s="1" t="s">
        <v>263</v>
      </c>
      <c r="I254" s="1" t="s">
        <v>238</v>
      </c>
      <c r="J254" s="2">
        <v>50</v>
      </c>
      <c r="K254" s="1">
        <v>3</v>
      </c>
      <c r="L254" s="15">
        <v>0.8</v>
      </c>
      <c r="M254" s="1">
        <v>1</v>
      </c>
      <c r="N254" s="2">
        <f>Таблица13[[#This Row],[Pуст, кВт]]*Таблица13[[#This Row],[Kи]]</f>
        <v>50</v>
      </c>
      <c r="O254" s="2">
        <f>IF(Таблица13[[#This Row],[Число фаз]]=1,J254/220/L254*M254*1000,J254/3/220/L254*M254*1000)</f>
        <v>94.696969696969703</v>
      </c>
      <c r="P254" s="2" t="str">
        <f>Таблица13[[#This Row],[Коды щитков]] &amp; "/M" &amp; TEXT( Таблица13[[#This Row],[Номер АВ]], "00")</f>
        <v>ШС-2-2/M01</v>
      </c>
      <c r="Q254" s="1" t="s">
        <v>7</v>
      </c>
      <c r="R254" s="1">
        <v>5</v>
      </c>
      <c r="S254" s="1">
        <v>50</v>
      </c>
      <c r="T254" s="1">
        <f>Таблица13[[#This Row],[Сечение фазного]]</f>
        <v>50</v>
      </c>
      <c r="U254" s="1">
        <v>35</v>
      </c>
      <c r="V254" s="2">
        <f>IF(Таблица13[[#This Row],[Число фаз]]=1,2*O254*(22.5/S254*L254+0.08*SIN(ACOS(L254)))*(U254/1000)*(100/220),SQRT(3)*O254*(22.5/S254*L254+0.08*SIN(ACOS(L254)))*(U254/1000)*(100/380))</f>
        <v>0.61636975508581471</v>
      </c>
      <c r="W25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ШС-2-2/M01-50,0-94,7-35</v>
      </c>
      <c r="X254" s="1" t="str">
        <f>TEXT(Таблица13[[#This Row],[Потери]],"0,0") &amp; "-" &amp;Таблица13[[#This Row],[Полная марка кабеля]]</f>
        <v>0,6-КГ-5x50</v>
      </c>
      <c r="Y254" t="s">
        <v>448</v>
      </c>
      <c r="Z25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КГ-5x50</v>
      </c>
    </row>
    <row r="255" spans="1:26" x14ac:dyDescent="0.25">
      <c r="A255" s="1" t="s">
        <v>51</v>
      </c>
      <c r="B255" s="1">
        <v>254</v>
      </c>
      <c r="C255" s="4">
        <v>2</v>
      </c>
      <c r="D255" s="4" t="str">
        <f>"Acti9 iC60N C"&amp;Таблица13[[#This Row],[Номинал АВ]]&amp; " " &amp; Таблица13[[#This Row],[Число фаз]] &amp; "P"</f>
        <v>Acti9 iC60N C25 3P</v>
      </c>
      <c r="E255" s="1">
        <v>25</v>
      </c>
      <c r="F255" s="9" t="s">
        <v>221</v>
      </c>
      <c r="G255" s="1" t="s">
        <v>514</v>
      </c>
      <c r="H255" s="1" t="s">
        <v>263</v>
      </c>
      <c r="I255" s="1" t="s">
        <v>509</v>
      </c>
      <c r="J255" s="2">
        <v>15</v>
      </c>
      <c r="K255" s="1">
        <v>3</v>
      </c>
      <c r="L255" s="15">
        <v>0.95</v>
      </c>
      <c r="M255" s="1">
        <v>1</v>
      </c>
      <c r="N255" s="2">
        <f>Таблица13[[#This Row],[Pуст, кВт]]*Таблица13[[#This Row],[Kи]]</f>
        <v>15</v>
      </c>
      <c r="O255" s="2">
        <f>IF(Таблица13[[#This Row],[Число фаз]]=1,J255/220/L255*M255*1000,J255/3/220/L255*M255*1000)</f>
        <v>23.92344497607656</v>
      </c>
      <c r="P255" s="2" t="str">
        <f>Таблица13[[#This Row],[Коды щитков]] &amp; "/M" &amp; TEXT( Таблица13[[#This Row],[Номер АВ]], "00")</f>
        <v>ШС-2-2/M02</v>
      </c>
      <c r="Q255" s="1" t="s">
        <v>7</v>
      </c>
      <c r="R255" s="1">
        <v>5</v>
      </c>
      <c r="S255" s="1">
        <v>6</v>
      </c>
      <c r="T255" s="1">
        <f>Таблица13[[#This Row],[Сечение фазного]]</f>
        <v>6</v>
      </c>
      <c r="U255" s="1">
        <v>25</v>
      </c>
      <c r="V255" s="2">
        <f>IF(Таблица13[[#This Row],[Число фаз]]=1,2*O255*(22.5/S255*L255+0.08*SIN(ACOS(L255)))*(U255/1000)*(100/220),SQRT(3)*O255*(22.5/S255*L255+0.08*SIN(ACOS(L255)))*(U255/1000)*(100/380))</f>
        <v>0.97798061213637855</v>
      </c>
      <c r="W25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ШС-2-2/M02-15,0-23,9-25</v>
      </c>
      <c r="X255" s="1" t="str">
        <f>TEXT(Таблица13[[#This Row],[Потери]],"0,0") &amp; "-" &amp;Таблица13[[#This Row],[Полная марка кабеля]]</f>
        <v>1,0-КГ-5x6</v>
      </c>
      <c r="Y255" t="s">
        <v>448</v>
      </c>
      <c r="Z25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КГ-5x6</v>
      </c>
    </row>
    <row r="256" spans="1:26" x14ac:dyDescent="0.25">
      <c r="A256" s="1" t="s">
        <v>51</v>
      </c>
      <c r="B256" s="1">
        <v>255</v>
      </c>
      <c r="C256" s="4">
        <v>3</v>
      </c>
      <c r="D256" s="4" t="str">
        <f>"ВА57-35 "&amp; Таблица13[[#This Row],[Число фаз]] &amp; "P " &amp;Таблица13[[#This Row],[Номинал АВ]] &amp; " А"</f>
        <v>ВА57-35 3P 80 А</v>
      </c>
      <c r="E256" s="1">
        <v>80</v>
      </c>
      <c r="F256" s="13" t="s">
        <v>301</v>
      </c>
      <c r="G256" s="1" t="s">
        <v>223</v>
      </c>
      <c r="H256" s="1" t="s">
        <v>94</v>
      </c>
      <c r="I256" s="1" t="s">
        <v>166</v>
      </c>
      <c r="J256" s="16">
        <v>36</v>
      </c>
      <c r="K256" s="1">
        <v>3</v>
      </c>
      <c r="L256" s="15">
        <v>0.8</v>
      </c>
      <c r="M256" s="1">
        <v>1</v>
      </c>
      <c r="N256" s="2">
        <f>Таблица13[[#This Row],[Pуст, кВт]]*Таблица13[[#This Row],[Kи]]</f>
        <v>36</v>
      </c>
      <c r="O256" s="2">
        <f>IF(Таблица13[[#This Row],[Число фаз]]=1,J256/220/L256*M256*1000,J256/3/220/L256*M256*1000)</f>
        <v>68.181818181818173</v>
      </c>
      <c r="P256" s="2" t="str">
        <f>Таблица13[[#This Row],[Коды щитков]] &amp; "/M" &amp; TEXT( Таблица13[[#This Row],[Номер АВ]], "00")</f>
        <v>ШС-2-2/M03</v>
      </c>
      <c r="Q256" s="1" t="s">
        <v>63</v>
      </c>
      <c r="R256" s="1">
        <v>5</v>
      </c>
      <c r="S256" s="1">
        <v>25</v>
      </c>
      <c r="T256" s="1">
        <f>Таблица13[[#This Row],[Сечение фазного]]</f>
        <v>25</v>
      </c>
      <c r="U256" s="1">
        <v>20</v>
      </c>
      <c r="V256" s="2">
        <f>IF(Таблица13[[#This Row],[Число фаз]]=1,2*O256*(22.5/S256*L256+0.08*SIN(ACOS(L256)))*(U256/1000)*(100/220),SQRT(3)*O256*(22.5/S256*L256+0.08*SIN(ACOS(L256)))*(U256/1000)*(100/380))</f>
        <v>0.47734988763620728</v>
      </c>
      <c r="W25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ШС-2-2/M03-36,0-68,2-20</v>
      </c>
      <c r="X256" s="1" t="str">
        <f>TEXT(Таблица13[[#This Row],[Потери]],"0,0") &amp; "-" &amp;Таблица13[[#This Row],[Полная марка кабеля]]</f>
        <v>0,5-ВВГнг(A)-LS-5x25</v>
      </c>
      <c r="Y256" t="s">
        <v>448</v>
      </c>
      <c r="Z25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ВВГнг(A)-LS-5x25</v>
      </c>
    </row>
    <row r="257" spans="1:26" x14ac:dyDescent="0.25">
      <c r="A257" s="1" t="s">
        <v>51</v>
      </c>
      <c r="B257" s="1">
        <v>256</v>
      </c>
      <c r="C257" s="4">
        <v>4</v>
      </c>
      <c r="D257" s="4" t="str">
        <f>"Acti9 iC60N C"&amp;Таблица13[[#This Row],[Номинал АВ]]&amp; " " &amp; Таблица13[[#This Row],[Число фаз]] &amp; "P"</f>
        <v>Acti9 iC60N C40 3P</v>
      </c>
      <c r="E257" s="1">
        <v>40</v>
      </c>
      <c r="F257" s="13" t="s">
        <v>302</v>
      </c>
      <c r="G257" s="1" t="s">
        <v>225</v>
      </c>
      <c r="H257" s="1" t="s">
        <v>94</v>
      </c>
      <c r="I257" s="1" t="s">
        <v>166</v>
      </c>
      <c r="J257" s="16">
        <v>11.3</v>
      </c>
      <c r="K257" s="1">
        <v>3</v>
      </c>
      <c r="L257" s="15">
        <v>0.8</v>
      </c>
      <c r="M257" s="1">
        <v>1</v>
      </c>
      <c r="N257" s="2">
        <f>Таблица13[[#This Row],[Pуст, кВт]]*Таблица13[[#This Row],[Kи]]</f>
        <v>11.3</v>
      </c>
      <c r="O257" s="2">
        <f>IF(Таблица13[[#This Row],[Число фаз]]=1,J257/220/L257*M257*1000,J257/3/220/L257*M257*1000)</f>
        <v>21.401515151515152</v>
      </c>
      <c r="P257" s="2" t="str">
        <f>Таблица13[[#This Row],[Коды щитков]] &amp; "/M" &amp; TEXT( Таблица13[[#This Row],[Номер АВ]], "00")</f>
        <v>ШС-2-2/M04</v>
      </c>
      <c r="Q257" s="1" t="s">
        <v>63</v>
      </c>
      <c r="R257" s="1">
        <v>5</v>
      </c>
      <c r="S257" s="1">
        <v>10</v>
      </c>
      <c r="T257" s="1">
        <f>Таблица13[[#This Row],[Сечение фазного]]</f>
        <v>10</v>
      </c>
      <c r="U257" s="1">
        <v>20</v>
      </c>
      <c r="V257" s="2">
        <f>IF(Таблица13[[#This Row],[Число фаз]]=1,2*O257*(22.5/S257*L257+0.08*SIN(ACOS(L257)))*(U257/1000)*(100/220),SQRT(3)*O257*(22.5/S257*L257+0.08*SIN(ACOS(L257)))*(U257/1000)*(100/380))</f>
        <v>0.36054004968078462</v>
      </c>
      <c r="W25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ШС-2-2/M04-11,3-21,4-20</v>
      </c>
      <c r="X257" s="1" t="str">
        <f>TEXT(Таблица13[[#This Row],[Потери]],"0,0") &amp; "-" &amp;Таблица13[[#This Row],[Полная марка кабеля]]</f>
        <v>0,4-ВВГнг(A)-LS-5x10</v>
      </c>
      <c r="Y257" t="s">
        <v>448</v>
      </c>
      <c r="Z25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58" spans="1:26" x14ac:dyDescent="0.25">
      <c r="A258" s="1" t="s">
        <v>51</v>
      </c>
      <c r="B258" s="1">
        <v>257</v>
      </c>
      <c r="C258" s="4">
        <v>5</v>
      </c>
      <c r="D258" s="4" t="str">
        <f>"Acti9 iC60N C"&amp;Таблица13[[#This Row],[Номинал АВ]]&amp; " " &amp; Таблица13[[#This Row],[Число фаз]] &amp; "P"</f>
        <v>Acti9 iC60N C10 1P</v>
      </c>
      <c r="E258" s="1">
        <v>10</v>
      </c>
      <c r="F258" s="9"/>
      <c r="G258" s="1"/>
      <c r="H258" s="1" t="s">
        <v>222</v>
      </c>
      <c r="I258" s="1"/>
      <c r="J258" s="16">
        <v>0.2</v>
      </c>
      <c r="K258" s="1">
        <v>1</v>
      </c>
      <c r="L258" s="15">
        <v>0.96</v>
      </c>
      <c r="M258" s="1">
        <v>1</v>
      </c>
      <c r="N258" s="2">
        <f>Таблица13[[#This Row],[Pуст, кВт]]*Таблица13[[#This Row],[Kи]]</f>
        <v>0.2</v>
      </c>
      <c r="O258" s="2">
        <f>IF(Таблица13[[#This Row],[Число фаз]]=1,J258/220/L258*M258*1000,J258/3/220/L258*M258*1000)</f>
        <v>0.94696969696969702</v>
      </c>
      <c r="P258" s="2" t="str">
        <f>Таблица13[[#This Row],[Коды щитков]] &amp; "/M" &amp; TEXT( Таблица13[[#This Row],[Номер АВ]], "00")</f>
        <v>ШС-2-2/M05</v>
      </c>
      <c r="Q258" s="1" t="s">
        <v>63</v>
      </c>
      <c r="R258" s="1">
        <v>3</v>
      </c>
      <c r="S258" s="1">
        <v>1.5</v>
      </c>
      <c r="T258" s="1">
        <f>Таблица13[[#This Row],[Сечение фазного]]</f>
        <v>1.5</v>
      </c>
      <c r="U258" s="1">
        <v>100</v>
      </c>
      <c r="V258" s="2">
        <f>IF(Таблица13[[#This Row],[Число фаз]]=1,2*O258*(22.5/S258*L258+0.08*SIN(ACOS(L258)))*(U258/1000)*(100/220),SQRT(3)*O258*(22.5/S258*L258+0.08*SIN(ACOS(L258)))*(U258/1000)*(100/380))</f>
        <v>1.2415977961432507</v>
      </c>
      <c r="W25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ШС-2-2/M05-0,2-0,9-100</v>
      </c>
      <c r="X258" s="1" t="str">
        <f>TEXT(Таблица13[[#This Row],[Потери]],"0,0") &amp; "-" &amp;Таблица13[[#This Row],[Полная марка кабеля]]</f>
        <v>1,2-ВВГнг(A)-LS-3x1,5</v>
      </c>
      <c r="Y258" t="s">
        <v>448</v>
      </c>
      <c r="Z25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59" spans="1:26" x14ac:dyDescent="0.25">
      <c r="A259" s="1" t="s">
        <v>52</v>
      </c>
      <c r="B259" s="1">
        <v>258</v>
      </c>
      <c r="C259" s="4">
        <v>1</v>
      </c>
      <c r="D259" s="4" t="str">
        <f>"Acti9 iC60N C"&amp;Таблица13[[#This Row],[Номинал АВ]]&amp; " " &amp; Таблица13[[#This Row],[Число фаз]] &amp; "P"</f>
        <v>Acti9 iC60N C10 1P</v>
      </c>
      <c r="E259" s="1">
        <v>10</v>
      </c>
      <c r="F259" s="9"/>
      <c r="G259" s="1"/>
      <c r="H259" s="1" t="s">
        <v>73</v>
      </c>
      <c r="I259" s="1" t="s">
        <v>229</v>
      </c>
      <c r="J259" s="16">
        <f>3*0.033</f>
        <v>9.9000000000000005E-2</v>
      </c>
      <c r="K259" s="1">
        <v>1</v>
      </c>
      <c r="L259" s="15">
        <v>0.96</v>
      </c>
      <c r="M259" s="1">
        <v>1</v>
      </c>
      <c r="N259" s="2">
        <f>Таблица13[[#This Row],[Pуст, кВт]]*Таблица13[[#This Row],[Kи]]</f>
        <v>9.9000000000000005E-2</v>
      </c>
      <c r="O259" s="2">
        <f>IF(Таблица13[[#This Row],[Число фаз]]=1,J259/220/L259*M259*1000,J259/3/220/L259*M259*1000)</f>
        <v>0.46875000000000006</v>
      </c>
      <c r="P259" s="2" t="str">
        <f>Таблица13[[#This Row],[Коды щитков]] &amp; "/M" &amp; TEXT( Таблица13[[#This Row],[Номер АВ]], "00")</f>
        <v>ШС-2-1А/M01</v>
      </c>
      <c r="Q259" s="1" t="s">
        <v>63</v>
      </c>
      <c r="R259" s="1">
        <v>3</v>
      </c>
      <c r="S259" s="1">
        <v>1.5</v>
      </c>
      <c r="T259" s="1">
        <f>Таблица13[[#This Row],[Сечение фазного]]</f>
        <v>1.5</v>
      </c>
      <c r="U259" s="1">
        <v>15</v>
      </c>
      <c r="V259" s="2">
        <f>IF(Таблица13[[#This Row],[Число фаз]]=1,2*O259*(22.5/S259*L259+0.08*SIN(ACOS(L259)))*(U259/1000)*(100/220),SQRT(3)*O259*(22.5/S259*L259+0.08*SIN(ACOS(L259)))*(U259/1000)*(100/380))</f>
        <v>9.2188636363636348E-2</v>
      </c>
      <c r="W25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ШС-2-1А/M01-0,1-0,5-15</v>
      </c>
      <c r="X259" s="1" t="str">
        <f>TEXT(Таблица13[[#This Row],[Потери]],"0,0") &amp; "-" &amp;Таблица13[[#This Row],[Полная марка кабеля]]</f>
        <v>0,1-ВВГнг(A)-LS-3x1,5</v>
      </c>
      <c r="Y259" t="s">
        <v>449</v>
      </c>
      <c r="Z25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60" spans="1:26" x14ac:dyDescent="0.25">
      <c r="A260" s="1" t="s">
        <v>52</v>
      </c>
      <c r="B260" s="1">
        <v>259</v>
      </c>
      <c r="C260" s="4">
        <v>2</v>
      </c>
      <c r="D260" s="4" t="str">
        <f>"Acti9 iC60N C"&amp;Таблица13[[#This Row],[Номинал АВ]]&amp; " " &amp; Таблица13[[#This Row],[Число фаз]] &amp; "P"</f>
        <v>Acti9 iC60N C25 3P</v>
      </c>
      <c r="E260" s="1">
        <v>25</v>
      </c>
      <c r="F260" s="13" t="s">
        <v>392</v>
      </c>
      <c r="G260" s="1" t="s">
        <v>233</v>
      </c>
      <c r="H260" s="1" t="s">
        <v>226</v>
      </c>
      <c r="I260" s="1" t="s">
        <v>229</v>
      </c>
      <c r="J260" s="16">
        <v>3</v>
      </c>
      <c r="K260" s="1">
        <v>3</v>
      </c>
      <c r="L260" s="15">
        <v>1</v>
      </c>
      <c r="M260" s="1">
        <v>1</v>
      </c>
      <c r="N260" s="2">
        <f>Таблица13[[#This Row],[Pуст, кВт]]*Таблица13[[#This Row],[Kи]]</f>
        <v>3</v>
      </c>
      <c r="O260" s="2">
        <f>IF(Таблица13[[#This Row],[Число фаз]]=1,J260/220/L260*M260*1000,J260/3/220/L260*M260*1000)</f>
        <v>4.545454545454545</v>
      </c>
      <c r="P260" s="2" t="str">
        <f>Таблица13[[#This Row],[Коды щитков]] &amp; "/M" &amp; TEXT( Таблица13[[#This Row],[Номер АВ]], "00")</f>
        <v>ШС-2-1А/M02</v>
      </c>
      <c r="Q260" s="1" t="s">
        <v>63</v>
      </c>
      <c r="R260" s="1">
        <v>5</v>
      </c>
      <c r="S260" s="1">
        <v>4</v>
      </c>
      <c r="T260" s="1">
        <f>Таблица13[[#This Row],[Сечение фазного]]</f>
        <v>4</v>
      </c>
      <c r="U260" s="1">
        <v>10</v>
      </c>
      <c r="V260" s="2">
        <f>IF(Таблица13[[#This Row],[Число фаз]]=1,2*O260*(22.5/S260*L260+0.08*SIN(ACOS(L260)))*(U260/1000)*(100/220),SQRT(3)*O260*(22.5/S260*L260+0.08*SIN(ACOS(L260)))*(U260/1000)*(100/380))</f>
        <v>0.1165404999111834</v>
      </c>
      <c r="W26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ШС-2-1А/M02-3,0-4,5-10</v>
      </c>
      <c r="X260" s="1" t="str">
        <f>TEXT(Таблица13[[#This Row],[Потери]],"0,0") &amp; "-" &amp;Таблица13[[#This Row],[Полная марка кабеля]]</f>
        <v>0,1-ВВГнг(A)-LS-5x4</v>
      </c>
      <c r="Y260" t="s">
        <v>449</v>
      </c>
      <c r="Z26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61" spans="1:26" x14ac:dyDescent="0.25">
      <c r="A261" s="1" t="s">
        <v>52</v>
      </c>
      <c r="B261" s="1">
        <v>260</v>
      </c>
      <c r="C261" s="4">
        <v>3</v>
      </c>
      <c r="D261" s="4" t="str">
        <f>"Acti9 iC60N C"&amp;Таблица13[[#This Row],[Номинал АВ]]&amp; " " &amp; Таблица13[[#This Row],[Число фаз]] &amp; "P"</f>
        <v>Acti9 iC60N C16 3P</v>
      </c>
      <c r="E261" s="1">
        <v>16</v>
      </c>
      <c r="F261" s="9"/>
      <c r="G261" s="1"/>
      <c r="H261" s="1" t="s">
        <v>227</v>
      </c>
      <c r="I261" s="1" t="s">
        <v>229</v>
      </c>
      <c r="J261" s="16">
        <v>3</v>
      </c>
      <c r="K261" s="1">
        <v>3</v>
      </c>
      <c r="L261" s="15">
        <v>0.8</v>
      </c>
      <c r="M261" s="1">
        <v>1</v>
      </c>
      <c r="N261" s="2">
        <f>Таблица13[[#This Row],[Pуст, кВт]]*Таблица13[[#This Row],[Kи]]</f>
        <v>3</v>
      </c>
      <c r="O261" s="2">
        <f>IF(Таблица13[[#This Row],[Число фаз]]=1,J261/220/L261*M261*1000,J261/3/220/L261*M261*1000)</f>
        <v>5.6818181818181808</v>
      </c>
      <c r="P261" s="2" t="str">
        <f>Таблица13[[#This Row],[Коды щитков]] &amp; "/M" &amp; TEXT( Таблица13[[#This Row],[Номер АВ]], "00")</f>
        <v>ШС-2-1А/M03</v>
      </c>
      <c r="Q261" s="1" t="s">
        <v>63</v>
      </c>
      <c r="R261" s="1">
        <v>5</v>
      </c>
      <c r="S261" s="1">
        <v>2.5</v>
      </c>
      <c r="T261" s="1">
        <f>Таблица13[[#This Row],[Сечение фазного]]</f>
        <v>2.5</v>
      </c>
      <c r="U261" s="1">
        <v>10</v>
      </c>
      <c r="V261" s="2">
        <f>IF(Таблица13[[#This Row],[Число фаз]]=1,2*O261*(22.5/S261*L261+0.08*SIN(ACOS(L261)))*(U261/1000)*(100/220),SQRT(3)*O261*(22.5/S261*L261+0.08*SIN(ACOS(L261)))*(U261/1000)*(100/380))</f>
        <v>0.18770789852361272</v>
      </c>
      <c r="W26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ШС-2-1А/M03-3,0-5,7-10</v>
      </c>
      <c r="X261" s="1" t="str">
        <f>TEXT(Таблица13[[#This Row],[Потери]],"0,0") &amp; "-" &amp;Таблица13[[#This Row],[Полная марка кабеля]]</f>
        <v>0,2-ВВГнг(A)-LS-5x2,5</v>
      </c>
      <c r="Y261" t="s">
        <v>449</v>
      </c>
      <c r="Z26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ВВГнг(A)-LS-5x2,5</v>
      </c>
    </row>
    <row r="262" spans="1:26" x14ac:dyDescent="0.25">
      <c r="A262" s="1" t="s">
        <v>52</v>
      </c>
      <c r="B262" s="1">
        <v>261</v>
      </c>
      <c r="C262" s="4">
        <v>4</v>
      </c>
      <c r="D262" s="4" t="str">
        <f>"Acti9 iC60N C"&amp;Таблица13[[#This Row],[Номинал АВ]]&amp; " " &amp; Таблица13[[#This Row],[Число фаз]] &amp; "P"</f>
        <v>Acti9 iC60N C25 3P</v>
      </c>
      <c r="E262" s="1">
        <v>25</v>
      </c>
      <c r="F262" s="9"/>
      <c r="G262" s="1"/>
      <c r="H262" s="1" t="s">
        <v>228</v>
      </c>
      <c r="I262" s="1" t="s">
        <v>229</v>
      </c>
      <c r="J262" s="16">
        <v>5</v>
      </c>
      <c r="K262" s="1">
        <v>3</v>
      </c>
      <c r="L262" s="15">
        <v>1</v>
      </c>
      <c r="M262" s="1">
        <v>1</v>
      </c>
      <c r="N262" s="2">
        <f>Таблица13[[#This Row],[Pуст, кВт]]*Таблица13[[#This Row],[Kи]]</f>
        <v>5</v>
      </c>
      <c r="O262" s="2">
        <f>IF(Таблица13[[#This Row],[Число фаз]]=1,J262/220/L262*M262*1000,J262/3/220/L262*M262*1000)</f>
        <v>7.5757575757575761</v>
      </c>
      <c r="P262" s="2" t="str">
        <f>Таблица13[[#This Row],[Коды щитков]] &amp; "/M" &amp; TEXT( Таблица13[[#This Row],[Номер АВ]], "00")</f>
        <v>ШС-2-1А/M04</v>
      </c>
      <c r="Q262" s="1" t="s">
        <v>63</v>
      </c>
      <c r="R262" s="1">
        <v>5</v>
      </c>
      <c r="S262" s="1">
        <v>4</v>
      </c>
      <c r="T262" s="1">
        <f>Таблица13[[#This Row],[Сечение фазного]]</f>
        <v>4</v>
      </c>
      <c r="U262" s="1">
        <v>50</v>
      </c>
      <c r="V262" s="2">
        <f>IF(Таблица13[[#This Row],[Число фаз]]=1,2*O262*(22.5/S262*L262+0.08*SIN(ACOS(L262)))*(U262/1000)*(100/220),SQRT(3)*O262*(22.5/S262*L262+0.08*SIN(ACOS(L262)))*(U262/1000)*(100/380))</f>
        <v>0.97117083259319525</v>
      </c>
      <c r="W26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ШС-2-1А/M04-5,0-7,6-50</v>
      </c>
      <c r="X262" s="1" t="str">
        <f>TEXT(Таблица13[[#This Row],[Потери]],"0,0") &amp; "-" &amp;Таблица13[[#This Row],[Полная марка кабеля]]</f>
        <v>1,0-ВВГнг(A)-LS-5x4</v>
      </c>
      <c r="Y262" t="s">
        <v>449</v>
      </c>
      <c r="Z26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63" spans="1:26" x14ac:dyDescent="0.25">
      <c r="A263" s="1" t="s">
        <v>52</v>
      </c>
      <c r="B263" s="1">
        <v>262</v>
      </c>
      <c r="C263" s="4">
        <v>5</v>
      </c>
      <c r="D263" s="4" t="str">
        <f>"Acti9 iC60N C"&amp;Таблица13[[#This Row],[Номинал АВ]]&amp; " " &amp; Таблица13[[#This Row],[Число фаз]] &amp; "P"</f>
        <v>Acti9 iC60N C25 3P</v>
      </c>
      <c r="E263" s="1">
        <v>25</v>
      </c>
      <c r="F263" s="13" t="s">
        <v>384</v>
      </c>
      <c r="G263" s="1" t="s">
        <v>230</v>
      </c>
      <c r="H263" s="1" t="s">
        <v>229</v>
      </c>
      <c r="I263" s="1" t="s">
        <v>229</v>
      </c>
      <c r="J263" s="16">
        <v>7.5</v>
      </c>
      <c r="K263" s="1">
        <v>3</v>
      </c>
      <c r="L263" s="15">
        <v>0.8</v>
      </c>
      <c r="M263" s="1">
        <v>1</v>
      </c>
      <c r="N263" s="2">
        <f>Таблица13[[#This Row],[Pуст, кВт]]*Таблица13[[#This Row],[Kи]]</f>
        <v>7.5</v>
      </c>
      <c r="O263" s="2">
        <f>IF(Таблица13[[#This Row],[Число фаз]]=1,J263/220/L263*M263*1000,J263/3/220/L263*M263*1000)</f>
        <v>14.204545454545453</v>
      </c>
      <c r="P263" s="2" t="str">
        <f>Таблица13[[#This Row],[Коды щитков]] &amp; "/M" &amp; TEXT( Таблица13[[#This Row],[Номер АВ]], "00")</f>
        <v>ШС-2-1А/M05</v>
      </c>
      <c r="Q263" s="1" t="s">
        <v>63</v>
      </c>
      <c r="R263" s="1">
        <v>5</v>
      </c>
      <c r="S263" s="1">
        <v>4</v>
      </c>
      <c r="T263" s="1">
        <f>Таблица13[[#This Row],[Сечение фазного]]</f>
        <v>4</v>
      </c>
      <c r="U263" s="1">
        <v>10</v>
      </c>
      <c r="V263" s="2">
        <f>IF(Таблица13[[#This Row],[Число фаз]]=1,2*O263*(22.5/S263*L263+0.08*SIN(ACOS(L263)))*(U263/1000)*(100/220),SQRT(3)*O263*(22.5/S263*L263+0.08*SIN(ACOS(L263)))*(U263/1000)*(100/380))</f>
        <v>0.2944589964422567</v>
      </c>
      <c r="W26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ШС-2-1А/M05-7,5-14,2-10</v>
      </c>
      <c r="X263" s="1" t="str">
        <f>TEXT(Таблица13[[#This Row],[Потери]],"0,0") &amp; "-" &amp;Таблица13[[#This Row],[Полная марка кабеля]]</f>
        <v>0,3-ВВГнг(A)-LS-5x4</v>
      </c>
      <c r="Y263" t="s">
        <v>449</v>
      </c>
      <c r="Z26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64" spans="1:26" x14ac:dyDescent="0.25">
      <c r="A264" s="1" t="s">
        <v>52</v>
      </c>
      <c r="B264" s="1">
        <v>263</v>
      </c>
      <c r="C264" s="4">
        <v>6</v>
      </c>
      <c r="D264" s="4" t="str">
        <f>"Acti9 iC60N C"&amp;Таблица13[[#This Row],[Номинал АВ]]&amp; " " &amp; Таблица13[[#This Row],[Число фаз]] &amp; "P"</f>
        <v>Acti9 iC60N C40 3P</v>
      </c>
      <c r="E264" s="1">
        <v>40</v>
      </c>
      <c r="F264" s="13" t="s">
        <v>361</v>
      </c>
      <c r="G264" s="1" t="s">
        <v>231</v>
      </c>
      <c r="H264" s="1" t="s">
        <v>152</v>
      </c>
      <c r="I264" s="1" t="s">
        <v>229</v>
      </c>
      <c r="J264" s="16">
        <v>15</v>
      </c>
      <c r="K264" s="1">
        <v>3</v>
      </c>
      <c r="L264" s="15">
        <v>0.8</v>
      </c>
      <c r="M264" s="1">
        <v>1</v>
      </c>
      <c r="N264" s="2">
        <f>Таблица13[[#This Row],[Pуст, кВт]]*Таблица13[[#This Row],[Kи]]</f>
        <v>15</v>
      </c>
      <c r="O264" s="2">
        <f>IF(Таблица13[[#This Row],[Число фаз]]=1,J264/220/L264*M264*1000,J264/3/220/L264*M264*1000)</f>
        <v>28.409090909090907</v>
      </c>
      <c r="P264" s="2" t="str">
        <f>Таблица13[[#This Row],[Коды щитков]] &amp; "/M" &amp; TEXT( Таблица13[[#This Row],[Номер АВ]], "00")</f>
        <v>ШС-2-1А/M06</v>
      </c>
      <c r="Q264" s="1" t="s">
        <v>63</v>
      </c>
      <c r="R264" s="1">
        <v>5</v>
      </c>
      <c r="S264" s="1">
        <v>10</v>
      </c>
      <c r="T264" s="1">
        <f>Таблица13[[#This Row],[Сечение фазного]]</f>
        <v>10</v>
      </c>
      <c r="U264" s="1">
        <v>10</v>
      </c>
      <c r="V264" s="2">
        <f>IF(Таблица13[[#This Row],[Число фаз]]=1,2*O264*(22.5/S264*L264+0.08*SIN(ACOS(L264)))*(U264/1000)*(100/220),SQRT(3)*O264*(22.5/S264*L264+0.08*SIN(ACOS(L264)))*(U264/1000)*(100/380))</f>
        <v>0.23929649315096327</v>
      </c>
      <c r="W26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ШС-2-1А/M06-15,0-28,4-10</v>
      </c>
      <c r="X264" s="1" t="str">
        <f>TEXT(Таблица13[[#This Row],[Потери]],"0,0") &amp; "-" &amp;Таблица13[[#This Row],[Полная марка кабеля]]</f>
        <v>0,2-ВВГнг(A)-LS-5x10</v>
      </c>
      <c r="Y264" t="s">
        <v>449</v>
      </c>
      <c r="Z26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65" spans="1:26" x14ac:dyDescent="0.25">
      <c r="A265" s="1" t="s">
        <v>52</v>
      </c>
      <c r="B265" s="1">
        <v>264</v>
      </c>
      <c r="C265" s="4">
        <v>7</v>
      </c>
      <c r="D265" s="4" t="str">
        <f>"Acti9 iC60N C"&amp;Таблица13[[#This Row],[Номинал АВ]]&amp; " " &amp; Таблица13[[#This Row],[Число фаз]] &amp; "P"</f>
        <v>Acti9 iC60N C40 3P</v>
      </c>
      <c r="E265" s="1">
        <v>40</v>
      </c>
      <c r="F265" s="13" t="s">
        <v>367</v>
      </c>
      <c r="G265" s="1" t="s">
        <v>232</v>
      </c>
      <c r="H265" s="1" t="s">
        <v>152</v>
      </c>
      <c r="I265" s="1" t="s">
        <v>229</v>
      </c>
      <c r="J265" s="16">
        <v>15</v>
      </c>
      <c r="K265" s="1">
        <v>3</v>
      </c>
      <c r="L265" s="15">
        <v>0.8</v>
      </c>
      <c r="M265" s="1">
        <v>1</v>
      </c>
      <c r="N265" s="2">
        <f>Таблица13[[#This Row],[Pуст, кВт]]*Таблица13[[#This Row],[Kи]]</f>
        <v>15</v>
      </c>
      <c r="O265" s="2">
        <f>IF(Таблица13[[#This Row],[Число фаз]]=1,J265/220/L265*M265*1000,J265/3/220/L265*M265*1000)</f>
        <v>28.409090909090907</v>
      </c>
      <c r="P265" s="2" t="str">
        <f>Таблица13[[#This Row],[Коды щитков]] &amp; "/M" &amp; TEXT( Таблица13[[#This Row],[Номер АВ]], "00")</f>
        <v>ШС-2-1А/M07</v>
      </c>
      <c r="Q265" s="1" t="s">
        <v>63</v>
      </c>
      <c r="R265" s="1">
        <v>5</v>
      </c>
      <c r="S265" s="1">
        <v>10</v>
      </c>
      <c r="T265" s="1">
        <f>Таблица13[[#This Row],[Сечение фазного]]</f>
        <v>10</v>
      </c>
      <c r="U265" s="1">
        <v>10</v>
      </c>
      <c r="V265" s="2">
        <f>IF(Таблица13[[#This Row],[Число фаз]]=1,2*O265*(22.5/S265*L265+0.08*SIN(ACOS(L265)))*(U265/1000)*(100/220),SQRT(3)*O265*(22.5/S265*L265+0.08*SIN(ACOS(L265)))*(U265/1000)*(100/380))</f>
        <v>0.23929649315096327</v>
      </c>
      <c r="W26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ШС-2-1А/M07-15,0-28,4-10</v>
      </c>
      <c r="X265" s="1" t="str">
        <f>TEXT(Таблица13[[#This Row],[Потери]],"0,0") &amp; "-" &amp;Таблица13[[#This Row],[Полная марка кабеля]]</f>
        <v>0,2-ВВГнг(A)-LS-5x10</v>
      </c>
      <c r="Y265" t="s">
        <v>449</v>
      </c>
      <c r="Z26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66" spans="1:26" x14ac:dyDescent="0.25">
      <c r="A266" s="1" t="s">
        <v>53</v>
      </c>
      <c r="B266" s="1">
        <v>265</v>
      </c>
      <c r="C266" s="4">
        <v>1</v>
      </c>
      <c r="D266" s="4" t="str">
        <f>"ВА57-35 "&amp; Таблица13[[#This Row],[Число фаз]] &amp; "P " &amp;Таблица13[[#This Row],[Номинал АВ]] &amp; " А"</f>
        <v>ВА57-35 3P 100 А</v>
      </c>
      <c r="E266" s="1">
        <v>100</v>
      </c>
      <c r="F266" s="9" t="s">
        <v>52</v>
      </c>
      <c r="G266" s="1" t="s">
        <v>511</v>
      </c>
      <c r="H266" s="1" t="s">
        <v>263</v>
      </c>
      <c r="I266" s="1" t="s">
        <v>229</v>
      </c>
      <c r="J266" s="2">
        <v>48.598999999999997</v>
      </c>
      <c r="K266" s="1">
        <v>3</v>
      </c>
      <c r="L266" s="15">
        <v>0.82752514234023311</v>
      </c>
      <c r="M266" s="1">
        <v>0.8</v>
      </c>
      <c r="N266" s="2">
        <f>Таблица13[[#This Row],[Pуст, кВт]]*Таблица13[[#This Row],[Kи]]</f>
        <v>38.879199999999997</v>
      </c>
      <c r="O266" s="2">
        <f>IF(Таблица13[[#This Row],[Число фаз]]=1,J266/220/L266*M266*1000,J266/3/220/L266*M266*1000)</f>
        <v>71.185606060606062</v>
      </c>
      <c r="P266" s="2" t="str">
        <f>Таблица13[[#This Row],[Коды щитков]] &amp; "/M" &amp; TEXT( Таблица13[[#This Row],[Номер АВ]], "00")</f>
        <v>ШС-2-1/M01</v>
      </c>
      <c r="Q266" s="1" t="s">
        <v>7</v>
      </c>
      <c r="R266" s="1">
        <v>5</v>
      </c>
      <c r="S266" s="1">
        <v>16</v>
      </c>
      <c r="T266" s="1">
        <f>Таблица13[[#This Row],[Сечение фазного]]</f>
        <v>16</v>
      </c>
      <c r="U266" s="1">
        <v>40</v>
      </c>
      <c r="V266" s="2">
        <f>IF(Таблица13[[#This Row],[Число фаз]]=1,2*O266*(22.5/S266*L266+0.08*SIN(ACOS(L266)))*(U266/1000)*(100/220),SQRT(3)*O266*(22.5/S266*L266+0.08*SIN(ACOS(L266)))*(U266/1000)*(100/380))</f>
        <v>1.568626448012842</v>
      </c>
      <c r="W26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ШС-2-1/M01-48,6-71,2-40</v>
      </c>
      <c r="X266" s="1" t="str">
        <f>TEXT(Таблица13[[#This Row],[Потери]],"0,0") &amp; "-" &amp;Таблица13[[#This Row],[Полная марка кабеля]]</f>
        <v>1,6-КГ-5x16</v>
      </c>
      <c r="Y266" t="s">
        <v>431</v>
      </c>
      <c r="Z26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КГ-5x16</v>
      </c>
    </row>
    <row r="267" spans="1:26" x14ac:dyDescent="0.25">
      <c r="A267" s="1" t="s">
        <v>53</v>
      </c>
      <c r="B267" s="1">
        <v>266</v>
      </c>
      <c r="C267" s="4">
        <v>2</v>
      </c>
      <c r="D267" s="4" t="str">
        <f>"Acti9 iC60N C"&amp;Таблица13[[#This Row],[Номинал АВ]]&amp; " " &amp; Таблица13[[#This Row],[Число фаз]] &amp; "P"</f>
        <v>Acti9 iC60N C25 3P</v>
      </c>
      <c r="E267" s="1">
        <v>25</v>
      </c>
      <c r="F267" s="9"/>
      <c r="G267" s="1"/>
      <c r="H267" s="1" t="s">
        <v>123</v>
      </c>
      <c r="I267" s="1"/>
      <c r="J267" s="16">
        <v>7</v>
      </c>
      <c r="K267" s="1">
        <v>3</v>
      </c>
      <c r="L267" s="15">
        <v>0.8</v>
      </c>
      <c r="M267" s="1">
        <v>1</v>
      </c>
      <c r="N267" s="2">
        <f>Таблица13[[#This Row],[Pуст, кВт]]*Таблица13[[#This Row],[Kи]]</f>
        <v>7</v>
      </c>
      <c r="O267" s="2">
        <f>IF(Таблица13[[#This Row],[Число фаз]]=1,J267/220/L267*M267*1000,J267/3/220/L267*M267*1000)</f>
        <v>13.257575757575758</v>
      </c>
      <c r="P267" s="2" t="str">
        <f>Таблица13[[#This Row],[Коды щитков]] &amp; "/M" &amp; TEXT( Таблица13[[#This Row],[Номер АВ]], "00")</f>
        <v>ШС-2-1/M02</v>
      </c>
      <c r="Q267" s="1" t="s">
        <v>63</v>
      </c>
      <c r="R267" s="1">
        <v>5</v>
      </c>
      <c r="S267" s="1">
        <v>4</v>
      </c>
      <c r="T267" s="1">
        <f>Таблица13[[#This Row],[Сечение фазного]]</f>
        <v>4</v>
      </c>
      <c r="U267" s="1">
        <v>20</v>
      </c>
      <c r="V267" s="2">
        <f>IF(Таблица13[[#This Row],[Число фаз]]=1,2*O267*(22.5/S267*L267+0.08*SIN(ACOS(L267)))*(U267/1000)*(100/220),SQRT(3)*O267*(22.5/S267*L267+0.08*SIN(ACOS(L267)))*(U267/1000)*(100/380))</f>
        <v>0.54965679335887929</v>
      </c>
      <c r="W26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ШС-2-1/M02-7,0-13,3-20</v>
      </c>
      <c r="X267" s="1" t="str">
        <f>TEXT(Таблица13[[#This Row],[Потери]],"0,0") &amp; "-" &amp;Таблица13[[#This Row],[Полная марка кабеля]]</f>
        <v>0,5-ВВГнг(A)-LS-5x4</v>
      </c>
      <c r="Y267" t="s">
        <v>431</v>
      </c>
      <c r="Z26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268" spans="1:26" x14ac:dyDescent="0.25">
      <c r="A268" s="1" t="s">
        <v>53</v>
      </c>
      <c r="B268" s="1">
        <v>267</v>
      </c>
      <c r="C268" s="4">
        <v>3</v>
      </c>
      <c r="D268" s="4" t="str">
        <f>"Acti9 iC60N C"&amp;Таблица13[[#This Row],[Номинал АВ]]&amp; " " &amp; Таблица13[[#This Row],[Число фаз]] &amp; "P"</f>
        <v>Acti9 iC60N C40 3P</v>
      </c>
      <c r="E268" s="1">
        <v>40</v>
      </c>
      <c r="F268" s="9" t="s">
        <v>234</v>
      </c>
      <c r="G268" s="1" t="s">
        <v>511</v>
      </c>
      <c r="H268" s="1" t="s">
        <v>263</v>
      </c>
      <c r="I268" s="1" t="s">
        <v>235</v>
      </c>
      <c r="J268" s="2">
        <v>15</v>
      </c>
      <c r="K268" s="1">
        <v>3</v>
      </c>
      <c r="L268" s="15">
        <v>1</v>
      </c>
      <c r="M268" s="1">
        <v>1</v>
      </c>
      <c r="N268" s="2">
        <f>Таблица13[[#This Row],[Pуст, кВт]]*Таблица13[[#This Row],[Kи]]</f>
        <v>15</v>
      </c>
      <c r="O268" s="2">
        <f>IF(Таблица13[[#This Row],[Число фаз]]=1,J268/220/L268*M268*1000,J268/3/220/L268*M268*1000)</f>
        <v>22.727272727272727</v>
      </c>
      <c r="P268" s="2" t="str">
        <f>Таблица13[[#This Row],[Коды щитков]] &amp; "/M" &amp; TEXT( Таблица13[[#This Row],[Номер АВ]], "00")</f>
        <v>ШС-2-1/M03</v>
      </c>
      <c r="Q268" s="1" t="s">
        <v>7</v>
      </c>
      <c r="R268" s="1">
        <v>5</v>
      </c>
      <c r="S268" s="1">
        <v>10</v>
      </c>
      <c r="T268" s="1">
        <f>Таблица13[[#This Row],[Сечение фазного]]</f>
        <v>10</v>
      </c>
      <c r="U268" s="1">
        <v>10</v>
      </c>
      <c r="V268" s="2">
        <f>IF(Таблица13[[#This Row],[Число фаз]]=1,2*O268*(22.5/S268*L268+0.08*SIN(ACOS(L268)))*(U268/1000)*(100/220),SQRT(3)*O268*(22.5/S268*L268+0.08*SIN(ACOS(L268)))*(U268/1000)*(100/380))</f>
        <v>0.23308099982236685</v>
      </c>
      <c r="W26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ШС-2-1/M03-15,0-22,7-10</v>
      </c>
      <c r="X268" s="1" t="str">
        <f>TEXT(Таблица13[[#This Row],[Потери]],"0,0") &amp; "-" &amp;Таблица13[[#This Row],[Полная марка кабеля]]</f>
        <v>0,2-КГ-5x10</v>
      </c>
      <c r="Y268" t="s">
        <v>431</v>
      </c>
      <c r="Z26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КГ-5x10</v>
      </c>
    </row>
    <row r="269" spans="1:26" x14ac:dyDescent="0.25">
      <c r="A269" s="1" t="s">
        <v>53</v>
      </c>
      <c r="B269" s="1">
        <v>268</v>
      </c>
      <c r="C269" s="4">
        <v>4</v>
      </c>
      <c r="D269" s="4" t="str">
        <f>"Acti9 iC60N C"&amp;Таблица13[[#This Row],[Номинал АВ]]&amp; " " &amp; Таблица13[[#This Row],[Число фаз]] &amp; "P"</f>
        <v>Acti9 iC60N C16 1P</v>
      </c>
      <c r="E269" s="1">
        <v>16</v>
      </c>
      <c r="F269" s="9"/>
      <c r="G269" s="1"/>
      <c r="H269" s="1" t="s">
        <v>236</v>
      </c>
      <c r="I269" s="1"/>
      <c r="J269" s="16">
        <v>2</v>
      </c>
      <c r="K269" s="1">
        <v>1</v>
      </c>
      <c r="L269" s="15">
        <v>0.9</v>
      </c>
      <c r="M269" s="1">
        <v>1</v>
      </c>
      <c r="N269" s="2">
        <f>Таблица13[[#This Row],[Pуст, кВт]]*Таблица13[[#This Row],[Kи]]</f>
        <v>2</v>
      </c>
      <c r="O269" s="2">
        <f>IF(Таблица13[[#This Row],[Число фаз]]=1,J269/220/L269*M269*1000,J269/3/220/L269*M269*1000)</f>
        <v>10.1010101010101</v>
      </c>
      <c r="P269" s="2" t="str">
        <f>Таблица13[[#This Row],[Коды щитков]] &amp; "/M" &amp; TEXT( Таблица13[[#This Row],[Номер АВ]], "00")</f>
        <v>ШС-2-1/M04</v>
      </c>
      <c r="Q269" s="1" t="s">
        <v>63</v>
      </c>
      <c r="R269" s="1">
        <v>3</v>
      </c>
      <c r="S269" s="1">
        <v>2.5</v>
      </c>
      <c r="T269" s="1">
        <f>Таблица13[[#This Row],[Сечение фазного]]</f>
        <v>2.5</v>
      </c>
      <c r="U269" s="1">
        <v>10</v>
      </c>
      <c r="V269" s="2">
        <f>IF(Таблица13[[#This Row],[Число фаз]]=1,2*O269*(22.5/S269*L269+0.08*SIN(ACOS(L269)))*(U269/1000)*(100/220),SQRT(3)*O269*(22.5/S269*L269+0.08*SIN(ACOS(L269)))*(U269/1000)*(100/380))</f>
        <v>0.74700378251132449</v>
      </c>
      <c r="W26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ШС-2-1/M04-2,0-10,1-10</v>
      </c>
      <c r="X269" s="1" t="str">
        <f>TEXT(Таблица13[[#This Row],[Потери]],"0,0") &amp; "-" &amp;Таблица13[[#This Row],[Полная марка кабеля]]</f>
        <v>0,7-ВВГнг(A)-LS-3x2,5</v>
      </c>
      <c r="Y269" t="s">
        <v>431</v>
      </c>
      <c r="Z26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70" spans="1:26" x14ac:dyDescent="0.25">
      <c r="A270" s="1" t="s">
        <v>53</v>
      </c>
      <c r="B270" s="1">
        <v>269</v>
      </c>
      <c r="C270" s="4">
        <v>5</v>
      </c>
      <c r="D270" s="4" t="str">
        <f>"Acti9 iC60N C"&amp;Таблица13[[#This Row],[Номинал АВ]]&amp; " " &amp; Таблица13[[#This Row],[Число фаз]] &amp; "P"</f>
        <v>Acti9 iC60N C10 1P</v>
      </c>
      <c r="E270" s="1">
        <v>10</v>
      </c>
      <c r="F270" s="9"/>
      <c r="G270" s="1"/>
      <c r="H270" s="1" t="s">
        <v>73</v>
      </c>
      <c r="I270" s="1"/>
      <c r="J270" s="16">
        <f>10*2*22/1000</f>
        <v>0.44</v>
      </c>
      <c r="K270" s="1">
        <v>1</v>
      </c>
      <c r="L270" s="15">
        <v>0.96</v>
      </c>
      <c r="M270" s="1">
        <v>1</v>
      </c>
      <c r="N270" s="2">
        <f>Таблица13[[#This Row],[Pуст, кВт]]*Таблица13[[#This Row],[Kи]]</f>
        <v>0.44</v>
      </c>
      <c r="O270" s="2">
        <f>IF(Таблица13[[#This Row],[Число фаз]]=1,J270/220/L270*M270*1000,J270/3/220/L270*M270*1000)</f>
        <v>2.0833333333333335</v>
      </c>
      <c r="P270" s="2" t="str">
        <f>Таблица13[[#This Row],[Коды щитков]] &amp; "/M" &amp; TEXT( Таблица13[[#This Row],[Номер АВ]], "00")</f>
        <v>ШС-2-1/M05</v>
      </c>
      <c r="Q270" s="1" t="s">
        <v>63</v>
      </c>
      <c r="R270" s="1">
        <v>3</v>
      </c>
      <c r="S270" s="1">
        <v>1.5</v>
      </c>
      <c r="T270" s="1">
        <f>Таблица13[[#This Row],[Сечение фазного]]</f>
        <v>1.5</v>
      </c>
      <c r="U270" s="1">
        <v>60</v>
      </c>
      <c r="V270" s="2">
        <f>IF(Таблица13[[#This Row],[Число фаз]]=1,2*O270*(22.5/S270*L270+0.08*SIN(ACOS(L270)))*(U270/1000)*(100/220),SQRT(3)*O270*(22.5/S270*L270+0.08*SIN(ACOS(L270)))*(U270/1000)*(100/380))</f>
        <v>1.6389090909090906</v>
      </c>
      <c r="W27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ШС-2-1/M05-0,4-2,1-60</v>
      </c>
      <c r="X270" s="1" t="str">
        <f>TEXT(Таблица13[[#This Row],[Потери]],"0,0") &amp; "-" &amp;Таблица13[[#This Row],[Полная марка кабеля]]</f>
        <v>1,6-ВВГнг(A)-LS-3x1,5</v>
      </c>
      <c r="Y270" t="s">
        <v>431</v>
      </c>
      <c r="Z27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71" spans="1:26" x14ac:dyDescent="0.25">
      <c r="A271" s="1" t="s">
        <v>54</v>
      </c>
      <c r="B271" s="1">
        <v>270</v>
      </c>
      <c r="C271" s="4">
        <v>0</v>
      </c>
      <c r="D271" s="4" t="str">
        <f>"ВА57-39 "&amp; Таблица13[[#This Row],[Число фаз]] &amp; "P " &amp;Таблица13[[#This Row],[Номинал АВ]] &amp; " А"</f>
        <v>ВА57-39 3P 400 А</v>
      </c>
      <c r="E271" s="1">
        <v>400</v>
      </c>
      <c r="F271" s="9"/>
      <c r="G271" s="1"/>
      <c r="H271" s="1"/>
      <c r="I271" s="1"/>
      <c r="K271" s="1">
        <v>3</v>
      </c>
      <c r="N271" s="2">
        <f>Таблица13[[#This Row],[Pуст, кВт]]*Таблица13[[#This Row],[Kи]]</f>
        <v>0</v>
      </c>
      <c r="O271" s="2" t="e">
        <f>IF(Таблица13[[#This Row],[Число фаз]]=1,J271/220/L271*M271*1000,J271/3/220/L271*M271*1000)</f>
        <v>#DIV/0!</v>
      </c>
      <c r="P271" s="2" t="str">
        <f>Таблица13[[#This Row],[Коды щитков]] &amp; "/M" &amp; TEXT( Таблица13[[#This Row],[Номер АВ]], "00")</f>
        <v>/M00</v>
      </c>
      <c r="Q271" s="1"/>
      <c r="R271" s="1"/>
      <c r="S271" s="1"/>
      <c r="T271" s="25">
        <f>Таблица13[[#This Row],[Сечение фазного]]</f>
        <v>0</v>
      </c>
      <c r="U271" s="1"/>
      <c r="V271" s="2" t="e">
        <f>IF(Таблица13[[#This Row],[Число фаз]]=1,2*O271*(22.5/S271*L271+0.08*SIN(ACOS(L271)))*(U271/1000)*(100/220),SQRT(3)*O271*(22.5/S271*L271+0.08*SIN(ACOS(L271)))*(U271/1000)*(100/380))</f>
        <v>#DIV/0!</v>
      </c>
      <c r="W27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71" s="25" t="e">
        <f>TEXT(Таблица13[[#This Row],[Потери]],"0,0") &amp; "-" &amp;Таблица13[[#This Row],[Полная марка кабеля]]</f>
        <v>#DIV/0!</v>
      </c>
      <c r="Y271" s="1"/>
      <c r="Z271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72" spans="1:26" x14ac:dyDescent="0.25">
      <c r="A272" s="1" t="s">
        <v>54</v>
      </c>
      <c r="B272" s="1">
        <v>271</v>
      </c>
      <c r="C272" s="4">
        <v>1</v>
      </c>
      <c r="D272" s="4" t="str">
        <f>"ВА57-35 "&amp; Таблица13[[#This Row],[Число фаз]] &amp; "P " &amp;Таблица13[[#This Row],[Номинал АВ]] &amp; " А"</f>
        <v>ВА57-35 3P 160 А</v>
      </c>
      <c r="E272" s="1">
        <v>160</v>
      </c>
      <c r="F272" s="9" t="s">
        <v>53</v>
      </c>
      <c r="G272" s="1" t="s">
        <v>511</v>
      </c>
      <c r="H272" s="1" t="s">
        <v>263</v>
      </c>
      <c r="I272" s="1"/>
      <c r="J272" s="2">
        <v>73.039000000000001</v>
      </c>
      <c r="K272" s="1">
        <v>3</v>
      </c>
      <c r="L272" s="15">
        <v>0.85768120787582003</v>
      </c>
      <c r="M272" s="1">
        <v>0.8</v>
      </c>
      <c r="N272" s="2">
        <f>Таблица13[[#This Row],[Pуст, кВт]]*Таблица13[[#This Row],[Kи]]</f>
        <v>58.431200000000004</v>
      </c>
      <c r="O272" s="2">
        <f>IF(Таблица13[[#This Row],[Число фаз]]=1,J272/220/L272*M272*1000,J272/3/220/L272*M272*1000)</f>
        <v>103.22264309764311</v>
      </c>
      <c r="P272" s="2" t="str">
        <f>Таблица13[[#This Row],[Коды щитков]] &amp; "/M" &amp; TEXT( Таблица13[[#This Row],[Номер АВ]], "00")</f>
        <v>ШВ-2/M01</v>
      </c>
      <c r="Q272" s="1" t="s">
        <v>7</v>
      </c>
      <c r="R272" s="1">
        <v>4</v>
      </c>
      <c r="S272" s="1">
        <v>50</v>
      </c>
      <c r="T272" s="1">
        <v>16</v>
      </c>
      <c r="U272" s="1">
        <v>70</v>
      </c>
      <c r="V272" s="2">
        <f>IF(Таблица13[[#This Row],[Число фаз]]=1,2*O272*(22.5/S272*L272+0.08*SIN(ACOS(L272)))*(U272/1000)*(100/220),SQRT(3)*O272*(22.5/S272*L272+0.08*SIN(ACOS(L272)))*(U272/1000)*(100/380))</f>
        <v>1.4065998170517813</v>
      </c>
      <c r="W27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ШВ-2/M01-73,0-103,2-70</v>
      </c>
      <c r="X272" s="1" t="str">
        <f>TEXT(Таблица13[[#This Row],[Потери]],"0,0") &amp; "-" &amp;Таблица13[[#This Row],[Полная марка кабеля]]</f>
        <v>1,4-КГ-3x50+1x16</v>
      </c>
      <c r="Y272" t="s">
        <v>450</v>
      </c>
      <c r="Z27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КГ-3x50+1x16</v>
      </c>
    </row>
    <row r="273" spans="1:26" x14ac:dyDescent="0.25">
      <c r="A273" s="1" t="s">
        <v>54</v>
      </c>
      <c r="B273" s="1">
        <v>272</v>
      </c>
      <c r="C273" s="4">
        <v>2</v>
      </c>
      <c r="D273" s="4" t="str">
        <f>"ВА57-35 "&amp; Таблица13[[#This Row],[Число фаз]] &amp; "P " &amp;Таблица13[[#This Row],[Номинал АВ]] &amp; " А"</f>
        <v>ВА57-35 3P 160 А</v>
      </c>
      <c r="E273" s="1">
        <v>160</v>
      </c>
      <c r="F273" s="9" t="s">
        <v>51</v>
      </c>
      <c r="G273" s="1" t="s">
        <v>512</v>
      </c>
      <c r="H273" s="1" t="s">
        <v>263</v>
      </c>
      <c r="I273" s="1" t="s">
        <v>238</v>
      </c>
      <c r="J273" s="2">
        <v>112.5</v>
      </c>
      <c r="K273" s="1">
        <v>3</v>
      </c>
      <c r="L273" s="15">
        <v>0.81745171776403847</v>
      </c>
      <c r="M273" s="1">
        <v>0.77</v>
      </c>
      <c r="N273" s="2">
        <f>Таблица13[[#This Row],[Pуст, кВт]]*Таблица13[[#This Row],[Kи]]</f>
        <v>86.625</v>
      </c>
      <c r="O273" s="2">
        <f>IF(Таблица13[[#This Row],[Число фаз]]=1,J273/220/L273*M273*1000,J273/3/220/L273*M273*1000)</f>
        <v>160.55994152046782</v>
      </c>
      <c r="P273" s="2" t="str">
        <f>Таблица13[[#This Row],[Коды щитков]] &amp; "/M" &amp; TEXT( Таблица13[[#This Row],[Номер АВ]], "00")</f>
        <v>ШВ-2/M02</v>
      </c>
      <c r="Q273" s="1" t="s">
        <v>7</v>
      </c>
      <c r="R273" s="1">
        <v>4</v>
      </c>
      <c r="S273" s="1">
        <v>16</v>
      </c>
      <c r="T273" s="1">
        <f>Таблица13[[#This Row],[Сечение фазного]]</f>
        <v>16</v>
      </c>
      <c r="U273" s="1">
        <v>90</v>
      </c>
      <c r="V273" s="2">
        <f>IF(Таблица13[[#This Row],[Число фаз]]=1,2*O273*(22.5/S273*L273+0.08*SIN(ACOS(L273)))*(U273/1000)*(100/220),SQRT(3)*O273*(22.5/S273*L273+0.08*SIN(ACOS(L273)))*(U273/1000)*(100/380))</f>
        <v>7.8749964385861242</v>
      </c>
      <c r="W27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ШВ-2/M02-112,5-160,6-90</v>
      </c>
      <c r="X273" s="1" t="str">
        <f>TEXT(Таблица13[[#This Row],[Потери]],"0,0") &amp; "-" &amp;Таблица13[[#This Row],[Полная марка кабеля]]</f>
        <v>7,9-КГ-4x16</v>
      </c>
      <c r="Y273" t="s">
        <v>450</v>
      </c>
      <c r="Z27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274" spans="1:26" x14ac:dyDescent="0.25">
      <c r="A274" s="1" t="s">
        <v>54</v>
      </c>
      <c r="B274" s="1">
        <v>273</v>
      </c>
      <c r="C274" s="4">
        <v>3</v>
      </c>
      <c r="D274" s="4" t="str">
        <f>"ВА57-35 "&amp; Таблица13[[#This Row],[Число фаз]] &amp; "P " &amp;Таблица13[[#This Row],[Номинал АВ]] &amp; " А"</f>
        <v>ВА57-35 3P 250 А</v>
      </c>
      <c r="E274" s="1">
        <v>250</v>
      </c>
      <c r="F274" s="9" t="s">
        <v>50</v>
      </c>
      <c r="G274" s="1" t="s">
        <v>512</v>
      </c>
      <c r="H274" s="1" t="s">
        <v>263</v>
      </c>
      <c r="I274" s="1" t="s">
        <v>214</v>
      </c>
      <c r="J274" s="2">
        <v>128</v>
      </c>
      <c r="K274" s="1">
        <v>3</v>
      </c>
      <c r="L274" s="15">
        <v>0.81055408970976262</v>
      </c>
      <c r="M274" s="1">
        <v>0.8</v>
      </c>
      <c r="N274" s="2">
        <f>Таблица13[[#This Row],[Pуст, кВт]]*Таблица13[[#This Row],[Kи]]</f>
        <v>102.4</v>
      </c>
      <c r="O274" s="2">
        <f>IF(Таблица13[[#This Row],[Число фаз]]=1,J274/220/L274*M274*1000,J274/3/220/L274*M274*1000)</f>
        <v>191.4141414141414</v>
      </c>
      <c r="P274" s="2" t="str">
        <f>Таблица13[[#This Row],[Коды щитков]] &amp; "/M" &amp; TEXT( Таблица13[[#This Row],[Номер АВ]], "00")</f>
        <v>ШВ-2/M03</v>
      </c>
      <c r="Q274" s="1" t="s">
        <v>7</v>
      </c>
      <c r="R274" s="1">
        <v>4</v>
      </c>
      <c r="S274" s="1">
        <v>95</v>
      </c>
      <c r="T274" s="1">
        <v>35</v>
      </c>
      <c r="U274" s="1">
        <v>80</v>
      </c>
      <c r="V274" s="2">
        <f>IF(Таблица13[[#This Row],[Число фаз]]=1,2*O274*(22.5/S274*L274+0.08*SIN(ACOS(L274)))*(U274/1000)*(100/220),SQRT(3)*O274*(22.5/S274*L274+0.08*SIN(ACOS(L274)))*(U274/1000)*(100/380))</f>
        <v>1.6669533338042855</v>
      </c>
      <c r="W27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ШВ-2/M03-128,0-191,4-80</v>
      </c>
      <c r="X274" s="1" t="str">
        <f>TEXT(Таблица13[[#This Row],[Потери]],"0,0") &amp; "-" &amp;Таблица13[[#This Row],[Полная марка кабеля]]</f>
        <v>1,7-КГ-3x95+1x35</v>
      </c>
      <c r="Y274" t="s">
        <v>450</v>
      </c>
      <c r="Z27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275" spans="1:26" x14ac:dyDescent="0.25">
      <c r="A275" s="1" t="s">
        <v>54</v>
      </c>
      <c r="B275" s="1">
        <v>274</v>
      </c>
      <c r="C275" s="4">
        <v>4</v>
      </c>
      <c r="D275" s="4" t="str">
        <f>"ВА57-35 "&amp; Таблица13[[#This Row],[Число фаз]] &amp; "P " &amp;Таблица13[[#This Row],[Номинал АВ]] &amp; " А"</f>
        <v>ВА57-35 3P 250 А</v>
      </c>
      <c r="E275" s="1">
        <v>250</v>
      </c>
      <c r="F275" s="9" t="s">
        <v>49</v>
      </c>
      <c r="G275" s="1" t="s">
        <v>513</v>
      </c>
      <c r="H275" s="1" t="s">
        <v>265</v>
      </c>
      <c r="I275" s="1"/>
      <c r="J275" s="2">
        <v>192.63399999999999</v>
      </c>
      <c r="K275" s="1">
        <v>3</v>
      </c>
      <c r="L275" s="15">
        <v>0.8805091465446917</v>
      </c>
      <c r="M275" s="1">
        <v>0.75</v>
      </c>
      <c r="N275" s="2">
        <f>Таблица13[[#This Row],[Pуст, кВт]]*Таблица13[[#This Row],[Kи]]</f>
        <v>144.47549999999998</v>
      </c>
      <c r="O275" s="2">
        <f>IF(Таблица13[[#This Row],[Число фаз]]=1,J275/220/L275*M275*1000,J275/3/220/L275*M275*1000)</f>
        <v>248.60874368686865</v>
      </c>
      <c r="P275" s="2" t="str">
        <f>Таблица13[[#This Row],[Коды щитков]] &amp; "/M" &amp; TEXT( Таблица13[[#This Row],[Номер АВ]], "00")</f>
        <v>ШВ-2/M04</v>
      </c>
      <c r="Q275" s="1" t="s">
        <v>7</v>
      </c>
      <c r="R275" s="1">
        <v>4</v>
      </c>
      <c r="S275" s="1">
        <v>95</v>
      </c>
      <c r="T275" s="1">
        <v>35</v>
      </c>
      <c r="U275" s="1">
        <v>5</v>
      </c>
      <c r="V275" s="2">
        <f>IF(Таблица13[[#This Row],[Число фаз]]=1,2*O275*(22.5/S275*L275+0.08*SIN(ACOS(L275)))*(U275/1000)*(100/220),SQRT(3)*O275*(22.5/S275*L275+0.08*SIN(ACOS(L275)))*(U275/1000)*(100/380))</f>
        <v>0.13964226304140404</v>
      </c>
      <c r="W27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ШВ-2/M04-192,6-248,6-5</v>
      </c>
      <c r="X275" s="1" t="str">
        <f>TEXT(Таблица13[[#This Row],[Потери]],"0,0") &amp; "-" &amp;Таблица13[[#This Row],[Полная марка кабеля]]</f>
        <v>0,1-КГ-3x95+1x35</v>
      </c>
      <c r="Y275" t="s">
        <v>450</v>
      </c>
      <c r="Z27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276" spans="1:26" x14ac:dyDescent="0.25">
      <c r="A276" s="1" t="s">
        <v>55</v>
      </c>
      <c r="B276" s="1">
        <v>275</v>
      </c>
      <c r="C276" s="4">
        <v>1</v>
      </c>
      <c r="D276" s="4" t="str">
        <f>"Acti9 iC60N C"&amp;Таблица13[[#This Row],[Номинал АВ]]&amp; " " &amp; Таблица13[[#This Row],[Число фаз]] &amp; "P"</f>
        <v>Acti9 iC60N C50 3P</v>
      </c>
      <c r="E276" s="1">
        <v>50</v>
      </c>
      <c r="F276" s="9"/>
      <c r="G276" s="1"/>
      <c r="H276" s="1" t="s">
        <v>269</v>
      </c>
      <c r="I276" s="1" t="s">
        <v>240</v>
      </c>
      <c r="J276" s="16">
        <v>15</v>
      </c>
      <c r="K276" s="1">
        <v>3</v>
      </c>
      <c r="L276" s="15">
        <v>1</v>
      </c>
      <c r="M276" s="1">
        <v>1</v>
      </c>
      <c r="N276" s="2">
        <f>Таблица13[[#This Row],[Pуст, кВт]]*Таблица13[[#This Row],[Kи]]</f>
        <v>15</v>
      </c>
      <c r="O276" s="2">
        <f>IF(Таблица13[[#This Row],[Число фаз]]=1,J276/220/L276*M276*1000,J276/3/220/L276*M276*1000)</f>
        <v>22.727272727272727</v>
      </c>
      <c r="P276" s="2" t="str">
        <f>Таблица13[[#This Row],[Коды щитков]] &amp; "/M" &amp; TEXT( Таблица13[[#This Row],[Номер АВ]], "00")</f>
        <v>ШС-3-2/M01</v>
      </c>
      <c r="Q276" s="1" t="s">
        <v>63</v>
      </c>
      <c r="R276" s="1">
        <v>5</v>
      </c>
      <c r="S276" s="1">
        <v>10</v>
      </c>
      <c r="T276" s="1">
        <f>Таблица13[[#This Row],[Сечение фазного]]</f>
        <v>10</v>
      </c>
      <c r="U276" s="1">
        <v>10</v>
      </c>
      <c r="V276" s="2">
        <f>IF(Таблица13[[#This Row],[Число фаз]]=1,2*O276*(22.5/S276*L276+0.08*SIN(ACOS(L276)))*(U276/1000)*(100/220),SQRT(3)*O276*(22.5/S276*L276+0.08*SIN(ACOS(L276)))*(U276/1000)*(100/380))</f>
        <v>0.23308099982236685</v>
      </c>
      <c r="W27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ШС-3-2/M01-15,0-22,7-10</v>
      </c>
      <c r="X276" s="1" t="str">
        <f>TEXT(Таблица13[[#This Row],[Потери]],"0,0") &amp; "-" &amp;Таблица13[[#This Row],[Полная марка кабеля]]</f>
        <v>0,2-ВВГнг(A)-LS-5x10</v>
      </c>
      <c r="Y276" t="s">
        <v>451</v>
      </c>
      <c r="Z27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ВВГнг(A)-LS-5x10</v>
      </c>
    </row>
    <row r="277" spans="1:26" x14ac:dyDescent="0.25">
      <c r="A277" s="1" t="s">
        <v>55</v>
      </c>
      <c r="B277" s="1">
        <v>276</v>
      </c>
      <c r="C277" s="4">
        <v>2</v>
      </c>
      <c r="D277" s="4" t="str">
        <f>"Acti9 iC60N C"&amp;Таблица13[[#This Row],[Номинал АВ]]&amp; " " &amp; Таблица13[[#This Row],[Число фаз]] &amp; "P"</f>
        <v>Acti9 iC60N C40 3P</v>
      </c>
      <c r="E277" s="1">
        <v>40</v>
      </c>
      <c r="F277" s="9" t="s">
        <v>270</v>
      </c>
      <c r="G277" s="1" t="s">
        <v>511</v>
      </c>
      <c r="H277" s="1" t="s">
        <v>263</v>
      </c>
      <c r="I277" s="1" t="s">
        <v>271</v>
      </c>
      <c r="J277" s="2">
        <v>8.5</v>
      </c>
      <c r="K277" s="1">
        <v>3</v>
      </c>
      <c r="L277" s="15">
        <v>0.96</v>
      </c>
      <c r="M277" s="1">
        <v>0.8</v>
      </c>
      <c r="N277" s="2">
        <f>Таблица13[[#This Row],[Pуст, кВт]]*Таблица13[[#This Row],[Kи]]</f>
        <v>6.8000000000000007</v>
      </c>
      <c r="O277" s="2">
        <f>IF(Таблица13[[#This Row],[Число фаз]]=1,J277/220/L277*M277*1000,J277/3/220/L277*M277*1000)</f>
        <v>10.732323232323234</v>
      </c>
      <c r="P277" s="2" t="str">
        <f>Таблица13[[#This Row],[Коды щитков]] &amp; "/M" &amp; TEXT( Таблица13[[#This Row],[Номер АВ]], "00")</f>
        <v>ШС-3-2/M02</v>
      </c>
      <c r="Q277" s="1" t="s">
        <v>63</v>
      </c>
      <c r="R277" s="1">
        <v>5</v>
      </c>
      <c r="S277" s="1">
        <v>6</v>
      </c>
      <c r="T277" s="1">
        <f>Таблица13[[#This Row],[Сечение фазного]]</f>
        <v>6</v>
      </c>
      <c r="U277" s="1">
        <v>30</v>
      </c>
      <c r="V277" s="2">
        <f>IF(Таблица13[[#This Row],[Число фаз]]=1,2*O277*(22.5/S277*L277+0.08*SIN(ACOS(L277)))*(U277/1000)*(100/220),SQRT(3)*O277*(22.5/S277*L277+0.08*SIN(ACOS(L277)))*(U277/1000)*(100/380))</f>
        <v>0.53160423829115577</v>
      </c>
      <c r="W27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ШС-3-2/M02-8,5-10,7-30</v>
      </c>
      <c r="X277" s="1" t="str">
        <f>TEXT(Таблица13[[#This Row],[Потери]],"0,0") &amp; "-" &amp;Таблица13[[#This Row],[Полная марка кабеля]]</f>
        <v>0,5-ВВГнг(A)-LS-5x6</v>
      </c>
      <c r="Y277" t="s">
        <v>451</v>
      </c>
      <c r="Z27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ВВГнг(A)-LS-5x6</v>
      </c>
    </row>
    <row r="278" spans="1:26" x14ac:dyDescent="0.25">
      <c r="A278" s="1" t="s">
        <v>55</v>
      </c>
      <c r="B278" s="1">
        <v>277</v>
      </c>
      <c r="C278" s="4">
        <v>3</v>
      </c>
      <c r="D278" s="4" t="str">
        <f>"Acti9 DPN N Vigi C" &amp; Таблица13[[#This Row],[Номинал АВ]]&amp; " 1P+N 30 мА"</f>
        <v>Acti9 DPN N Vigi C16 1P+N 30 мА</v>
      </c>
      <c r="E278" s="1">
        <v>16</v>
      </c>
      <c r="F278" s="9"/>
      <c r="G278" s="1"/>
      <c r="H278" s="1" t="s">
        <v>72</v>
      </c>
      <c r="I278" s="1" t="s">
        <v>272</v>
      </c>
      <c r="J278" s="16">
        <v>2</v>
      </c>
      <c r="K278" s="1">
        <v>1</v>
      </c>
      <c r="L278" s="15">
        <v>0.9</v>
      </c>
      <c r="M278" s="1">
        <v>1</v>
      </c>
      <c r="N278" s="2">
        <f>Таблица13[[#This Row],[Pуст, кВт]]*Таблица13[[#This Row],[Kи]]</f>
        <v>2</v>
      </c>
      <c r="O278" s="2">
        <f>IF(Таблица13[[#This Row],[Число фаз]]=1,J278/220/L278*M278*1000,J278/3/220/L278*M278*1000)</f>
        <v>10.1010101010101</v>
      </c>
      <c r="P278" s="2" t="str">
        <f>Таблица13[[#This Row],[Коды щитков]] &amp; "/M" &amp; TEXT( Таблица13[[#This Row],[Номер АВ]], "00")</f>
        <v>ШС-3-2/M03</v>
      </c>
      <c r="Q278" s="1" t="s">
        <v>63</v>
      </c>
      <c r="R278" s="1">
        <v>3</v>
      </c>
      <c r="S278" s="1">
        <v>2.5</v>
      </c>
      <c r="T278" s="1">
        <f>Таблица13[[#This Row],[Сечение фазного]]</f>
        <v>2.5</v>
      </c>
      <c r="U278" s="1">
        <v>40</v>
      </c>
      <c r="V278" s="2">
        <f>IF(Таблица13[[#This Row],[Число фаз]]=1,2*O278*(22.5/S278*L278+0.08*SIN(ACOS(L278)))*(U278/1000)*(100/220),SQRT(3)*O278*(22.5/S278*L278+0.08*SIN(ACOS(L278)))*(U278/1000)*(100/380))</f>
        <v>2.988015130045298</v>
      </c>
      <c r="W27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ШС-3-2/M03-2,0-10,1-40</v>
      </c>
      <c r="X278" s="1" t="str">
        <f>TEXT(Таблица13[[#This Row],[Потери]],"0,0") &amp; "-" &amp;Таблица13[[#This Row],[Полная марка кабеля]]</f>
        <v>3,0-ВВГнг(A)-LS-3x2,5</v>
      </c>
      <c r="Y278" t="s">
        <v>451</v>
      </c>
      <c r="Z27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79" spans="1:26" x14ac:dyDescent="0.25">
      <c r="A279" s="1" t="s">
        <v>55</v>
      </c>
      <c r="B279" s="1">
        <v>278</v>
      </c>
      <c r="C279" s="4">
        <v>4</v>
      </c>
      <c r="D279" s="4" t="str">
        <f>"Acti9 DPN N Vigi C" &amp; Таблица13[[#This Row],[Номинал АВ]]&amp; " 1P+N 30 мА"</f>
        <v>Acti9 DPN N Vigi C16 1P+N 30 мА</v>
      </c>
      <c r="E279" s="1">
        <v>16</v>
      </c>
      <c r="F279" s="9"/>
      <c r="G279" s="1"/>
      <c r="H279" s="1" t="s">
        <v>72</v>
      </c>
      <c r="I279" s="1" t="s">
        <v>273</v>
      </c>
      <c r="J279" s="16">
        <v>2</v>
      </c>
      <c r="K279" s="1">
        <v>1</v>
      </c>
      <c r="L279" s="15">
        <v>0.9</v>
      </c>
      <c r="M279" s="1">
        <v>1</v>
      </c>
      <c r="N279" s="2">
        <f>Таблица13[[#This Row],[Pуст, кВт]]*Таблица13[[#This Row],[Kи]]</f>
        <v>2</v>
      </c>
      <c r="O279" s="2">
        <f>IF(Таблица13[[#This Row],[Число фаз]]=1,J279/220/L279*M279*1000,J279/3/220/L279*M279*1000)</f>
        <v>10.1010101010101</v>
      </c>
      <c r="P279" s="2" t="str">
        <f>Таблица13[[#This Row],[Коды щитков]] &amp; "/M" &amp; TEXT( Таблица13[[#This Row],[Номер АВ]], "00")</f>
        <v>ШС-3-2/M04</v>
      </c>
      <c r="Q279" s="1" t="s">
        <v>63</v>
      </c>
      <c r="R279" s="1">
        <v>3</v>
      </c>
      <c r="S279" s="1">
        <v>2.5</v>
      </c>
      <c r="T279" s="1">
        <f>Таблица13[[#This Row],[Сечение фазного]]</f>
        <v>2.5</v>
      </c>
      <c r="U279" s="1">
        <v>30</v>
      </c>
      <c r="V279" s="2">
        <f>IF(Таблица13[[#This Row],[Число фаз]]=1,2*O279*(22.5/S279*L279+0.08*SIN(ACOS(L279)))*(U279/1000)*(100/220),SQRT(3)*O279*(22.5/S279*L279+0.08*SIN(ACOS(L279)))*(U279/1000)*(100/380))</f>
        <v>2.2410113475339735</v>
      </c>
      <c r="W27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ШС-3-2/M04-2,0-10,1-30</v>
      </c>
      <c r="X279" s="1" t="str">
        <f>TEXT(Таблица13[[#This Row],[Потери]],"0,0") &amp; "-" &amp;Таблица13[[#This Row],[Полная марка кабеля]]</f>
        <v>2,2-ВВГнг(A)-LS-3x2,5</v>
      </c>
      <c r="Y279" t="s">
        <v>451</v>
      </c>
      <c r="Z27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80" spans="1:26" x14ac:dyDescent="0.25">
      <c r="A280" s="1" t="s">
        <v>55</v>
      </c>
      <c r="B280" s="1">
        <v>279</v>
      </c>
      <c r="C280" s="4">
        <v>5</v>
      </c>
      <c r="D280" s="4" t="str">
        <f>"Acti9 DPN N Vigi C" &amp; Таблица13[[#This Row],[Номинал АВ]]&amp; " 1P+N 30 мА"</f>
        <v>Acti9 DPN N Vigi C16 1P+N 30 мА</v>
      </c>
      <c r="E280" s="1">
        <v>16</v>
      </c>
      <c r="F280" s="9"/>
      <c r="G280" s="1"/>
      <c r="H280" s="1" t="s">
        <v>72</v>
      </c>
      <c r="I280" s="1" t="s">
        <v>274</v>
      </c>
      <c r="J280" s="16">
        <v>2</v>
      </c>
      <c r="K280" s="1">
        <v>1</v>
      </c>
      <c r="L280" s="15">
        <v>0.9</v>
      </c>
      <c r="M280" s="1">
        <v>1</v>
      </c>
      <c r="N280" s="2">
        <f>Таблица13[[#This Row],[Pуст, кВт]]*Таблица13[[#This Row],[Kи]]</f>
        <v>2</v>
      </c>
      <c r="O280" s="2">
        <f>IF(Таблица13[[#This Row],[Число фаз]]=1,J280/220/L280*M280*1000,J280/3/220/L280*M280*1000)</f>
        <v>10.1010101010101</v>
      </c>
      <c r="P280" s="2" t="str">
        <f>Таблица13[[#This Row],[Коды щитков]] &amp; "/M" &amp; TEXT( Таблица13[[#This Row],[Номер АВ]], "00")</f>
        <v>ШС-3-2/M05</v>
      </c>
      <c r="Q280" s="1" t="s">
        <v>63</v>
      </c>
      <c r="R280" s="1">
        <v>3</v>
      </c>
      <c r="S280" s="1">
        <v>2.5</v>
      </c>
      <c r="T280" s="1">
        <f>Таблица13[[#This Row],[Сечение фазного]]</f>
        <v>2.5</v>
      </c>
      <c r="U280" s="1">
        <v>30</v>
      </c>
      <c r="V280" s="2">
        <f>IF(Таблица13[[#This Row],[Число фаз]]=1,2*O280*(22.5/S280*L280+0.08*SIN(ACOS(L280)))*(U280/1000)*(100/220),SQRT(3)*O280*(22.5/S280*L280+0.08*SIN(ACOS(L280)))*(U280/1000)*(100/380))</f>
        <v>2.2410113475339735</v>
      </c>
      <c r="W28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ШС-3-2/M05-2,0-10,1-30</v>
      </c>
      <c r="X280" s="1" t="str">
        <f>TEXT(Таблица13[[#This Row],[Потери]],"0,0") &amp; "-" &amp;Таблица13[[#This Row],[Полная марка кабеля]]</f>
        <v>2,2-ВВГнг(A)-LS-3x2,5</v>
      </c>
      <c r="Y280" t="s">
        <v>451</v>
      </c>
      <c r="Z28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81" spans="1:26" x14ac:dyDescent="0.25">
      <c r="A281" s="1" t="s">
        <v>55</v>
      </c>
      <c r="B281" s="1">
        <v>280</v>
      </c>
      <c r="C281" s="4">
        <v>6</v>
      </c>
      <c r="D281" s="4" t="str">
        <f>"Acti9 DPN N Vigi C" &amp; Таблица13[[#This Row],[Номинал АВ]]&amp; " 1P+N 30 мА"</f>
        <v>Acti9 DPN N Vigi C16 1P+N 30 мА</v>
      </c>
      <c r="E281" s="1">
        <v>16</v>
      </c>
      <c r="F281" s="9"/>
      <c r="G281" s="1"/>
      <c r="H281" s="1" t="s">
        <v>72</v>
      </c>
      <c r="I281" s="1" t="s">
        <v>275</v>
      </c>
      <c r="J281" s="16">
        <v>2</v>
      </c>
      <c r="K281" s="1">
        <v>1</v>
      </c>
      <c r="L281" s="15">
        <v>0.9</v>
      </c>
      <c r="M281" s="1">
        <v>1</v>
      </c>
      <c r="N281" s="2">
        <f>Таблица13[[#This Row],[Pуст, кВт]]*Таблица13[[#This Row],[Kи]]</f>
        <v>2</v>
      </c>
      <c r="O281" s="2">
        <f>IF(Таблица13[[#This Row],[Число фаз]]=1,J281/220/L281*M281*1000,J281/3/220/L281*M281*1000)</f>
        <v>10.1010101010101</v>
      </c>
      <c r="P281" s="2" t="str">
        <f>Таблица13[[#This Row],[Коды щитков]] &amp; "/M" &amp; TEXT( Таблица13[[#This Row],[Номер АВ]], "00")</f>
        <v>ШС-3-2/M06</v>
      </c>
      <c r="Q281" s="1" t="s">
        <v>63</v>
      </c>
      <c r="R281" s="1">
        <v>3</v>
      </c>
      <c r="S281" s="1">
        <v>2.5</v>
      </c>
      <c r="T281" s="1">
        <f>Таблица13[[#This Row],[Сечение фазного]]</f>
        <v>2.5</v>
      </c>
      <c r="U281" s="1">
        <v>30</v>
      </c>
      <c r="V281" s="2">
        <f>IF(Таблица13[[#This Row],[Число фаз]]=1,2*O281*(22.5/S281*L281+0.08*SIN(ACOS(L281)))*(U281/1000)*(100/220),SQRT(3)*O281*(22.5/S281*L281+0.08*SIN(ACOS(L281)))*(U281/1000)*(100/380))</f>
        <v>2.2410113475339735</v>
      </c>
      <c r="W28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ШС-3-2/M06-2,0-10,1-30</v>
      </c>
      <c r="X281" s="1" t="str">
        <f>TEXT(Таблица13[[#This Row],[Потери]],"0,0") &amp; "-" &amp;Таблица13[[#This Row],[Полная марка кабеля]]</f>
        <v>2,2-ВВГнг(A)-LS-3x2,5</v>
      </c>
      <c r="Y281" t="s">
        <v>451</v>
      </c>
      <c r="Z28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82" spans="1:26" x14ac:dyDescent="0.25">
      <c r="A282" s="1" t="s">
        <v>55</v>
      </c>
      <c r="B282" s="1">
        <v>281</v>
      </c>
      <c r="C282" s="4">
        <v>7</v>
      </c>
      <c r="D282" s="4" t="str">
        <f>"Acti9 DPN N Vigi C" &amp; Таблица13[[#This Row],[Номинал АВ]]&amp; " 1P+N 30 мА"</f>
        <v>Acti9 DPN N Vigi C16 1P+N 30 мА</v>
      </c>
      <c r="E282" s="1">
        <v>16</v>
      </c>
      <c r="F282" s="9"/>
      <c r="G282" s="1"/>
      <c r="H282" s="1" t="s">
        <v>72</v>
      </c>
      <c r="I282" s="1" t="s">
        <v>276</v>
      </c>
      <c r="J282" s="16">
        <v>2</v>
      </c>
      <c r="K282" s="1">
        <v>1</v>
      </c>
      <c r="L282" s="15">
        <v>0.9</v>
      </c>
      <c r="M282" s="1">
        <v>1</v>
      </c>
      <c r="N282" s="2">
        <f>Таблица13[[#This Row],[Pуст, кВт]]*Таблица13[[#This Row],[Kи]]</f>
        <v>2</v>
      </c>
      <c r="O282" s="2">
        <f>IF(Таблица13[[#This Row],[Число фаз]]=1,J282/220/L282*M282*1000,J282/3/220/L282*M282*1000)</f>
        <v>10.1010101010101</v>
      </c>
      <c r="P282" s="2" t="str">
        <f>Таблица13[[#This Row],[Коды щитков]] &amp; "/M" &amp; TEXT( Таблица13[[#This Row],[Номер АВ]], "00")</f>
        <v>ШС-3-2/M07</v>
      </c>
      <c r="Q282" s="1" t="s">
        <v>63</v>
      </c>
      <c r="R282" s="1">
        <v>3</v>
      </c>
      <c r="S282" s="1">
        <v>2.5</v>
      </c>
      <c r="T282" s="1">
        <f>Таблица13[[#This Row],[Сечение фазного]]</f>
        <v>2.5</v>
      </c>
      <c r="U282" s="1">
        <v>40</v>
      </c>
      <c r="V282" s="2">
        <f>IF(Таблица13[[#This Row],[Число фаз]]=1,2*O282*(22.5/S282*L282+0.08*SIN(ACOS(L282)))*(U282/1000)*(100/220),SQRT(3)*O282*(22.5/S282*L282+0.08*SIN(ACOS(L282)))*(U282/1000)*(100/380))</f>
        <v>2.988015130045298</v>
      </c>
      <c r="W28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ШС-3-2/M07-2,0-10,1-40</v>
      </c>
      <c r="X282" s="1" t="str">
        <f>TEXT(Таблица13[[#This Row],[Потери]],"0,0") &amp; "-" &amp;Таблица13[[#This Row],[Полная марка кабеля]]</f>
        <v>3,0-ВВГнг(A)-LS-3x2,5</v>
      </c>
      <c r="Y282" t="s">
        <v>451</v>
      </c>
      <c r="Z28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83" spans="1:26" x14ac:dyDescent="0.25">
      <c r="A283" s="1" t="s">
        <v>56</v>
      </c>
      <c r="B283" s="1">
        <v>282</v>
      </c>
      <c r="C283" s="4">
        <v>0</v>
      </c>
      <c r="D283" s="4" t="str">
        <f>"ВА57-35 "&amp; Таблица13[[#This Row],[Число фаз]] &amp; "P " &amp;Таблица13[[#This Row],[Номинал АВ]] &amp; " А"</f>
        <v>ВА57-35 3P 200 А</v>
      </c>
      <c r="E283" s="1">
        <v>200</v>
      </c>
      <c r="F283" s="9"/>
      <c r="G283" s="1"/>
      <c r="H283" s="1"/>
      <c r="I283" s="1"/>
      <c r="K283" s="1">
        <v>3</v>
      </c>
      <c r="N283" s="2">
        <f>Таблица13[[#This Row],[Pуст, кВт]]*Таблица13[[#This Row],[Kи]]</f>
        <v>0</v>
      </c>
      <c r="O283" s="2" t="e">
        <f>IF(Таблица13[[#This Row],[Число фаз]]=1,J283/220/L283*M283*1000,J283/3/220/L283*M283*1000)</f>
        <v>#DIV/0!</v>
      </c>
      <c r="P283" s="2" t="str">
        <f>Таблица13[[#This Row],[Коды щитков]] &amp; "/M" &amp; TEXT( Таблица13[[#This Row],[Номер АВ]], "00")</f>
        <v>/M00</v>
      </c>
      <c r="Q283" s="1"/>
      <c r="R283" s="1"/>
      <c r="S283" s="1"/>
      <c r="T283" s="25">
        <f>Таблица13[[#This Row],[Сечение фазного]]</f>
        <v>0</v>
      </c>
      <c r="U283" s="1"/>
      <c r="V283" s="2" t="e">
        <f>IF(Таблица13[[#This Row],[Число фаз]]=1,2*O283*(22.5/S283*L283+0.08*SIN(ACOS(L283)))*(U283/1000)*(100/220),SQRT(3)*O283*(22.5/S283*L283+0.08*SIN(ACOS(L283)))*(U283/1000)*(100/380))</f>
        <v>#DIV/0!</v>
      </c>
      <c r="W28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83" s="25" t="e">
        <f>TEXT(Таблица13[[#This Row],[Потери]],"0,0") &amp; "-" &amp;Таблица13[[#This Row],[Полная марка кабеля]]</f>
        <v>#DIV/0!</v>
      </c>
      <c r="Y283" s="1"/>
      <c r="Z283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84" spans="1:26" x14ac:dyDescent="0.25">
      <c r="A284" s="1" t="s">
        <v>56</v>
      </c>
      <c r="B284" s="1">
        <v>283</v>
      </c>
      <c r="C284" s="4">
        <v>1</v>
      </c>
      <c r="D284" s="4" t="str">
        <f>"Acti9 iC60N C"&amp;Таблица13[[#This Row],[Номинал АВ]]&amp; " " &amp; Таблица13[[#This Row],[Число фаз]] &amp; "P"</f>
        <v>Acti9 iC60N C63 3P</v>
      </c>
      <c r="E284" s="1">
        <v>63</v>
      </c>
      <c r="F284" s="13" t="s">
        <v>368</v>
      </c>
      <c r="G284" s="1" t="s">
        <v>241</v>
      </c>
      <c r="H284" s="1" t="s">
        <v>152</v>
      </c>
      <c r="I284" s="1" t="s">
        <v>113</v>
      </c>
      <c r="J284" s="16">
        <v>15</v>
      </c>
      <c r="K284" s="1">
        <v>3</v>
      </c>
      <c r="L284" s="15">
        <v>0.8</v>
      </c>
      <c r="M284" s="1">
        <v>1</v>
      </c>
      <c r="N284" s="2">
        <f>Таблица13[[#This Row],[Pуст, кВт]]*Таблица13[[#This Row],[Kи]]</f>
        <v>15</v>
      </c>
      <c r="O284" s="2">
        <f>IF(Таблица13[[#This Row],[Число фаз]]=1,J284/220/L284*M284*1000,J284/3/220/L284*M284*1000)</f>
        <v>28.409090909090907</v>
      </c>
      <c r="P284" s="2" t="str">
        <f>Таблица13[[#This Row],[Коды щитков]] &amp; "/M" &amp; TEXT( Таблица13[[#This Row],[Номер АВ]], "00")</f>
        <v>ШР-1/M01</v>
      </c>
      <c r="Q284" s="1" t="s">
        <v>7</v>
      </c>
      <c r="R284" s="1">
        <v>4</v>
      </c>
      <c r="S284" s="1">
        <v>16</v>
      </c>
      <c r="T284" s="1">
        <f>Таблица13[[#This Row],[Сечение фазного]]</f>
        <v>16</v>
      </c>
      <c r="U284" s="1">
        <v>10</v>
      </c>
      <c r="V284" s="2">
        <f>IF(Таблица13[[#This Row],[Число фаз]]=1,2*O284*(22.5/S284*L284+0.08*SIN(ACOS(L284)))*(U284/1000)*(100/220),SQRT(3)*O284*(22.5/S284*L284+0.08*SIN(ACOS(L284)))*(U284/1000)*(100/380))</f>
        <v>0.1518911182175757</v>
      </c>
      <c r="W28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ШР-1/M01-15,0-28,4-10</v>
      </c>
      <c r="X284" s="1" t="str">
        <f>TEXT(Таблица13[[#This Row],[Потери]],"0,0") &amp; "-" &amp;Таблица13[[#This Row],[Полная марка кабеля]]</f>
        <v>0,2-КГ-4x16</v>
      </c>
      <c r="Y284" t="s">
        <v>452</v>
      </c>
      <c r="Z28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285" spans="1:26" x14ac:dyDescent="0.25">
      <c r="A285" s="1" t="s">
        <v>56</v>
      </c>
      <c r="B285" s="1">
        <v>284</v>
      </c>
      <c r="C285" s="4">
        <v>2</v>
      </c>
      <c r="D285" s="4" t="str">
        <f>"Acti9 iC60N C"&amp;Таблица13[[#This Row],[Номинал АВ]]&amp; " " &amp; Таблица13[[#This Row],[Число фаз]] &amp; "P"</f>
        <v>Acti9 iC60N C16 1P</v>
      </c>
      <c r="E285" s="1">
        <v>16</v>
      </c>
      <c r="F285" s="9"/>
      <c r="G285" s="1"/>
      <c r="H285" s="1" t="s">
        <v>73</v>
      </c>
      <c r="I285" s="1" t="s">
        <v>239</v>
      </c>
      <c r="J285" s="16">
        <f>6*0.033</f>
        <v>0.19800000000000001</v>
      </c>
      <c r="K285" s="1">
        <v>1</v>
      </c>
      <c r="L285" s="15">
        <v>0.96</v>
      </c>
      <c r="M285" s="1">
        <v>1</v>
      </c>
      <c r="N285" s="2">
        <f>Таблица13[[#This Row],[Pуст, кВт]]*Таблица13[[#This Row],[Kи]]</f>
        <v>0.19800000000000001</v>
      </c>
      <c r="O285" s="2">
        <f>IF(Таблица13[[#This Row],[Число фаз]]=1,J285/220/L285*M285*1000,J285/3/220/L285*M285*1000)</f>
        <v>0.93750000000000011</v>
      </c>
      <c r="P285" s="2" t="str">
        <f>Таблица13[[#This Row],[Коды щитков]] &amp; "/M" &amp; TEXT( Таблица13[[#This Row],[Номер АВ]], "00")</f>
        <v>ШР-1/M02</v>
      </c>
      <c r="Q285" s="1" t="s">
        <v>9</v>
      </c>
      <c r="R285" s="1">
        <v>3</v>
      </c>
      <c r="S285" s="1">
        <v>1</v>
      </c>
      <c r="T285" s="1">
        <f>Таблица13[[#This Row],[Сечение фазного]]</f>
        <v>1</v>
      </c>
      <c r="U285" s="1">
        <v>40</v>
      </c>
      <c r="V285" s="2">
        <f>IF(Таблица13[[#This Row],[Число фаз]]=1,2*O285*(22.5/S285*L285+0.08*SIN(ACOS(L285)))*(U285/1000)*(100/220),SQRT(3)*O285*(22.5/S285*L285+0.08*SIN(ACOS(L285)))*(U285/1000)*(100/380))</f>
        <v>0.73712727272727274</v>
      </c>
      <c r="W28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ШР-1/M02-0,2-0,9-40</v>
      </c>
      <c r="X285" s="1" t="str">
        <f>TEXT(Таблица13[[#This Row],[Потери]],"0,0") &amp; "-" &amp;Таблица13[[#This Row],[Полная марка кабеля]]</f>
        <v>0,7-ПВС-3x1</v>
      </c>
      <c r="Y285" t="s">
        <v>452</v>
      </c>
      <c r="Z28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ПВС-3x1</v>
      </c>
    </row>
    <row r="286" spans="1:26" x14ac:dyDescent="0.25">
      <c r="A286" s="1" t="s">
        <v>56</v>
      </c>
      <c r="B286" s="1">
        <v>285</v>
      </c>
      <c r="C286" s="4">
        <v>3</v>
      </c>
      <c r="D286" s="4" t="str">
        <f>"Acti9 iC60N C"&amp;Таблица13[[#This Row],[Номинал АВ]]&amp; " " &amp; Таблица13[[#This Row],[Число фаз]] &amp; "P"</f>
        <v>Acti9 iC60N C63 3P</v>
      </c>
      <c r="E286" s="1">
        <v>63</v>
      </c>
      <c r="F286" s="9" t="s">
        <v>55</v>
      </c>
      <c r="G286" s="1" t="s">
        <v>511</v>
      </c>
      <c r="H286" s="1" t="s">
        <v>263</v>
      </c>
      <c r="I286" s="1" t="s">
        <v>240</v>
      </c>
      <c r="J286" s="2">
        <v>35.347999999999999</v>
      </c>
      <c r="K286" s="1">
        <v>3</v>
      </c>
      <c r="L286" s="15">
        <v>0.95819283912503284</v>
      </c>
      <c r="M286" s="1">
        <v>0.8</v>
      </c>
      <c r="N286" s="2">
        <f>Таблица13[[#This Row],[Pуст, кВт]]*Таблица13[[#This Row],[Kи]]</f>
        <v>28.278400000000001</v>
      </c>
      <c r="O286" s="2">
        <f>IF(Таблица13[[#This Row],[Число фаз]]=1,J286/220/L286*M286*1000,J286/3/220/L286*M286*1000)</f>
        <v>44.715488215488222</v>
      </c>
      <c r="P286" s="2" t="str">
        <f>Таблица13[[#This Row],[Коды щитков]] &amp; "/M" &amp; TEXT( Таблица13[[#This Row],[Номер АВ]], "00")</f>
        <v>ШР-1/M03</v>
      </c>
      <c r="Q286" s="1" t="s">
        <v>7</v>
      </c>
      <c r="R286" s="1">
        <v>4</v>
      </c>
      <c r="S286" s="1">
        <v>16</v>
      </c>
      <c r="T286" s="1">
        <f>Таблица13[[#This Row],[Сечение фазного]]</f>
        <v>16</v>
      </c>
      <c r="U286" s="1">
        <v>40</v>
      </c>
      <c r="V286" s="2">
        <f>IF(Таблица13[[#This Row],[Число фаз]]=1,2*O286*(22.5/S286*L286+0.08*SIN(ACOS(L286)))*(U286/1000)*(100/220),SQRT(3)*O286*(22.5/S286*L286+0.08*SIN(ACOS(L286)))*(U286/1000)*(100/380))</f>
        <v>1.1171874258128036</v>
      </c>
      <c r="W28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ШР-1/M03-35,3-44,7-40</v>
      </c>
      <c r="X286" s="1" t="str">
        <f>TEXT(Таблица13[[#This Row],[Потери]],"0,0") &amp; "-" &amp;Таблица13[[#This Row],[Полная марка кабеля]]</f>
        <v>1,1-КГ-4x16</v>
      </c>
      <c r="Y286" t="s">
        <v>452</v>
      </c>
      <c r="Z28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287" spans="1:26" x14ac:dyDescent="0.25">
      <c r="A287" s="1" t="s">
        <v>57</v>
      </c>
      <c r="B287" s="1">
        <v>286</v>
      </c>
      <c r="C287" s="4">
        <v>1</v>
      </c>
      <c r="D287" s="4" t="str">
        <f>"Acti9 DPN N Vigi C" &amp; Таблица13[[#This Row],[Номинал АВ]]&amp; " 1P+N 30 мА"</f>
        <v>Acti9 DPN N Vigi C16 1P+N 30 мА</v>
      </c>
      <c r="E287" s="1">
        <v>16</v>
      </c>
      <c r="F287" s="9"/>
      <c r="G287" s="1"/>
      <c r="H287" s="1" t="s">
        <v>72</v>
      </c>
      <c r="I287" s="1" t="s">
        <v>244</v>
      </c>
      <c r="J287" s="16">
        <v>2</v>
      </c>
      <c r="K287" s="1">
        <v>1</v>
      </c>
      <c r="L287" s="15">
        <v>0.9</v>
      </c>
      <c r="M287" s="1">
        <v>1</v>
      </c>
      <c r="N287" s="2">
        <f>Таблица13[[#This Row],[Pуст, кВт]]*Таблица13[[#This Row],[Kи]]</f>
        <v>2</v>
      </c>
      <c r="O287" s="2">
        <f>IF(Таблица13[[#This Row],[Число фаз]]=1,J287/220/L287*M287*1000,J287/3/220/L287*M287*1000)</f>
        <v>10.1010101010101</v>
      </c>
      <c r="P287" s="2" t="str">
        <f>Таблица13[[#This Row],[Коды щитков]] &amp; "/M" &amp; TEXT( Таблица13[[#This Row],[Номер АВ]], "00")</f>
        <v>ШС-1-2/M01</v>
      </c>
      <c r="Q287" s="1" t="s">
        <v>63</v>
      </c>
      <c r="R287" s="1">
        <v>3</v>
      </c>
      <c r="S287" s="1">
        <v>2.5</v>
      </c>
      <c r="T287" s="1">
        <f>Таблица13[[#This Row],[Сечение фазного]]</f>
        <v>2.5</v>
      </c>
      <c r="U287" s="1">
        <v>10</v>
      </c>
      <c r="V287" s="2">
        <f>IF(Таблица13[[#This Row],[Число фаз]]=1,2*O287*(22.5/S287*L287+0.08*SIN(ACOS(L287)))*(U287/1000)*(100/220),SQRT(3)*O287*(22.5/S287*L287+0.08*SIN(ACOS(L287)))*(U287/1000)*(100/380))</f>
        <v>0.74700378251132449</v>
      </c>
      <c r="W28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ШС-1-2/M01-2,0-10,1-10</v>
      </c>
      <c r="X287" s="1" t="str">
        <f>TEXT(Таблица13[[#This Row],[Потери]],"0,0") &amp; "-" &amp;Таблица13[[#This Row],[Полная марка кабеля]]</f>
        <v>0,7-ВВГнг(A)-LS-3x2,5</v>
      </c>
      <c r="Y287" t="s">
        <v>435</v>
      </c>
      <c r="Z28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88" spans="1:26" x14ac:dyDescent="0.25">
      <c r="A288" s="1" t="s">
        <v>57</v>
      </c>
      <c r="B288" s="1">
        <v>287</v>
      </c>
      <c r="C288" s="4">
        <v>2</v>
      </c>
      <c r="D288" s="4" t="str">
        <f>"Acti9 iC60N C"&amp;Таблица13[[#This Row],[Номинал АВ]]&amp; " " &amp; Таблица13[[#This Row],[Число фаз]] &amp; "P"</f>
        <v>Acti9 iC60N C10 1P</v>
      </c>
      <c r="E288" s="1">
        <v>10</v>
      </c>
      <c r="F288" s="9"/>
      <c r="G288" s="1"/>
      <c r="H288" s="1" t="s">
        <v>73</v>
      </c>
      <c r="I288" s="1" t="s">
        <v>244</v>
      </c>
      <c r="J288" s="16">
        <f>7*0.033+2*0.033</f>
        <v>0.29700000000000004</v>
      </c>
      <c r="K288" s="1">
        <v>1</v>
      </c>
      <c r="L288" s="15">
        <v>0.96</v>
      </c>
      <c r="M288" s="1">
        <v>1</v>
      </c>
      <c r="N288" s="2">
        <f>Таблица13[[#This Row],[Pуст, кВт]]*Таблица13[[#This Row],[Kи]]</f>
        <v>0.29700000000000004</v>
      </c>
      <c r="O288" s="2">
        <f>IF(Таблица13[[#This Row],[Число фаз]]=1,J288/220/L288*M288*1000,J288/3/220/L288*M288*1000)</f>
        <v>1.4062500000000004</v>
      </c>
      <c r="P288" s="2" t="str">
        <f>Таблица13[[#This Row],[Коды щитков]] &amp; "/M" &amp; TEXT( Таблица13[[#This Row],[Номер АВ]], "00")</f>
        <v>ШС-1-2/M02</v>
      </c>
      <c r="Q288" s="1" t="s">
        <v>63</v>
      </c>
      <c r="R288" s="1">
        <v>3</v>
      </c>
      <c r="S288" s="1">
        <v>1.5</v>
      </c>
      <c r="T288" s="1">
        <f>Таблица13[[#This Row],[Сечение фазного]]</f>
        <v>1.5</v>
      </c>
      <c r="U288" s="1">
        <v>40</v>
      </c>
      <c r="V288" s="2">
        <f>IF(Таблица13[[#This Row],[Число фаз]]=1,2*O288*(22.5/S288*L288+0.08*SIN(ACOS(L288)))*(U288/1000)*(100/220),SQRT(3)*O288*(22.5/S288*L288+0.08*SIN(ACOS(L288)))*(U288/1000)*(100/380))</f>
        <v>0.73750909090909111</v>
      </c>
      <c r="W28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ШС-1-2/M02-0,3-1,4-40</v>
      </c>
      <c r="X288" s="1" t="str">
        <f>TEXT(Таблица13[[#This Row],[Потери]],"0,0") &amp; "-" &amp;Таблица13[[#This Row],[Полная марка кабеля]]</f>
        <v>0,7-ВВГнг(A)-LS-3x1,5</v>
      </c>
      <c r="Y288" t="s">
        <v>435</v>
      </c>
      <c r="Z28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89" spans="1:26" x14ac:dyDescent="0.25">
      <c r="A289" s="1" t="s">
        <v>57</v>
      </c>
      <c r="B289" s="1">
        <v>288</v>
      </c>
      <c r="C289" s="4">
        <v>3</v>
      </c>
      <c r="D289" s="4" t="str">
        <f>"Acti9 iC60N C"&amp;Таблица13[[#This Row],[Номинал АВ]]&amp; " " &amp; Таблица13[[#This Row],[Число фаз]] &amp; "P"</f>
        <v>Acti9 iC60N C16 1P</v>
      </c>
      <c r="E289" s="1">
        <v>16</v>
      </c>
      <c r="F289" s="9"/>
      <c r="G289" s="1"/>
      <c r="H289" s="1" t="s">
        <v>242</v>
      </c>
      <c r="I289" s="1" t="s">
        <v>244</v>
      </c>
      <c r="J289" s="16">
        <v>2</v>
      </c>
      <c r="K289" s="1">
        <v>1</v>
      </c>
      <c r="L289" s="15">
        <v>0.9</v>
      </c>
      <c r="M289" s="1">
        <v>1</v>
      </c>
      <c r="N289" s="2">
        <f>Таблица13[[#This Row],[Pуст, кВт]]*Таблица13[[#This Row],[Kи]]</f>
        <v>2</v>
      </c>
      <c r="O289" s="2">
        <f>IF(Таблица13[[#This Row],[Число фаз]]=1,J289/220/L289*M289*1000,J289/3/220/L289*M289*1000)</f>
        <v>10.1010101010101</v>
      </c>
      <c r="P289" s="2" t="str">
        <f>Таблица13[[#This Row],[Коды щитков]] &amp; "/M" &amp; TEXT( Таблица13[[#This Row],[Номер АВ]], "00")</f>
        <v>ШС-1-2/M03</v>
      </c>
      <c r="Q289" s="1" t="s">
        <v>63</v>
      </c>
      <c r="R289" s="1">
        <v>3</v>
      </c>
      <c r="S289" s="1">
        <v>2.5</v>
      </c>
      <c r="T289" s="1">
        <f>Таблица13[[#This Row],[Сечение фазного]]</f>
        <v>2.5</v>
      </c>
      <c r="U289" s="1">
        <v>10</v>
      </c>
      <c r="V289" s="2">
        <f>IF(Таблица13[[#This Row],[Число фаз]]=1,2*O289*(22.5/S289*L289+0.08*SIN(ACOS(L289)))*(U289/1000)*(100/220),SQRT(3)*O289*(22.5/S289*L289+0.08*SIN(ACOS(L289)))*(U289/1000)*(100/380))</f>
        <v>0.74700378251132449</v>
      </c>
      <c r="W28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ШС-1-2/M03-2,0-10,1-10</v>
      </c>
      <c r="X289" s="1" t="str">
        <f>TEXT(Таблица13[[#This Row],[Потери]],"0,0") &amp; "-" &amp;Таблица13[[#This Row],[Полная марка кабеля]]</f>
        <v>0,7-ВВГнг(A)-LS-3x2,5</v>
      </c>
      <c r="Y289" t="s">
        <v>435</v>
      </c>
      <c r="Z28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90" spans="1:26" x14ac:dyDescent="0.25">
      <c r="A290" s="1" t="s">
        <v>57</v>
      </c>
      <c r="B290" s="1">
        <v>289</v>
      </c>
      <c r="C290" s="4">
        <v>4</v>
      </c>
      <c r="D290" s="4" t="str">
        <f>"Acti9 iC60N C"&amp;Таблица13[[#This Row],[Номинал АВ]]&amp; " " &amp; Таблица13[[#This Row],[Число фаз]] &amp; "P"</f>
        <v>Acti9 iC60N C10 1P</v>
      </c>
      <c r="E290" s="1">
        <v>10</v>
      </c>
      <c r="F290" s="9"/>
      <c r="G290" s="1"/>
      <c r="H290" s="1" t="s">
        <v>243</v>
      </c>
      <c r="I290" s="1" t="s">
        <v>244</v>
      </c>
      <c r="J290" s="16">
        <v>1</v>
      </c>
      <c r="K290" s="1">
        <v>1</v>
      </c>
      <c r="L290" s="15">
        <v>0.9</v>
      </c>
      <c r="M290" s="1">
        <v>1</v>
      </c>
      <c r="N290" s="2">
        <f>Таблица13[[#This Row],[Pуст, кВт]]*Таблица13[[#This Row],[Kи]]</f>
        <v>1</v>
      </c>
      <c r="O290" s="2">
        <f>IF(Таблица13[[#This Row],[Число фаз]]=1,J290/220/L290*M290*1000,J290/3/220/L290*M290*1000)</f>
        <v>5.0505050505050502</v>
      </c>
      <c r="P290" s="2" t="str">
        <f>Таблица13[[#This Row],[Коды щитков]] &amp; "/M" &amp; TEXT( Таблица13[[#This Row],[Номер АВ]], "00")</f>
        <v>ШС-1-2/M04</v>
      </c>
      <c r="Q290" s="1" t="s">
        <v>63</v>
      </c>
      <c r="R290" s="1">
        <v>3</v>
      </c>
      <c r="S290" s="1">
        <v>2.5</v>
      </c>
      <c r="T290" s="1">
        <f>Таблица13[[#This Row],[Сечение фазного]]</f>
        <v>2.5</v>
      </c>
      <c r="U290" s="1">
        <v>10</v>
      </c>
      <c r="V290" s="2">
        <f>IF(Таблица13[[#This Row],[Число фаз]]=1,2*O290*(22.5/S290*L290+0.08*SIN(ACOS(L290)))*(U290/1000)*(100/220),SQRT(3)*O290*(22.5/S290*L290+0.08*SIN(ACOS(L290)))*(U290/1000)*(100/380))</f>
        <v>0.37350189125566224</v>
      </c>
      <c r="W29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ШС-1-2/M04-1,0-5,1-10</v>
      </c>
      <c r="X290" s="1" t="str">
        <f>TEXT(Таблица13[[#This Row],[Потери]],"0,0") &amp; "-" &amp;Таблица13[[#This Row],[Полная марка кабеля]]</f>
        <v>0,4-ВВГнг(A)-LS-3x2,5</v>
      </c>
      <c r="Y290" t="s">
        <v>435</v>
      </c>
      <c r="Z29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291" spans="1:26" x14ac:dyDescent="0.25">
      <c r="A291" s="1" t="s">
        <v>57</v>
      </c>
      <c r="B291" s="1">
        <v>290</v>
      </c>
      <c r="C291" s="4">
        <v>5</v>
      </c>
      <c r="D291" s="4" t="str">
        <f>"Acti9 iC60N C"&amp;Таблица13[[#This Row],[Номинал АВ]]&amp; " " &amp; Таблица13[[#This Row],[Число фаз]] &amp; "P"</f>
        <v>Acti9 iC60N C10 1P</v>
      </c>
      <c r="E291" s="1">
        <v>10</v>
      </c>
      <c r="F291" s="9"/>
      <c r="G291" s="1"/>
      <c r="H291" s="1" t="s">
        <v>73</v>
      </c>
      <c r="I291" s="1" t="s">
        <v>141</v>
      </c>
      <c r="J291" s="16">
        <f>23*0.033</f>
        <v>0.75900000000000001</v>
      </c>
      <c r="K291" s="1">
        <v>1</v>
      </c>
      <c r="L291" s="15">
        <v>0.96</v>
      </c>
      <c r="M291" s="1">
        <v>1</v>
      </c>
      <c r="N291" s="2">
        <f>Таблица13[[#This Row],[Pуст, кВт]]*Таблица13[[#This Row],[Kи]]</f>
        <v>0.75900000000000001</v>
      </c>
      <c r="O291" s="2">
        <f>IF(Таблица13[[#This Row],[Число фаз]]=1,J291/220/L291*M291*1000,J291/3/220/L291*M291*1000)</f>
        <v>3.59375</v>
      </c>
      <c r="P291" s="2" t="str">
        <f>Таблица13[[#This Row],[Коды щитков]] &amp; "/M" &amp; TEXT( Таблица13[[#This Row],[Номер АВ]], "00")</f>
        <v>ШС-1-2/M05</v>
      </c>
      <c r="Q291" s="1" t="s">
        <v>63</v>
      </c>
      <c r="R291" s="1">
        <v>3</v>
      </c>
      <c r="S291" s="1">
        <v>1.5</v>
      </c>
      <c r="T291" s="1">
        <f>Таблица13[[#This Row],[Сечение фазного]]</f>
        <v>1.5</v>
      </c>
      <c r="U291" s="1">
        <v>90</v>
      </c>
      <c r="V291" s="2">
        <f>IF(Таблица13[[#This Row],[Число фаз]]=1,2*O291*(22.5/S291*L291+0.08*SIN(ACOS(L291)))*(U291/1000)*(100/220),SQRT(3)*O291*(22.5/S291*L291+0.08*SIN(ACOS(L291)))*(U291/1000)*(100/380))</f>
        <v>4.2406772727272717</v>
      </c>
      <c r="W29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ШС-1-2/M05-0,8-3,6-90</v>
      </c>
      <c r="X291" s="1" t="str">
        <f>TEXT(Таблица13[[#This Row],[Потери]],"0,0") &amp; "-" &amp;Таблица13[[#This Row],[Полная марка кабеля]]</f>
        <v>4,2-ВВГнг(A)-LS-3x1,5</v>
      </c>
      <c r="Y291" t="s">
        <v>435</v>
      </c>
      <c r="Z29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292" spans="1:26" x14ac:dyDescent="0.25">
      <c r="A292" s="1" t="s">
        <v>245</v>
      </c>
      <c r="B292" s="1">
        <v>291</v>
      </c>
      <c r="C292" s="4">
        <v>1</v>
      </c>
      <c r="D292" s="4" t="str">
        <f>"ВА57-35 "&amp; Таблица13[[#This Row],[Число фаз]] &amp; "P " &amp;Таблица13[[#This Row],[Номинал АВ]] &amp; " А"</f>
        <v>ВА57-35 3P 100 А</v>
      </c>
      <c r="E292" s="1">
        <v>100</v>
      </c>
      <c r="F292" s="9" t="s">
        <v>246</v>
      </c>
      <c r="G292" s="1" t="s">
        <v>514</v>
      </c>
      <c r="H292" s="1" t="s">
        <v>263</v>
      </c>
      <c r="I292" s="1" t="s">
        <v>250</v>
      </c>
      <c r="J292" s="2">
        <v>30.5</v>
      </c>
      <c r="K292" s="1">
        <v>3</v>
      </c>
      <c r="L292" s="15">
        <v>0.96</v>
      </c>
      <c r="M292" s="1">
        <v>0.8</v>
      </c>
      <c r="N292" s="2">
        <f>Таблица13[[#This Row],[Pуст, кВт]]*Таблица13[[#This Row],[Kи]]</f>
        <v>24.400000000000002</v>
      </c>
      <c r="O292" s="2">
        <f>IF(Таблица13[[#This Row],[Число фаз]]=1,J292/220/L292*M292*1000,J292/3/220/L292*M292*1000)</f>
        <v>38.510101010101017</v>
      </c>
      <c r="P292" s="2" t="str">
        <f>Таблица13[[#This Row],[Коды щитков]] &amp; "/M" &amp; TEXT( Таблица13[[#This Row],[Номер АВ]], "00")</f>
        <v>ШР ТЦ/M01</v>
      </c>
      <c r="Q292" s="1" t="s">
        <v>7</v>
      </c>
      <c r="R292" s="1">
        <v>4</v>
      </c>
      <c r="S292" s="1">
        <v>95</v>
      </c>
      <c r="T292" s="1">
        <v>35</v>
      </c>
      <c r="U292" s="1">
        <v>100</v>
      </c>
      <c r="V292" s="2">
        <f>IF(Таблица13[[#This Row],[Число фаз]]=1,2*O292*(22.5/S292*L292+0.08*SIN(ACOS(L292)))*(U292/1000)*(100/220),SQRT(3)*O292*(22.5/S292*L292+0.08*SIN(ACOS(L292)))*(U292/1000)*(100/380))</f>
        <v>0.43841884833124417</v>
      </c>
      <c r="W29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ТЦ/M01-30,5-38,5-100</v>
      </c>
      <c r="X292" s="1" t="str">
        <f>TEXT(Таблица13[[#This Row],[Потери]],"0,0") &amp; "-" &amp;Таблица13[[#This Row],[Полная марка кабеля]]</f>
        <v>0,4-КГ-3x95+1x35</v>
      </c>
      <c r="Y292" t="s">
        <v>453</v>
      </c>
      <c r="Z29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293" spans="1:26" x14ac:dyDescent="0.25">
      <c r="A293" s="1" t="s">
        <v>245</v>
      </c>
      <c r="B293" s="1">
        <v>292</v>
      </c>
      <c r="C293" s="4">
        <v>2</v>
      </c>
      <c r="D293" s="4" t="str">
        <f>"ВА57-35 "&amp; Таблица13[[#This Row],[Число фаз]] &amp; "P " &amp;Таблица13[[#This Row],[Номинал АВ]] &amp; " А"</f>
        <v>ВА57-35 3P 100 А</v>
      </c>
      <c r="E293" s="1">
        <v>100</v>
      </c>
      <c r="F293" s="9" t="s">
        <v>247</v>
      </c>
      <c r="G293" s="1" t="s">
        <v>511</v>
      </c>
      <c r="H293" s="1" t="s">
        <v>263</v>
      </c>
      <c r="I293" s="1" t="s">
        <v>252</v>
      </c>
      <c r="J293" s="2">
        <v>50</v>
      </c>
      <c r="K293" s="1">
        <v>3</v>
      </c>
      <c r="L293" s="15">
        <v>0.8</v>
      </c>
      <c r="M293" s="1">
        <v>1</v>
      </c>
      <c r="N293" s="2">
        <f>Таблица13[[#This Row],[Pуст, кВт]]*Таблица13[[#This Row],[Kи]]</f>
        <v>50</v>
      </c>
      <c r="O293" s="2">
        <f>IF(Таблица13[[#This Row],[Число фаз]]=1,J293/220/L293*M293*1000,J293/3/220/L293*M293*1000)</f>
        <v>94.696969696969703</v>
      </c>
      <c r="P293" s="2" t="str">
        <f>Таблица13[[#This Row],[Коды щитков]] &amp; "/M" &amp; TEXT( Таблица13[[#This Row],[Номер АВ]], "00")</f>
        <v>ШР ТЦ/M02</v>
      </c>
      <c r="Q293" s="1" t="s">
        <v>7</v>
      </c>
      <c r="R293" s="1">
        <v>4</v>
      </c>
      <c r="S293" s="1">
        <v>50</v>
      </c>
      <c r="T293" s="1">
        <v>16</v>
      </c>
      <c r="U293" s="1">
        <v>90</v>
      </c>
      <c r="V293" s="2">
        <f>IF(Таблица13[[#This Row],[Число фаз]]=1,2*O293*(22.5/S293*L293+0.08*SIN(ACOS(L293)))*(U293/1000)*(100/220),SQRT(3)*O293*(22.5/S293*L293+0.08*SIN(ACOS(L293)))*(U293/1000)*(100/380))</f>
        <v>1.5849507987920946</v>
      </c>
      <c r="W29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ТЦ/M02-50,0-94,7-90</v>
      </c>
      <c r="X293" s="1" t="str">
        <f>TEXT(Таблица13[[#This Row],[Потери]],"0,0") &amp; "-" &amp;Таблица13[[#This Row],[Полная марка кабеля]]</f>
        <v>1,6-КГ-3x50+1x16</v>
      </c>
      <c r="Y293" t="s">
        <v>453</v>
      </c>
      <c r="Z29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КГ-3x50+1x16</v>
      </c>
    </row>
    <row r="294" spans="1:26" x14ac:dyDescent="0.25">
      <c r="A294" s="1" t="s">
        <v>245</v>
      </c>
      <c r="B294" s="1">
        <v>293</v>
      </c>
      <c r="C294" s="4">
        <v>3</v>
      </c>
      <c r="D294" s="4" t="str">
        <f>"Acti9 iC60N C"&amp;Таблица13[[#This Row],[Номинал АВ]]&amp; " " &amp; Таблица13[[#This Row],[Число фаз]] &amp; "P"</f>
        <v>Acti9 iC60N C63 3P</v>
      </c>
      <c r="E294" s="1">
        <v>63</v>
      </c>
      <c r="F294" s="9" t="s">
        <v>248</v>
      </c>
      <c r="G294" s="1" t="s">
        <v>514</v>
      </c>
      <c r="H294" s="1" t="s">
        <v>263</v>
      </c>
      <c r="I294" s="1" t="s">
        <v>253</v>
      </c>
      <c r="J294" s="2">
        <v>30</v>
      </c>
      <c r="K294" s="1">
        <v>3</v>
      </c>
      <c r="L294" s="15">
        <v>0.8</v>
      </c>
      <c r="M294" s="1">
        <v>1</v>
      </c>
      <c r="N294" s="2">
        <f>Таблица13[[#This Row],[Pуст, кВт]]*Таблица13[[#This Row],[Kи]]</f>
        <v>30</v>
      </c>
      <c r="O294" s="2">
        <f>IF(Таблица13[[#This Row],[Число фаз]]=1,J294/220/L294*M294*1000,J294/3/220/L294*M294*1000)</f>
        <v>56.818181818181813</v>
      </c>
      <c r="P294" s="2" t="str">
        <f>Таблица13[[#This Row],[Коды щитков]] &amp; "/M" &amp; TEXT( Таблица13[[#This Row],[Номер АВ]], "00")</f>
        <v>ШР ТЦ/M03</v>
      </c>
      <c r="Q294" s="1" t="s">
        <v>7</v>
      </c>
      <c r="R294" s="1">
        <v>4</v>
      </c>
      <c r="S294" s="1">
        <v>16</v>
      </c>
      <c r="T294" s="1">
        <f>Таблица13[[#This Row],[Сечение фазного]]</f>
        <v>16</v>
      </c>
      <c r="U294" s="1">
        <v>80</v>
      </c>
      <c r="V294" s="2">
        <f>IF(Таблица13[[#This Row],[Число фаз]]=1,2*O294*(22.5/S294*L294+0.08*SIN(ACOS(L294)))*(U294/1000)*(100/220),SQRT(3)*O294*(22.5/S294*L294+0.08*SIN(ACOS(L294)))*(U294/1000)*(100/380))</f>
        <v>2.4302578914812112</v>
      </c>
      <c r="W29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ТЦ/M03-30,0-56,8-80</v>
      </c>
      <c r="X294" s="1" t="str">
        <f>TEXT(Таблица13[[#This Row],[Потери]],"0,0") &amp; "-" &amp;Таблица13[[#This Row],[Полная марка кабеля]]</f>
        <v>2,4-КГ-4x16</v>
      </c>
      <c r="Y294" t="s">
        <v>453</v>
      </c>
      <c r="Z29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295" spans="1:26" x14ac:dyDescent="0.25">
      <c r="A295" s="1" t="s">
        <v>245</v>
      </c>
      <c r="B295" s="1">
        <v>294</v>
      </c>
      <c r="C295" s="4">
        <v>4</v>
      </c>
      <c r="D295" s="4" t="str">
        <f>"Acti9 iC60N C"&amp;Таблица13[[#This Row],[Номинал АВ]]&amp; " " &amp; Таблица13[[#This Row],[Число фаз]] &amp; "P"</f>
        <v>Acti9 iC60N C40 3P</v>
      </c>
      <c r="E295" s="1">
        <v>40</v>
      </c>
      <c r="F295" s="9" t="s">
        <v>249</v>
      </c>
      <c r="G295" s="1" t="s">
        <v>514</v>
      </c>
      <c r="H295" s="1" t="s">
        <v>263</v>
      </c>
      <c r="I295" s="1" t="s">
        <v>251</v>
      </c>
      <c r="J295" s="2">
        <v>19.693000000000001</v>
      </c>
      <c r="K295" s="1">
        <v>3</v>
      </c>
      <c r="L295" s="15">
        <v>0.96</v>
      </c>
      <c r="M295" s="1">
        <v>1</v>
      </c>
      <c r="N295" s="2">
        <f>Таблица13[[#This Row],[Pуст, кВт]]*Таблица13[[#This Row],[Kи]]</f>
        <v>19.693000000000001</v>
      </c>
      <c r="O295" s="2">
        <f>IF(Таблица13[[#This Row],[Число фаз]]=1,J295/220/L295*M295*1000,J295/3/220/L295*M295*1000)</f>
        <v>31.081123737373744</v>
      </c>
      <c r="P295" s="2" t="str">
        <f>Таблица13[[#This Row],[Коды щитков]] &amp; "/M" &amp; TEXT( Таблица13[[#This Row],[Номер АВ]], "00")</f>
        <v>ШР ТЦ/M04</v>
      </c>
      <c r="Q295" s="1" t="s">
        <v>7</v>
      </c>
      <c r="R295" s="1">
        <v>4</v>
      </c>
      <c r="S295" s="1">
        <v>16</v>
      </c>
      <c r="T295" s="1">
        <f>Таблица13[[#This Row],[Сечение фазного]]</f>
        <v>16</v>
      </c>
      <c r="U295" s="1">
        <v>90</v>
      </c>
      <c r="V295" s="2">
        <f>IF(Таблица13[[#This Row],[Число фаз]]=1,2*O295*(22.5/S295*L295+0.08*SIN(ACOS(L295)))*(U295/1000)*(100/220),SQRT(3)*O295*(22.5/S295*L295+0.08*SIN(ACOS(L295)))*(U295/1000)*(100/380))</f>
        <v>1.7498344475912131</v>
      </c>
      <c r="W29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ТЦ/M04-19,7-31,1-90</v>
      </c>
      <c r="X295" s="1" t="str">
        <f>TEXT(Таблица13[[#This Row],[Потери]],"0,0") &amp; "-" &amp;Таблица13[[#This Row],[Полная марка кабеля]]</f>
        <v>1,7-КГ-4x16</v>
      </c>
      <c r="Y295" t="s">
        <v>453</v>
      </c>
      <c r="Z29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КГ-4x16</v>
      </c>
    </row>
    <row r="296" spans="1:26" x14ac:dyDescent="0.25">
      <c r="A296" s="1" t="s">
        <v>58</v>
      </c>
      <c r="B296" s="1">
        <v>295</v>
      </c>
      <c r="C296" s="4">
        <v>0</v>
      </c>
      <c r="D296" s="4" t="str">
        <f>"ВА57-39 "&amp; Таблица13[[#This Row],[Число фаз]] &amp; "P " &amp;Таблица13[[#This Row],[Номинал АВ]] &amp; " А"</f>
        <v>ВА57-39 3P 400 А</v>
      </c>
      <c r="E296" s="1">
        <v>400</v>
      </c>
      <c r="F296" s="9"/>
      <c r="G296" s="1"/>
      <c r="H296" s="1"/>
      <c r="I296" s="1"/>
      <c r="K296" s="1">
        <v>3</v>
      </c>
      <c r="N296" s="2">
        <f>Таблица13[[#This Row],[Pуст, кВт]]*Таблица13[[#This Row],[Kи]]</f>
        <v>0</v>
      </c>
      <c r="O296" s="2" t="e">
        <f>IF(Таблица13[[#This Row],[Число фаз]]=1,J296/220/L296*M296*1000,J296/3/220/L296*M296*1000)</f>
        <v>#DIV/0!</v>
      </c>
      <c r="P296" s="2" t="str">
        <f>Таблица13[[#This Row],[Коды щитков]] &amp; "/M" &amp; TEXT( Таблица13[[#This Row],[Номер АВ]], "00")</f>
        <v>/M00</v>
      </c>
      <c r="Q296" s="1"/>
      <c r="R296" s="1"/>
      <c r="S296" s="1"/>
      <c r="T296" s="25">
        <f>Таблица13[[#This Row],[Сечение фазного]]</f>
        <v>0</v>
      </c>
      <c r="U296" s="1"/>
      <c r="V296" s="2" t="e">
        <f>IF(Таблица13[[#This Row],[Число фаз]]=1,2*O296*(22.5/S296*L296+0.08*SIN(ACOS(L296)))*(U296/1000)*(100/220),SQRT(3)*O296*(22.5/S296*L296+0.08*SIN(ACOS(L296)))*(U296/1000)*(100/380))</f>
        <v>#DIV/0!</v>
      </c>
      <c r="W29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296" s="25" t="e">
        <f>TEXT(Таблица13[[#This Row],[Потери]],"0,0") &amp; "-" &amp;Таблица13[[#This Row],[Полная марка кабеля]]</f>
        <v>#DIV/0!</v>
      </c>
      <c r="Y296" s="1"/>
      <c r="Z296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297" spans="1:26" x14ac:dyDescent="0.25">
      <c r="A297" s="1" t="s">
        <v>58</v>
      </c>
      <c r="B297" s="1">
        <v>296</v>
      </c>
      <c r="C297" s="4">
        <v>1</v>
      </c>
      <c r="D297" s="4" t="str">
        <f>"ВА57-35 "&amp; Таблица13[[#This Row],[Число фаз]] &amp; "P " &amp;Таблица13[[#This Row],[Номинал АВ]] &amp; " А"</f>
        <v>ВА57-35 3P 100 А</v>
      </c>
      <c r="E297" s="1">
        <v>100</v>
      </c>
      <c r="F297" s="9" t="s">
        <v>254</v>
      </c>
      <c r="G297" s="1" t="s">
        <v>512</v>
      </c>
      <c r="H297" s="1" t="s">
        <v>263</v>
      </c>
      <c r="I297" s="1" t="s">
        <v>255</v>
      </c>
      <c r="J297" s="2">
        <v>50</v>
      </c>
      <c r="K297" s="1">
        <v>3</v>
      </c>
      <c r="L297" s="15">
        <v>0.8</v>
      </c>
      <c r="M297" s="1">
        <v>1</v>
      </c>
      <c r="N297" s="2">
        <f>Таблица13[[#This Row],[Pуст, кВт]]*Таблица13[[#This Row],[Kи]]</f>
        <v>50</v>
      </c>
      <c r="O297" s="2">
        <f>IF(Таблица13[[#This Row],[Число фаз]]=1,J297/220/L297*M297*1000,J297/3/220/L297*M297*1000)</f>
        <v>94.696969696969703</v>
      </c>
      <c r="P297" s="2" t="str">
        <f>Таблица13[[#This Row],[Коды щитков]] &amp; "/M" &amp; TEXT( Таблица13[[#This Row],[Номер АВ]], "00")</f>
        <v>ШВ-1/M01</v>
      </c>
      <c r="Q297" s="1" t="s">
        <v>7</v>
      </c>
      <c r="R297" s="1">
        <v>4</v>
      </c>
      <c r="S297" s="1">
        <v>25</v>
      </c>
      <c r="T297" s="1">
        <f>Таблица13[[#This Row],[Сечение фазного]]</f>
        <v>25</v>
      </c>
      <c r="U297" s="1">
        <v>90</v>
      </c>
      <c r="V297" s="2">
        <f>IF(Таблица13[[#This Row],[Число фаз]]=1,2*O297*(22.5/S297*L297+0.08*SIN(ACOS(L297)))*(U297/1000)*(100/220),SQRT(3)*O297*(22.5/S297*L297+0.08*SIN(ACOS(L297)))*(U297/1000)*(100/380))</f>
        <v>2.9834367977262954</v>
      </c>
      <c r="W29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ШВ-1/M01-50,0-94,7-90</v>
      </c>
      <c r="X297" s="1" t="str">
        <f>TEXT(Таблица13[[#This Row],[Потери]],"0,0") &amp; "-" &amp;Таблица13[[#This Row],[Полная марка кабеля]]</f>
        <v>3,0-КГ-4x25</v>
      </c>
      <c r="Y297" t="s">
        <v>454</v>
      </c>
      <c r="Z29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КГ-4x25</v>
      </c>
    </row>
    <row r="298" spans="1:26" x14ac:dyDescent="0.25">
      <c r="A298" s="1" t="s">
        <v>58</v>
      </c>
      <c r="B298" s="1">
        <v>297</v>
      </c>
      <c r="C298" s="4">
        <v>2</v>
      </c>
      <c r="D298" s="4" t="str">
        <f>"ВА57-35 "&amp; Таблица13[[#This Row],[Число фаз]] &amp; "P " &amp;Таблица13[[#This Row],[Номинал АВ]] &amp; " А"</f>
        <v>ВА57-35 3P 250 А</v>
      </c>
      <c r="E298" s="1">
        <v>250</v>
      </c>
      <c r="F298" s="9" t="s">
        <v>245</v>
      </c>
      <c r="G298" s="1" t="s">
        <v>513</v>
      </c>
      <c r="H298" s="1" t="s">
        <v>265</v>
      </c>
      <c r="I298" s="1" t="s">
        <v>256</v>
      </c>
      <c r="J298" s="2">
        <v>130.19999999999999</v>
      </c>
      <c r="K298" s="1">
        <v>3</v>
      </c>
      <c r="L298" s="15">
        <v>0.9</v>
      </c>
      <c r="M298" s="1">
        <v>0.8</v>
      </c>
      <c r="N298" s="2">
        <f>Таблица13[[#This Row],[Pуст, кВт]]*Таблица13[[#This Row],[Kи]]</f>
        <v>104.16</v>
      </c>
      <c r="O298" s="2">
        <f>IF(Таблица13[[#This Row],[Число фаз]]=1,J298/220/L298*M298*1000,J298/3/220/L298*M298*1000)</f>
        <v>175.35353535353536</v>
      </c>
      <c r="P298" s="2" t="str">
        <f>Таблица13[[#This Row],[Коды щитков]] &amp; "/M" &amp; TEXT( Таблица13[[#This Row],[Номер АВ]], "00")</f>
        <v>ШВ-1/M02</v>
      </c>
      <c r="Q298" s="1" t="s">
        <v>7</v>
      </c>
      <c r="R298" s="1">
        <v>4</v>
      </c>
      <c r="S298" s="1">
        <v>95</v>
      </c>
      <c r="T298" s="1">
        <v>35</v>
      </c>
      <c r="U298" s="1">
        <v>5</v>
      </c>
      <c r="V298" s="2">
        <f>IF(Таблица13[[#This Row],[Число фаз]]=1,2*O298*(22.5/S298*L298+0.08*SIN(ACOS(L298)))*(U298/1000)*(100/220),SQRT(3)*O298*(22.5/S298*L298+0.08*SIN(ACOS(L298)))*(U298/1000)*(100/380))</f>
        <v>9.9120657614643837E-2</v>
      </c>
      <c r="W29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ШВ-1/M02-130,2-175,4-5</v>
      </c>
      <c r="X298" s="1" t="str">
        <f>TEXT(Таблица13[[#This Row],[Потери]],"0,0") &amp; "-" &amp;Таблица13[[#This Row],[Полная марка кабеля]]</f>
        <v>0,1-КГ-3x95+1x35</v>
      </c>
      <c r="Y298" t="s">
        <v>454</v>
      </c>
      <c r="Z29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299" spans="1:26" x14ac:dyDescent="0.25">
      <c r="A299" s="1" t="s">
        <v>58</v>
      </c>
      <c r="B299" s="1">
        <v>298</v>
      </c>
      <c r="C299" s="4">
        <v>5</v>
      </c>
      <c r="D299" s="4" t="str">
        <f>"Acti9 iC60N C"&amp;Таблица13[[#This Row],[Номинал АВ]]&amp; " " &amp; Таблица13[[#This Row],[Число фаз]] &amp; "P"</f>
        <v>Acti9 iC60N C50 3P</v>
      </c>
      <c r="E299" s="1">
        <v>50</v>
      </c>
      <c r="F299" s="9" t="s">
        <v>57</v>
      </c>
      <c r="G299" s="1" t="s">
        <v>511</v>
      </c>
      <c r="H299" s="1" t="s">
        <v>263</v>
      </c>
      <c r="I299" s="1" t="s">
        <v>244</v>
      </c>
      <c r="J299" s="2">
        <v>6.056</v>
      </c>
      <c r="K299" s="1">
        <v>3</v>
      </c>
      <c r="L299" s="15">
        <v>0.9</v>
      </c>
      <c r="M299" s="1">
        <v>1</v>
      </c>
      <c r="N299" s="2">
        <f>Таблица13[[#This Row],[Pуст, кВт]]*Таблица13[[#This Row],[Kи]]</f>
        <v>6.056</v>
      </c>
      <c r="O299" s="2">
        <f>IF(Таблица13[[#This Row],[Число фаз]]=1,J299/220/L299*M299*1000,J299/3/220/L299*M299*1000)</f>
        <v>10.195286195286197</v>
      </c>
      <c r="P299" s="2" t="str">
        <f>Таблица13[[#This Row],[Коды щитков]] &amp; "/M" &amp; TEXT( Таблица13[[#This Row],[Номер АВ]], "00")</f>
        <v>ШВ-1/M05</v>
      </c>
      <c r="Q299" s="1" t="s">
        <v>9</v>
      </c>
      <c r="R299" s="1">
        <v>5</v>
      </c>
      <c r="S299" s="1">
        <v>4</v>
      </c>
      <c r="T299" s="1">
        <f>Таблица13[[#This Row],[Сечение фазного]]</f>
        <v>4</v>
      </c>
      <c r="U299" s="1">
        <v>10</v>
      </c>
      <c r="V299" s="2">
        <f>IF(Таблица13[[#This Row],[Число фаз]]=1,2*O299*(22.5/S299*L299+0.08*SIN(ACOS(L299)))*(U299/1000)*(100/220),SQRT(3)*O299*(22.5/S299*L299+0.08*SIN(ACOS(L299)))*(U299/1000)*(100/380))</f>
        <v>0.23687690086199903</v>
      </c>
      <c r="W29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ШВ-1/M05-6,1-10,2-10</v>
      </c>
      <c r="X299" s="1" t="str">
        <f>TEXT(Таблица13[[#This Row],[Потери]],"0,0") &amp; "-" &amp;Таблица13[[#This Row],[Полная марка кабеля]]</f>
        <v>0,2-ПВС-5x4</v>
      </c>
      <c r="Y299" t="s">
        <v>454</v>
      </c>
      <c r="Z29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ПВС-5x4</v>
      </c>
    </row>
    <row r="300" spans="1:26" x14ac:dyDescent="0.25">
      <c r="A300" s="1" t="s">
        <v>58</v>
      </c>
      <c r="B300" s="1">
        <v>299</v>
      </c>
      <c r="C300" s="4">
        <v>4</v>
      </c>
      <c r="D300" s="4" t="str">
        <f>"Acti9 iC60N C"&amp;Таблица13[[#This Row],[Номинал АВ]]&amp; " " &amp; Таблица13[[#This Row],[Число фаз]] &amp; "P"</f>
        <v>Acti9 iC60N C25 3P</v>
      </c>
      <c r="E300" s="1">
        <v>25</v>
      </c>
      <c r="F300" s="9" t="s">
        <v>257</v>
      </c>
      <c r="G300" s="1" t="s">
        <v>511</v>
      </c>
      <c r="H300" s="1" t="s">
        <v>263</v>
      </c>
      <c r="I300" s="1" t="s">
        <v>258</v>
      </c>
      <c r="J300" s="2">
        <v>5</v>
      </c>
      <c r="K300" s="1">
        <v>3</v>
      </c>
      <c r="L300" s="15">
        <v>0.9</v>
      </c>
      <c r="M300" s="1">
        <v>1</v>
      </c>
      <c r="N300" s="2">
        <f>Таблица13[[#This Row],[Pуст, кВт]]*Таблица13[[#This Row],[Kи]]</f>
        <v>5</v>
      </c>
      <c r="O300" s="2">
        <f>IF(Таблица13[[#This Row],[Число фаз]]=1,J300/220/L300*M300*1000,J300/3/220/L300*M300*1000)</f>
        <v>8.4175084175084169</v>
      </c>
      <c r="P300" s="2" t="str">
        <f>Таблица13[[#This Row],[Коды щитков]] &amp; "/M" &amp; TEXT( Таблица13[[#This Row],[Номер АВ]], "00")</f>
        <v>ШВ-1/M04</v>
      </c>
      <c r="Q300" s="1" t="s">
        <v>9</v>
      </c>
      <c r="R300" s="1">
        <v>5</v>
      </c>
      <c r="S300" s="1">
        <v>2.5</v>
      </c>
      <c r="T300" s="1">
        <f>Таблица13[[#This Row],[Сечение фазного]]</f>
        <v>2.5</v>
      </c>
      <c r="U300" s="1">
        <v>60</v>
      </c>
      <c r="V300" s="2">
        <f>IF(Таблица13[[#This Row],[Число фаз]]=1,2*O300*(22.5/S300*L300+0.08*SIN(ACOS(L300)))*(U300/1000)*(100/220),SQRT(3)*O300*(22.5/S300*L300+0.08*SIN(ACOS(L300)))*(U300/1000)*(100/380))</f>
        <v>1.8726754674096315</v>
      </c>
      <c r="W30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ШВ-1/M04-5,0-8,4-60</v>
      </c>
      <c r="X300" s="1" t="str">
        <f>TEXT(Таблица13[[#This Row],[Потери]],"0,0") &amp; "-" &amp;Таблица13[[#This Row],[Полная марка кабеля]]</f>
        <v>1,9-ПВС-5x2,5</v>
      </c>
      <c r="Y300" t="s">
        <v>454</v>
      </c>
      <c r="Z30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ПВС-5x2,5</v>
      </c>
    </row>
    <row r="301" spans="1:26" x14ac:dyDescent="0.25">
      <c r="A301" s="1" t="s">
        <v>58</v>
      </c>
      <c r="B301" s="1">
        <v>300</v>
      </c>
      <c r="C301" s="4">
        <v>3</v>
      </c>
      <c r="D301" s="4"/>
      <c r="E301" s="1"/>
      <c r="F301" s="9" t="s">
        <v>56</v>
      </c>
      <c r="G301" s="1" t="s">
        <v>513</v>
      </c>
      <c r="H301" s="1" t="s">
        <v>265</v>
      </c>
      <c r="I301" s="1"/>
      <c r="J301" s="2">
        <v>50.546000000000006</v>
      </c>
      <c r="K301" s="1">
        <v>3</v>
      </c>
      <c r="L301" s="15">
        <v>0.90508760367574825</v>
      </c>
      <c r="M301" s="1">
        <v>0.8</v>
      </c>
      <c r="N301" s="2">
        <f>Таблица13[[#This Row],[Pуст, кВт]]*Таблица13[[#This Row],[Kи]]</f>
        <v>40.436800000000005</v>
      </c>
      <c r="O301" s="2">
        <f>IF(Таблица13[[#This Row],[Число фаз]]=1,J301/220/L301*M301*1000,J301/3/220/L301*M301*1000)</f>
        <v>67.69276094276097</v>
      </c>
      <c r="P301" s="2" t="str">
        <f>Таблица13[[#This Row],[Коды щитков]] &amp; "/M" &amp; TEXT( Таблица13[[#This Row],[Номер АВ]], "00")</f>
        <v>ШВ-1/M03</v>
      </c>
      <c r="Q301" s="1" t="s">
        <v>7</v>
      </c>
      <c r="R301" s="1">
        <v>4</v>
      </c>
      <c r="S301" s="1">
        <v>95</v>
      </c>
      <c r="T301" s="1">
        <v>35</v>
      </c>
      <c r="U301" s="1">
        <v>5</v>
      </c>
      <c r="V301" s="2">
        <f>IF(Таблица13[[#This Row],[Число фаз]]=1,2*O301*(22.5/S301*L301+0.08*SIN(ACOS(L301)))*(U301/1000)*(100/220),SQRT(3)*O301*(22.5/S301*L301+0.08*SIN(ACOS(L301)))*(U301/1000)*(100/380))</f>
        <v>3.8318402869008165E-2</v>
      </c>
      <c r="W30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ШВ-1/M03-50,5-67,7-5</v>
      </c>
      <c r="X301" s="1" t="str">
        <f>TEXT(Таблица13[[#This Row],[Потери]],"0,0") &amp; "-" &amp;Таблица13[[#This Row],[Полная марка кабеля]]</f>
        <v>0,0-КГ-3x95+1x35</v>
      </c>
      <c r="Y301" t="s">
        <v>454</v>
      </c>
      <c r="Z30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302" spans="1:26" x14ac:dyDescent="0.25">
      <c r="A302" s="1" t="s">
        <v>10</v>
      </c>
      <c r="B302" s="1">
        <v>301</v>
      </c>
      <c r="C302" s="4">
        <v>1</v>
      </c>
      <c r="D302" s="4"/>
      <c r="E302" s="1"/>
      <c r="F302" s="9" t="s">
        <v>58</v>
      </c>
      <c r="G302" s="1" t="s">
        <v>513</v>
      </c>
      <c r="H302" s="1" t="s">
        <v>265</v>
      </c>
      <c r="I302" s="1"/>
      <c r="J302" s="2">
        <v>241.8</v>
      </c>
      <c r="K302" s="1">
        <v>3</v>
      </c>
      <c r="L302" s="15">
        <v>0.8421454306364623</v>
      </c>
      <c r="M302" s="1">
        <v>0.8</v>
      </c>
      <c r="N302" s="2">
        <f>Таблица13[[#This Row],[Pуст, кВт]]*Таблица13[[#This Row],[Kи]]</f>
        <v>193.44000000000003</v>
      </c>
      <c r="O302" s="2">
        <f>IF(Таблица13[[#This Row],[Число фаз]]=1,J302/220/L302*M302*1000,J302/3/220/L302*M302*1000)</f>
        <v>348.02885395863501</v>
      </c>
      <c r="P302" s="2" t="str">
        <f>Таблица13[[#This Row],[Коды щитков]] &amp; "/M" &amp; TEXT( Таблица13[[#This Row],[Номер АВ]], "00")</f>
        <v>ТП-445/M01</v>
      </c>
      <c r="Q302" s="1" t="s">
        <v>500</v>
      </c>
      <c r="R302" s="1">
        <v>4</v>
      </c>
      <c r="S302" s="1">
        <v>240</v>
      </c>
      <c r="T302" s="1">
        <v>240</v>
      </c>
      <c r="U302" s="1">
        <v>100</v>
      </c>
      <c r="V302" s="2">
        <f>IF(Таблица13[[#This Row],[Число фаз]]=1,2*O302*(22.5/S302*L302+0.08*SIN(ACOS(L302)))*(U302/1000)*(100/220),SQRT(3)*O302*(22.5/S302*L302+0.08*SIN(ACOS(L302)))*(U302/1000)*(100/380))</f>
        <v>1.9367632910545467</v>
      </c>
      <c r="W30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ТП-445/M01-241,8-348,0-100</v>
      </c>
      <c r="X302" s="1" t="str">
        <f>TEXT(Таблица13[[#This Row],[Потери]],"0,0") &amp; "-" &amp;Таблица13[[#This Row],[Полная марка кабеля]]</f>
        <v>1,9-АВБШв-4x240</v>
      </c>
      <c r="Y302" t="s">
        <v>10</v>
      </c>
      <c r="Z30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АВБШв-4x240</v>
      </c>
    </row>
    <row r="303" spans="1:26" x14ac:dyDescent="0.25">
      <c r="A303" s="1" t="s">
        <v>10</v>
      </c>
      <c r="B303" s="1">
        <v>302</v>
      </c>
      <c r="C303" s="4">
        <v>2</v>
      </c>
      <c r="D303" s="4"/>
      <c r="E303" s="1"/>
      <c r="F303" s="9" t="s">
        <v>54</v>
      </c>
      <c r="G303" s="1" t="s">
        <v>513</v>
      </c>
      <c r="H303" s="1" t="s">
        <v>265</v>
      </c>
      <c r="I303" s="1"/>
      <c r="J303" s="2">
        <v>506.173</v>
      </c>
      <c r="K303" s="1">
        <v>3</v>
      </c>
      <c r="L303" s="15">
        <v>0.84436210371979148</v>
      </c>
      <c r="M303" s="1">
        <v>0.44</v>
      </c>
      <c r="N303" s="2">
        <f>Таблица13[[#This Row],[Pуст, кВт]]*Таблица13[[#This Row],[Kи]]</f>
        <v>222.71611999999999</v>
      </c>
      <c r="O303" s="2">
        <f>IF(Таблица13[[#This Row],[Число фаз]]=1,J303/220/L303*M303*1000,J303/3/220/L303*M303*1000)</f>
        <v>399.6492324561404</v>
      </c>
      <c r="P303" s="2" t="str">
        <f>Таблица13[[#This Row],[Коды щитков]] &amp; "/M" &amp; TEXT( Таблица13[[#This Row],[Номер АВ]], "00")</f>
        <v>ТП-445/M02</v>
      </c>
      <c r="Q303" s="1" t="s">
        <v>500</v>
      </c>
      <c r="R303" s="1">
        <v>4</v>
      </c>
      <c r="S303" s="1">
        <v>240</v>
      </c>
      <c r="T303" s="1">
        <v>240</v>
      </c>
      <c r="U303" s="1">
        <v>100</v>
      </c>
      <c r="V303" s="2">
        <f>IF(Таблица13[[#This Row],[Число фаз]]=1,2*O303*(22.5/S303*L303+0.08*SIN(ACOS(L303)))*(U303/1000)*(100/220),SQRT(3)*O303*(22.5/S303*L303+0.08*SIN(ACOS(L303)))*(U303/1000)*(100/380))</f>
        <v>2.2227459007475341</v>
      </c>
      <c r="W30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ТП-445/M02-506,2-399,6-100</v>
      </c>
      <c r="X303" s="1" t="str">
        <f>TEXT(Таблица13[[#This Row],[Потери]],"0,0") &amp; "-" &amp;Таблица13[[#This Row],[Полная марка кабеля]]</f>
        <v>2,2-АВБШв-4x240</v>
      </c>
      <c r="Y303" t="s">
        <v>10</v>
      </c>
      <c r="Z30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АВБШв-4x240</v>
      </c>
    </row>
    <row r="304" spans="1:26" x14ac:dyDescent="0.25">
      <c r="A304" s="1" t="s">
        <v>8</v>
      </c>
      <c r="B304" s="1">
        <v>303</v>
      </c>
      <c r="C304" s="4">
        <v>1</v>
      </c>
      <c r="D304" s="4"/>
      <c r="E304" s="1"/>
      <c r="F304" s="9" t="s">
        <v>41</v>
      </c>
      <c r="G304" s="1" t="s">
        <v>515</v>
      </c>
      <c r="H304" s="1" t="s">
        <v>264</v>
      </c>
      <c r="I304" s="1"/>
      <c r="J304" s="2">
        <v>596.08400000000006</v>
      </c>
      <c r="K304" s="1">
        <v>3</v>
      </c>
      <c r="L304" s="15">
        <v>0.86171648398865219</v>
      </c>
      <c r="M304" s="1">
        <v>0.47</v>
      </c>
      <c r="N304" s="2">
        <f>Таблица13[[#This Row],[Pуст, кВт]]*Таблица13[[#This Row],[Kи]]</f>
        <v>280.15948000000003</v>
      </c>
      <c r="O304" s="2">
        <f>IF(Таблица13[[#This Row],[Число фаз]]=1,J304/220/L304*M304*1000,J304/3/220/L304*M304*1000)</f>
        <v>492.60292508417479</v>
      </c>
      <c r="P304" s="2" t="str">
        <f>Таблица13[[#This Row],[Коды щитков]] &amp; "/M" &amp; TEXT( Таблица13[[#This Row],[Номер АВ]], "00")</f>
        <v>ТП-2884/M01</v>
      </c>
      <c r="Q304" s="1" t="s">
        <v>500</v>
      </c>
      <c r="R304" s="1">
        <v>4</v>
      </c>
      <c r="S304" s="1">
        <f>185*2</f>
        <v>370</v>
      </c>
      <c r="T304" s="1">
        <f>Таблица13[[#This Row],[Сечение фазного]]</f>
        <v>370</v>
      </c>
      <c r="U304" s="1">
        <v>30</v>
      </c>
      <c r="V304" s="2">
        <f>IF(Таблица13[[#This Row],[Число фаз]]=1,2*O304*(22.5/S304*L304+0.08*SIN(ACOS(L304)))*(U304/1000)*(100/220),SQRT(3)*O304*(22.5/S304*L304+0.08*SIN(ACOS(L304)))*(U304/1000)*(100/380))</f>
        <v>0.6263902566236379</v>
      </c>
      <c r="W30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ТП-2884/M01-596,1-492,6-30</v>
      </c>
      <c r="X304" s="1" t="str">
        <f>TEXT(Таблица13[[#This Row],[Потери]],"0,0") &amp; "-" &amp;Таблица13[[#This Row],[Полная марка кабеля]]</f>
        <v>0,6-АВБШв-4x370</v>
      </c>
      <c r="Y304" t="s">
        <v>8</v>
      </c>
      <c r="Z30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АВБШв-4x370</v>
      </c>
    </row>
    <row r="305" spans="1:26" x14ac:dyDescent="0.25">
      <c r="A305" s="1" t="s">
        <v>8</v>
      </c>
      <c r="B305" s="1">
        <v>304</v>
      </c>
      <c r="C305" s="4">
        <v>2</v>
      </c>
      <c r="D305" s="4"/>
      <c r="E305" s="1"/>
      <c r="F305" s="9" t="s">
        <v>33</v>
      </c>
      <c r="G305" s="1" t="s">
        <v>515</v>
      </c>
      <c r="H305" s="1" t="s">
        <v>264</v>
      </c>
      <c r="I305" s="1"/>
      <c r="J305" s="2">
        <v>857.88099999999986</v>
      </c>
      <c r="K305" s="1">
        <v>3</v>
      </c>
      <c r="L305" s="15">
        <v>0.88375444569359274</v>
      </c>
      <c r="M305" s="1">
        <v>0.34</v>
      </c>
      <c r="N305" s="2">
        <f>Таблица13[[#This Row],[Pуст, кВт]]*Таблица13[[#This Row],[Kи]]</f>
        <v>291.67953999999997</v>
      </c>
      <c r="O305" s="2">
        <f>IF(Таблица13[[#This Row],[Число фаз]]=1,J305/220/L305*M305*1000,J305/3/220/L305*M305*1000)</f>
        <v>500.06956018518503</v>
      </c>
      <c r="P305" s="2" t="str">
        <f>Таблица13[[#This Row],[Коды щитков]] &amp; "/M" &amp; TEXT( Таблица13[[#This Row],[Номер АВ]], "00")</f>
        <v>ТП-2884/M02</v>
      </c>
      <c r="Q305" s="1" t="s">
        <v>500</v>
      </c>
      <c r="R305" s="1">
        <v>4</v>
      </c>
      <c r="S305" s="1">
        <f>185*2</f>
        <v>370</v>
      </c>
      <c r="T305" s="1">
        <f>Таблица13[[#This Row],[Сечение фазного]]</f>
        <v>370</v>
      </c>
      <c r="U305" s="1">
        <v>30</v>
      </c>
      <c r="V305" s="2">
        <f>IF(Таблица13[[#This Row],[Число фаз]]=1,2*O305*(22.5/S305*L305+0.08*SIN(ACOS(L305)))*(U305/1000)*(100/220),SQRT(3)*O305*(22.5/S305*L305+0.08*SIN(ACOS(L305)))*(U305/1000)*(100/380))</f>
        <v>0.62347391372694172</v>
      </c>
      <c r="W30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ТП-2884/M02-857,9-500,1-30</v>
      </c>
      <c r="X305" s="1" t="str">
        <f>TEXT(Таблица13[[#This Row],[Потери]],"0,0") &amp; "-" &amp;Таблица13[[#This Row],[Полная марка кабеля]]</f>
        <v>0,6-АВБШв-4x370</v>
      </c>
      <c r="Y305" t="s">
        <v>8</v>
      </c>
      <c r="Z30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АВБШв-4x370</v>
      </c>
    </row>
    <row r="306" spans="1:26" x14ac:dyDescent="0.25">
      <c r="A306" s="1" t="s">
        <v>8</v>
      </c>
      <c r="B306" s="1">
        <v>305</v>
      </c>
      <c r="C306" s="4">
        <v>3</v>
      </c>
      <c r="D306" s="4"/>
      <c r="E306" s="1"/>
      <c r="F306" s="9" t="s">
        <v>26</v>
      </c>
      <c r="G306" s="1" t="s">
        <v>515</v>
      </c>
      <c r="H306" s="1" t="s">
        <v>264</v>
      </c>
      <c r="I306" s="1"/>
      <c r="J306" s="2">
        <v>479.32400000000001</v>
      </c>
      <c r="K306" s="1">
        <v>3</v>
      </c>
      <c r="L306" s="15">
        <v>0.91360207500029256</v>
      </c>
      <c r="M306" s="1">
        <v>0.63</v>
      </c>
      <c r="N306" s="2">
        <f>Таблица13[[#This Row],[Pуст, кВт]]*Таблица13[[#This Row],[Kи]]</f>
        <v>301.97412000000003</v>
      </c>
      <c r="O306" s="2">
        <f>IF(Таблица13[[#This Row],[Число фаз]]=1,J306/220/L306*M306*1000,J306/3/220/L306*M306*1000)</f>
        <v>500.80506379585319</v>
      </c>
      <c r="P306" s="2" t="str">
        <f>Таблица13[[#This Row],[Коды щитков]] &amp; "/M" &amp; TEXT( Таблица13[[#This Row],[Номер АВ]], "00")</f>
        <v>ТП-2884/M03</v>
      </c>
      <c r="Q306" s="1" t="s">
        <v>500</v>
      </c>
      <c r="R306" s="1">
        <v>4</v>
      </c>
      <c r="S306" s="1">
        <f>185*2</f>
        <v>370</v>
      </c>
      <c r="T306" s="1">
        <f>Таблица13[[#This Row],[Сечение фазного]]</f>
        <v>370</v>
      </c>
      <c r="U306" s="1">
        <v>30</v>
      </c>
      <c r="V306" s="2">
        <f>IF(Таблица13[[#This Row],[Число фаз]]=1,2*O306*(22.5/S306*L306+0.08*SIN(ACOS(L306)))*(U306/1000)*(100/220),SQRT(3)*O306*(22.5/S306*L306+0.08*SIN(ACOS(L306)))*(U306/1000)*(100/380))</f>
        <v>0.60321496552726483</v>
      </c>
      <c r="W30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ТП-2884/M03-479,3-500,8-30</v>
      </c>
      <c r="X306" s="1" t="str">
        <f>TEXT(Таблица13[[#This Row],[Потери]],"0,0") &amp; "-" &amp;Таблица13[[#This Row],[Полная марка кабеля]]</f>
        <v>0,6-АВБШв-4x370</v>
      </c>
      <c r="Y306" t="s">
        <v>8</v>
      </c>
      <c r="Z30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АВБШв-4x370</v>
      </c>
    </row>
    <row r="307" spans="1:26" x14ac:dyDescent="0.25">
      <c r="A307" s="1" t="s">
        <v>75</v>
      </c>
      <c r="B307" s="1">
        <v>306</v>
      </c>
      <c r="C307" s="4">
        <v>1</v>
      </c>
      <c r="D307" s="4"/>
      <c r="E307" s="1"/>
      <c r="F307" s="9" t="s">
        <v>10</v>
      </c>
      <c r="G307" s="1"/>
      <c r="H307" s="1"/>
      <c r="I307" s="1"/>
      <c r="J307" s="16">
        <v>747.21899999999994</v>
      </c>
      <c r="K307" s="1">
        <v>3</v>
      </c>
      <c r="L307" s="15">
        <v>0.84364575135728603</v>
      </c>
      <c r="M307" s="1">
        <v>0.65</v>
      </c>
      <c r="N307" s="2">
        <f>Таблица13[[#This Row],[Pуст, кВт]]*Таблица13[[#This Row],[Kи]]</f>
        <v>485.69234999999998</v>
      </c>
      <c r="O307" s="2">
        <f>IF(Таблица13[[#This Row],[Число фаз]]=1,J307/220/L307*M307*1000,J307/3/220/L307*M307*1000)</f>
        <v>872.28258877148733</v>
      </c>
      <c r="P307" s="2" t="str">
        <f>Таблица13[[#This Row],[Коды щитков]] &amp; "/M" &amp; TEXT( Таблица13[[#This Row],[Номер АВ]], "00")</f>
        <v>Электроснабжение/M01</v>
      </c>
      <c r="Q307" s="1"/>
      <c r="R307" s="1"/>
      <c r="S307" s="1"/>
      <c r="T307" s="1">
        <f>Таблица13[[#This Row],[Сечение фазного]]</f>
        <v>0</v>
      </c>
      <c r="U307" s="1">
        <v>0</v>
      </c>
      <c r="V307" s="2" t="e">
        <f>IF(Таблица13[[#This Row],[Число фаз]]=1,2*O307*(22.5/S307*L307+0.08*SIN(ACOS(L307)))*(U307/1000)*(100/220),SQRT(3)*O307*(22.5/S307*L307+0.08*SIN(ACOS(L307)))*(U307/1000)*(100/380))</f>
        <v>#DIV/0!</v>
      </c>
      <c r="W30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Электроснабжение/M01-747,2-872,3-0</v>
      </c>
      <c r="X307" s="1" t="e">
        <f>TEXT(Таблица13[[#This Row],[Потери]],"0,0") &amp; "-" &amp;Таблица13[[#This Row],[Полная марка кабеля]]</f>
        <v>#DIV/0!</v>
      </c>
      <c r="Y307" t="s">
        <v>75</v>
      </c>
      <c r="Z30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308" spans="1:26" x14ac:dyDescent="0.25">
      <c r="A308" s="1" t="s">
        <v>75</v>
      </c>
      <c r="B308" s="1">
        <v>307</v>
      </c>
      <c r="C308" s="4">
        <v>2</v>
      </c>
      <c r="D308" s="4"/>
      <c r="E308" s="1"/>
      <c r="F308" s="9" t="s">
        <v>8</v>
      </c>
      <c r="G308" s="1"/>
      <c r="H308" s="1"/>
      <c r="I308" s="1"/>
      <c r="J308" s="16">
        <v>1925.289</v>
      </c>
      <c r="K308" s="1">
        <v>3</v>
      </c>
      <c r="L308" s="15">
        <v>0.88351817369782293</v>
      </c>
      <c r="M308" s="1">
        <v>0.48</v>
      </c>
      <c r="N308" s="2">
        <f>Таблица13[[#This Row],[Pуст, кВт]]*Таблица13[[#This Row],[Kи]]</f>
        <v>924.13871999999992</v>
      </c>
      <c r="O308" s="2">
        <f>IF(Таблица13[[#This Row],[Число фаз]]=1,J308/220/L308*M308*1000,J308/3/220/L308*M308*1000)</f>
        <v>1584.8119750132901</v>
      </c>
      <c r="P308" s="2" t="str">
        <f>Таблица13[[#This Row],[Коды щитков]] &amp; "/M" &amp; TEXT( Таблица13[[#This Row],[Номер АВ]], "00")</f>
        <v>Электроснабжение/M02</v>
      </c>
      <c r="Q308" s="1"/>
      <c r="R308" s="1"/>
      <c r="S308" s="1"/>
      <c r="T308" s="1">
        <f>Таблица13[[#This Row],[Сечение фазного]]</f>
        <v>0</v>
      </c>
      <c r="U308" s="1">
        <v>0</v>
      </c>
      <c r="V308" s="2" t="e">
        <f>IF(Таблица13[[#This Row],[Число фаз]]=1,2*O308*(22.5/S308*L308+0.08*SIN(ACOS(L308)))*(U308/1000)*(100/220),SQRT(3)*O308*(22.5/S308*L308+0.08*SIN(ACOS(L308)))*(U308/1000)*(100/380))</f>
        <v>#DIV/0!</v>
      </c>
      <c r="W30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Электроснабжение/M02-1925,3-1584,8-0</v>
      </c>
      <c r="X308" s="1" t="e">
        <f>TEXT(Таблица13[[#This Row],[Потери]],"0,0") &amp; "-" &amp;Таблица13[[#This Row],[Полная марка кабеля]]</f>
        <v>#DIV/0!</v>
      </c>
      <c r="Y308" t="s">
        <v>75</v>
      </c>
      <c r="Z30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309" spans="1:26" x14ac:dyDescent="0.25">
      <c r="A309" s="1" t="s">
        <v>75</v>
      </c>
      <c r="B309" s="1">
        <v>308</v>
      </c>
      <c r="C309" s="6">
        <v>3</v>
      </c>
      <c r="D309" s="6"/>
      <c r="E309" s="5"/>
      <c r="F309" s="11" t="s">
        <v>19</v>
      </c>
      <c r="G309" s="5"/>
      <c r="H309" s="5" t="s">
        <v>264</v>
      </c>
      <c r="I309" s="5"/>
      <c r="J309" s="2">
        <v>1152.796</v>
      </c>
      <c r="K309" s="1">
        <v>3</v>
      </c>
      <c r="L309" s="15">
        <v>0.91435103033614573</v>
      </c>
      <c r="M309" s="1">
        <v>0.5</v>
      </c>
      <c r="N309" s="2">
        <f>Таблица13[[#This Row],[Pуст, кВт]]*Таблица13[[#This Row],[Kи]]</f>
        <v>576.39800000000002</v>
      </c>
      <c r="O309" s="7">
        <f>IF(Таблица13[[#This Row],[Число фаз]]=1,J309/220/L309*M309*1000,J309/3/220/L309*M309*1000)</f>
        <v>955.13678451178407</v>
      </c>
      <c r="P309" s="2" t="str">
        <f>Таблица13[[#This Row],[Коды щитков]] &amp; "/M" &amp; TEXT( Таблица13[[#This Row],[Номер АВ]], "00")</f>
        <v>Электроснабжение/M03</v>
      </c>
      <c r="Q309" s="5"/>
      <c r="R309" s="5"/>
      <c r="S309" s="5"/>
      <c r="T309" s="5">
        <f>Таблица13[[#This Row],[Сечение фазного]]</f>
        <v>0</v>
      </c>
      <c r="U309" s="5">
        <v>0</v>
      </c>
      <c r="V309" s="7" t="e">
        <f>IF(Таблица13[[#This Row],[Число фаз]]=1,2*O309*(22.5/S309*L309+0.08*SIN(ACOS(L309)))*(U309/1000)*(100/220),SQRT(3)*O309*(22.5/S309*L309+0.08*SIN(ACOS(L309)))*(U309/1000)*(100/380))</f>
        <v>#DIV/0!</v>
      </c>
      <c r="W30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Электроснабжение/M03-1152,8-955,1-0</v>
      </c>
      <c r="X309" s="1" t="e">
        <f>TEXT(Таблица13[[#This Row],[Потери]],"0,0") &amp; "-" &amp;Таблица13[[#This Row],[Полная марка кабеля]]</f>
        <v>#DIV/0!</v>
      </c>
      <c r="Y309" t="s">
        <v>75</v>
      </c>
      <c r="Z30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-x</v>
      </c>
    </row>
    <row r="310" spans="1:26" x14ac:dyDescent="0.25">
      <c r="A310" s="1" t="s">
        <v>41</v>
      </c>
      <c r="B310" s="1">
        <v>309</v>
      </c>
      <c r="C310" s="4">
        <v>7</v>
      </c>
      <c r="D310" s="4" t="str">
        <f>"Acti9 iC60N C"&amp;Таблица13[[#This Row],[Номинал АВ]]&amp; " " &amp; Таблица13[[#This Row],[Число фаз]] &amp; "P"</f>
        <v>Acti9 iC60N C16 3P</v>
      </c>
      <c r="E310" s="1">
        <v>16</v>
      </c>
      <c r="F310" s="10" t="s">
        <v>260</v>
      </c>
      <c r="G310" s="1"/>
      <c r="H310" s="1" t="s">
        <v>261</v>
      </c>
      <c r="I310" s="1"/>
      <c r="K310" s="1">
        <v>3</v>
      </c>
      <c r="N310" s="2">
        <f>Таблица13[[#This Row],[Pуст, кВт]]*Таблица13[[#This Row],[Kи]]</f>
        <v>0</v>
      </c>
      <c r="O310" s="2" t="e">
        <f>IF(Таблица13[[#This Row],[Число фаз]]=1,J310/220/L310*M310*1000,J310/3/220/L310*M310*1000)</f>
        <v>#DIV/0!</v>
      </c>
      <c r="P310" s="2" t="str">
        <f>Таблица13[[#This Row],[Коды щитков]] &amp; "/M" &amp; TEXT( Таблица13[[#This Row],[Номер АВ]], "00")</f>
        <v>ВРУ ввод 1/M07</v>
      </c>
      <c r="Q310" s="1" t="s">
        <v>63</v>
      </c>
      <c r="R310" s="1">
        <v>5</v>
      </c>
      <c r="S310" s="1">
        <v>4</v>
      </c>
      <c r="T310" s="1">
        <f>Таблица13[[#This Row],[Сечение фазного]]</f>
        <v>4</v>
      </c>
      <c r="U310" s="1">
        <v>20</v>
      </c>
      <c r="V310" s="2" t="e">
        <f>IF(Таблица13[[#This Row],[Число фаз]]=1,2*O310*(22.5/S310*L310+0.08*SIN(ACOS(L310)))*(U310/1000)*(100/220),SQRT(3)*O310*(22.5/S310*L310+0.08*SIN(ACOS(L310)))*(U310/1000)*(100/380))</f>
        <v>#DIV/0!</v>
      </c>
      <c r="W310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310" s="1" t="e">
        <f>TEXT(Таблица13[[#This Row],[Потери]],"0,0") &amp; "-" &amp;Таблица13[[#This Row],[Полная марка кабеля]]</f>
        <v>#DIV/0!</v>
      </c>
      <c r="Y310" t="s">
        <v>438</v>
      </c>
      <c r="Z31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ВВГнг(A)-LS-5x4</v>
      </c>
    </row>
    <row r="311" spans="1:26" x14ac:dyDescent="0.25">
      <c r="A311" s="1" t="s">
        <v>49</v>
      </c>
      <c r="B311" s="1">
        <v>310</v>
      </c>
      <c r="C311" s="4">
        <v>6</v>
      </c>
      <c r="D311" s="4" t="str">
        <f>"Acti9 iC60N C"&amp;Таблица13[[#This Row],[Номинал АВ]]&amp; " " &amp; Таблица13[[#This Row],[Число фаз]] &amp; "P"</f>
        <v>Acti9 iC60N C10 1P</v>
      </c>
      <c r="E311" s="1">
        <v>10</v>
      </c>
      <c r="F311" s="9"/>
      <c r="G311" s="1"/>
      <c r="H311" s="1" t="s">
        <v>73</v>
      </c>
      <c r="I311" s="1" t="s">
        <v>262</v>
      </c>
      <c r="J311" s="16">
        <f>19*2*0.022</f>
        <v>0.83599999999999997</v>
      </c>
      <c r="K311" s="1">
        <v>1</v>
      </c>
      <c r="L311" s="15">
        <v>0.96</v>
      </c>
      <c r="M311" s="1">
        <v>1</v>
      </c>
      <c r="N311" s="2">
        <f>Таблица13[[#This Row],[Pуст, кВт]]*Таблица13[[#This Row],[Kи]]</f>
        <v>0.83599999999999997</v>
      </c>
      <c r="O311" s="2">
        <f>IF(Таблица13[[#This Row],[Число фаз]]=1,J311/220/L311*M311*1000,J311/3/220/L311*M311*1000)</f>
        <v>3.9583333333333335</v>
      </c>
      <c r="P311" s="2" t="str">
        <f>Таблица13[[#This Row],[Коды щитков]] &amp; "/M" &amp; TEXT( Таблица13[[#This Row],[Номер АВ]], "00")</f>
        <v>ШР-2/M06</v>
      </c>
      <c r="Q311" s="1" t="s">
        <v>63</v>
      </c>
      <c r="R311" s="1">
        <v>3</v>
      </c>
      <c r="S311" s="1">
        <v>1.5</v>
      </c>
      <c r="T311" s="1">
        <f>Таблица13[[#This Row],[Сечение фазного]]</f>
        <v>1.5</v>
      </c>
      <c r="U311" s="1">
        <v>100</v>
      </c>
      <c r="V311" s="2">
        <f>IF(Таблица13[[#This Row],[Число фаз]]=1,2*O311*(22.5/S311*L311+0.08*SIN(ACOS(L311)))*(U311/1000)*(100/220),SQRT(3)*O311*(22.5/S311*L311+0.08*SIN(ACOS(L311)))*(U311/1000)*(100/380))</f>
        <v>5.1898787878787873</v>
      </c>
      <c r="W3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ШР-2/M06-0,8-4,0-100</v>
      </c>
      <c r="X311" s="1" t="str">
        <f>TEXT(Таблица13[[#This Row],[Потери]],"0,0") &amp; "-" &amp;Таблица13[[#This Row],[Полная марка кабеля]]</f>
        <v>5,2-ВВГнг(A)-LS-3x1,5</v>
      </c>
      <c r="Y311" t="s">
        <v>446</v>
      </c>
      <c r="Z31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12" spans="1:26" x14ac:dyDescent="0.25">
      <c r="A312" s="1" t="s">
        <v>55</v>
      </c>
      <c r="B312" s="1">
        <v>311</v>
      </c>
      <c r="C312" s="4">
        <v>8</v>
      </c>
      <c r="D312" s="4" t="str">
        <f>"Acti9 iC60N C"&amp;Таблица13[[#This Row],[Номинал АВ]]&amp; " " &amp; Таблица13[[#This Row],[Число фаз]] &amp; "P"</f>
        <v>Acti9 iC60N C10 1P</v>
      </c>
      <c r="E312" s="1">
        <v>10</v>
      </c>
      <c r="F312" s="9"/>
      <c r="G312" s="1"/>
      <c r="H312" s="1" t="s">
        <v>73</v>
      </c>
      <c r="I312" s="1" t="s">
        <v>277</v>
      </c>
      <c r="J312" s="16">
        <f>13*0.033</f>
        <v>0.42900000000000005</v>
      </c>
      <c r="K312" s="1">
        <v>1</v>
      </c>
      <c r="L312" s="15">
        <v>0.96</v>
      </c>
      <c r="M312" s="1">
        <v>1</v>
      </c>
      <c r="N312" s="2">
        <f>Таблица13[[#This Row],[Pуст, кВт]]*Таблица13[[#This Row],[Kи]]</f>
        <v>0.42900000000000005</v>
      </c>
      <c r="O312" s="2">
        <f>IF(Таблица13[[#This Row],[Число фаз]]=1,J312/220/L312*M312*1000,J312/3/220/L312*M312*1000)</f>
        <v>2.03125</v>
      </c>
      <c r="P312" s="2" t="str">
        <f>Таблица13[[#This Row],[Коды щитков]] &amp; "/M" &amp; TEXT( Таблица13[[#This Row],[Номер АВ]], "00")</f>
        <v>ШС-3-2/M08</v>
      </c>
      <c r="Q312" s="1" t="s">
        <v>63</v>
      </c>
      <c r="R312" s="1">
        <v>3</v>
      </c>
      <c r="S312" s="1">
        <v>1.5</v>
      </c>
      <c r="T312" s="1">
        <f>Таблица13[[#This Row],[Сечение фазного]]</f>
        <v>1.5</v>
      </c>
      <c r="U312" s="1">
        <v>100</v>
      </c>
      <c r="V312" s="2">
        <f>IF(Таблица13[[#This Row],[Число фаз]]=1,2*O312*(22.5/S312*L312+0.08*SIN(ACOS(L312)))*(U312/1000)*(100/220),SQRT(3)*O312*(22.5/S312*L312+0.08*SIN(ACOS(L312)))*(U312/1000)*(100/380))</f>
        <v>2.6632272727272723</v>
      </c>
      <c r="W3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ШС-3-2/M08-0,4-2,0-100</v>
      </c>
      <c r="X312" s="1" t="str">
        <f>TEXT(Таблица13[[#This Row],[Потери]],"0,0") &amp; "-" &amp;Таблица13[[#This Row],[Полная марка кабеля]]</f>
        <v>2,7-ВВГнг(A)-LS-3x1,5</v>
      </c>
      <c r="Y312" t="s">
        <v>451</v>
      </c>
      <c r="Z31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13" spans="1:26" x14ac:dyDescent="0.25">
      <c r="A313" s="1" t="s">
        <v>55</v>
      </c>
      <c r="B313" s="1">
        <v>312</v>
      </c>
      <c r="C313" s="4">
        <v>9</v>
      </c>
      <c r="D313" s="4" t="str">
        <f>"Acti9 iC60N C"&amp;Таблица13[[#This Row],[Номинал АВ]]&amp; " " &amp; Таблица13[[#This Row],[Число фаз]] &amp; "P"</f>
        <v>Acti9 iC60N C10 1P</v>
      </c>
      <c r="E313" s="1">
        <v>10</v>
      </c>
      <c r="F313" s="9"/>
      <c r="G313" s="1"/>
      <c r="H313" s="1" t="s">
        <v>73</v>
      </c>
      <c r="I313" s="1" t="s">
        <v>278</v>
      </c>
      <c r="J313" s="16">
        <f>2*6*0.033</f>
        <v>0.39600000000000002</v>
      </c>
      <c r="K313" s="1">
        <v>1</v>
      </c>
      <c r="L313" s="15">
        <v>0.96</v>
      </c>
      <c r="M313" s="1">
        <v>1</v>
      </c>
      <c r="N313" s="2">
        <f>Таблица13[[#This Row],[Pуст, кВт]]*Таблица13[[#This Row],[Kи]]</f>
        <v>0.39600000000000002</v>
      </c>
      <c r="O313" s="2">
        <f>IF(Таблица13[[#This Row],[Число фаз]]=1,J313/220/L313*M313*1000,J313/3/220/L313*M313*1000)</f>
        <v>1.8750000000000002</v>
      </c>
      <c r="P313" s="2" t="str">
        <f>Таблица13[[#This Row],[Коды щитков]] &amp; "/M" &amp; TEXT( Таблица13[[#This Row],[Номер АВ]], "00")</f>
        <v>ШС-3-2/M09</v>
      </c>
      <c r="Q313" s="1" t="s">
        <v>63</v>
      </c>
      <c r="R313" s="1">
        <v>3</v>
      </c>
      <c r="S313" s="1">
        <v>1.5</v>
      </c>
      <c r="T313" s="1">
        <f>Таблица13[[#This Row],[Сечение фазного]]</f>
        <v>1.5</v>
      </c>
      <c r="U313" s="1">
        <v>50</v>
      </c>
      <c r="V313" s="2">
        <f>IF(Таблица13[[#This Row],[Число фаз]]=1,2*O313*(22.5/S313*L313+0.08*SIN(ACOS(L313)))*(U313/1000)*(100/220),SQRT(3)*O313*(22.5/S313*L313+0.08*SIN(ACOS(L313)))*(U313/1000)*(100/380))</f>
        <v>1.2291818181818182</v>
      </c>
      <c r="W3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ШС-3-2/M09-0,4-1,9-50</v>
      </c>
      <c r="X313" s="1" t="str">
        <f>TEXT(Таблица13[[#This Row],[Потери]],"0,0") &amp; "-" &amp;Таблица13[[#This Row],[Полная марка кабеля]]</f>
        <v>1,2-ВВГнг(A)-LS-3x1,5</v>
      </c>
      <c r="Y313" t="s">
        <v>451</v>
      </c>
      <c r="Z31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14" spans="1:26" x14ac:dyDescent="0.25">
      <c r="A314" s="1" t="s">
        <v>55</v>
      </c>
      <c r="B314" s="1">
        <v>313</v>
      </c>
      <c r="C314" s="4">
        <v>10</v>
      </c>
      <c r="D314" s="4" t="str">
        <f>"Acti9 iC60N C"&amp;Таблица13[[#This Row],[Номинал АВ]]&amp; " " &amp; Таблица13[[#This Row],[Число фаз]] &amp; "P"</f>
        <v>Acti9 iC60N C10 1P</v>
      </c>
      <c r="E314" s="1">
        <v>10</v>
      </c>
      <c r="F314" s="9"/>
      <c r="G314" s="1"/>
      <c r="H314" s="1" t="s">
        <v>73</v>
      </c>
      <c r="I314" s="1" t="s">
        <v>278</v>
      </c>
      <c r="J314" s="16">
        <f>3*6*0.033</f>
        <v>0.59400000000000008</v>
      </c>
      <c r="K314" s="1">
        <v>1</v>
      </c>
      <c r="L314" s="15">
        <v>0.96</v>
      </c>
      <c r="M314" s="1">
        <v>1</v>
      </c>
      <c r="N314" s="2">
        <f>Таблица13[[#This Row],[Pуст, кВт]]*Таблица13[[#This Row],[Kи]]</f>
        <v>0.59400000000000008</v>
      </c>
      <c r="O314" s="2">
        <f>IF(Таблица13[[#This Row],[Число фаз]]=1,J314/220/L314*M314*1000,J314/3/220/L314*M314*1000)</f>
        <v>2.8125000000000009</v>
      </c>
      <c r="P314" s="2" t="str">
        <f>Таблица13[[#This Row],[Коды щитков]] &amp; "/M" &amp; TEXT( Таблица13[[#This Row],[Номер АВ]], "00")</f>
        <v>ШС-3-2/M10</v>
      </c>
      <c r="Q314" s="1" t="s">
        <v>63</v>
      </c>
      <c r="R314" s="1">
        <v>3</v>
      </c>
      <c r="S314" s="1">
        <v>1.5</v>
      </c>
      <c r="T314" s="1">
        <f>Таблица13[[#This Row],[Сечение фазного]]</f>
        <v>1.5</v>
      </c>
      <c r="U314" s="1">
        <v>50</v>
      </c>
      <c r="V314" s="2">
        <f>IF(Таблица13[[#This Row],[Число фаз]]=1,2*O314*(22.5/S314*L314+0.08*SIN(ACOS(L314)))*(U314/1000)*(100/220),SQRT(3)*O314*(22.5/S314*L314+0.08*SIN(ACOS(L314)))*(U314/1000)*(100/380))</f>
        <v>1.8437727272727278</v>
      </c>
      <c r="W31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ШС-3-2/M10-0,6-2,8-50</v>
      </c>
      <c r="X314" s="1" t="str">
        <f>TEXT(Таблица13[[#This Row],[Потери]],"0,0") &amp; "-" &amp;Таблица13[[#This Row],[Полная марка кабеля]]</f>
        <v>1,8-ВВГнг(A)-LS-3x1,5</v>
      </c>
      <c r="Y314" t="s">
        <v>451</v>
      </c>
      <c r="Z31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15" spans="1:26" x14ac:dyDescent="0.25">
      <c r="A315" s="1" t="s">
        <v>55</v>
      </c>
      <c r="B315" s="1">
        <v>314</v>
      </c>
      <c r="C315" s="4">
        <v>11</v>
      </c>
      <c r="D315" s="4" t="str">
        <f>"Acti9 iC60N C"&amp;Таблица13[[#This Row],[Номинал АВ]]&amp; " " &amp; Таблица13[[#This Row],[Число фаз]] &amp; "P"</f>
        <v>Acti9 iC60N C10 1P</v>
      </c>
      <c r="E315" s="1">
        <v>10</v>
      </c>
      <c r="F315" s="12"/>
      <c r="G315" s="1"/>
      <c r="H315" s="1" t="s">
        <v>73</v>
      </c>
      <c r="I315" s="1" t="s">
        <v>240</v>
      </c>
      <c r="J315" s="16">
        <f>13*0.033</f>
        <v>0.42900000000000005</v>
      </c>
      <c r="K315" s="1">
        <v>1</v>
      </c>
      <c r="L315" s="15">
        <v>0.96</v>
      </c>
      <c r="M315" s="1">
        <v>1</v>
      </c>
      <c r="N315" s="2">
        <f>Таблица13[[#This Row],[Pуст, кВт]]*Таблица13[[#This Row],[Kи]]</f>
        <v>0.42900000000000005</v>
      </c>
      <c r="O315" s="2">
        <f>IF(Таблица13[[#This Row],[Число фаз]]=1,J315/220/L315*M315*1000,J315/3/220/L315*M315*1000)</f>
        <v>2.03125</v>
      </c>
      <c r="P315" s="2" t="str">
        <f>Таблица13[[#This Row],[Коды щитков]] &amp; "/M" &amp; TEXT( Таблица13[[#This Row],[Номер АВ]], "00")</f>
        <v>ШС-3-2/M11</v>
      </c>
      <c r="Q315" s="1" t="s">
        <v>63</v>
      </c>
      <c r="R315" s="1">
        <v>3</v>
      </c>
      <c r="S315" s="1">
        <v>1.5</v>
      </c>
      <c r="T315" s="1">
        <f>Таблица13[[#This Row],[Сечение фазного]]</f>
        <v>1.5</v>
      </c>
      <c r="U315" s="1">
        <v>80</v>
      </c>
      <c r="V315" s="2">
        <f>IF(Таблица13[[#This Row],[Число фаз]]=1,2*O315*(22.5/S315*L315+0.08*SIN(ACOS(L315)))*(U315/1000)*(100/220),SQRT(3)*O315*(22.5/S315*L315+0.08*SIN(ACOS(L315)))*(U315/1000)*(100/380))</f>
        <v>2.1305818181818177</v>
      </c>
      <c r="W3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ШС-3-2/M11-0,4-2,0-80</v>
      </c>
      <c r="X315" s="1" t="str">
        <f>TEXT(Таблица13[[#This Row],[Потери]],"0,0") &amp; "-" &amp;Таблица13[[#This Row],[Полная марка кабеля]]</f>
        <v>2,1-ВВГнг(A)-LS-3x1,5</v>
      </c>
      <c r="Y315" t="s">
        <v>451</v>
      </c>
      <c r="Z31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16" spans="1:26" ht="60" x14ac:dyDescent="0.25">
      <c r="A316" s="9" t="s">
        <v>270</v>
      </c>
      <c r="B316" s="1">
        <v>315</v>
      </c>
      <c r="C316" s="4">
        <v>1</v>
      </c>
      <c r="D316" s="4" t="str">
        <f>"Acti9 DPN N Vigi C" &amp; Таблица13[[#This Row],[Номинал АВ]]&amp; " 1P+N 30 мА"</f>
        <v>Acti9 DPN N Vigi C25 1P+N 30 мА</v>
      </c>
      <c r="E316" s="1">
        <v>25</v>
      </c>
      <c r="F316" s="9"/>
      <c r="G316" s="1"/>
      <c r="H316" s="1" t="s">
        <v>72</v>
      </c>
      <c r="I316" s="3" t="s">
        <v>458</v>
      </c>
      <c r="J316" s="16">
        <v>2</v>
      </c>
      <c r="K316" s="1">
        <v>1</v>
      </c>
      <c r="L316" s="15">
        <v>0.96</v>
      </c>
      <c r="M316" s="1">
        <v>1</v>
      </c>
      <c r="N316" s="2">
        <f>Таблица13[[#This Row],[Pуст, кВт]]*Таблица13[[#This Row],[Kи]]</f>
        <v>2</v>
      </c>
      <c r="O316" s="2">
        <f>IF(Таблица13[[#This Row],[Число фаз]]=1,J316/220/L316*M316*1000,J316/3/220/L316*M316*1000)</f>
        <v>9.4696969696969706</v>
      </c>
      <c r="P316" s="2" t="str">
        <f>Таблица13[[#This Row],[Коды щитков]] &amp; "/M" &amp; TEXT( Таблица13[[#This Row],[Номер АВ]], "00")</f>
        <v>/M01</v>
      </c>
      <c r="Q316" s="1" t="s">
        <v>63</v>
      </c>
      <c r="R316" s="1">
        <v>3</v>
      </c>
      <c r="S316" s="1">
        <v>2.5</v>
      </c>
      <c r="T316" s="1">
        <f>Таблица13[[#This Row],[Сечение фазного]]</f>
        <v>2.5</v>
      </c>
      <c r="U316" s="1">
        <v>20</v>
      </c>
      <c r="V316" s="2">
        <f>IF(Таблица13[[#This Row],[Число фаз]]=1,2*O316*(22.5/S316*L316+0.08*SIN(ACOS(L316)))*(U316/1000)*(100/220),SQRT(3)*O316*(22.5/S316*L316+0.08*SIN(ACOS(L316)))*(U316/1000)*(100/380))</f>
        <v>1.4914600550964188</v>
      </c>
      <c r="W3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/M01-2,0-9,5-20</v>
      </c>
      <c r="X316" s="1" t="str">
        <f>TEXT(Таблица13[[#This Row],[Потери]],"0,0") &amp; "-" &amp;Таблица13[[#This Row],[Полная марка кабеля]]</f>
        <v>1,5-ВВГнг(A)-LS-3x2,5</v>
      </c>
      <c r="Y316" s="1"/>
      <c r="Z31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17" spans="1:26" ht="45" x14ac:dyDescent="0.25">
      <c r="A317" s="9" t="s">
        <v>270</v>
      </c>
      <c r="B317" s="1">
        <v>316</v>
      </c>
      <c r="C317" s="4">
        <v>2</v>
      </c>
      <c r="D317" s="4" t="str">
        <f>"Acti9 iC60N C"&amp;Таблица13[[#This Row],[Номинал АВ]]&amp; " " &amp; Таблица13[[#This Row],[Число фаз]] &amp; "P"</f>
        <v>Acti9 iC60N C25 1P</v>
      </c>
      <c r="E317" s="1">
        <v>25</v>
      </c>
      <c r="F317" s="9"/>
      <c r="G317" s="1"/>
      <c r="H317" s="1" t="s">
        <v>73</v>
      </c>
      <c r="I317" s="3" t="s">
        <v>459</v>
      </c>
      <c r="J317" s="16">
        <v>2</v>
      </c>
      <c r="K317" s="1">
        <v>1</v>
      </c>
      <c r="L317" s="15">
        <v>0.96</v>
      </c>
      <c r="M317" s="1">
        <v>1</v>
      </c>
      <c r="N317" s="2">
        <f>Таблица13[[#This Row],[Pуст, кВт]]*Таблица13[[#This Row],[Kи]]</f>
        <v>2</v>
      </c>
      <c r="O317" s="2">
        <f>IF(Таблица13[[#This Row],[Число фаз]]=1,J317/220/L317*M317*1000,J317/3/220/L317*M317*1000)</f>
        <v>9.4696969696969706</v>
      </c>
      <c r="P317" s="2" t="str">
        <f>Таблица13[[#This Row],[Коды щитков]] &amp; "/M" &amp; TEXT( Таблица13[[#This Row],[Номер АВ]], "00")</f>
        <v>/M02</v>
      </c>
      <c r="Q317" s="1" t="s">
        <v>63</v>
      </c>
      <c r="R317" s="1">
        <v>3</v>
      </c>
      <c r="S317" s="1">
        <v>2.5</v>
      </c>
      <c r="T317" s="1">
        <f>Таблица13[[#This Row],[Сечение фазного]]</f>
        <v>2.5</v>
      </c>
      <c r="U317" s="1">
        <v>40</v>
      </c>
      <c r="V317" s="2">
        <f>IF(Таблица13[[#This Row],[Число фаз]]=1,2*O317*(22.5/S317*L317+0.08*SIN(ACOS(L317)))*(U317/1000)*(100/220),SQRT(3)*O317*(22.5/S317*L317+0.08*SIN(ACOS(L317)))*(U317/1000)*(100/380))</f>
        <v>2.9829201101928375</v>
      </c>
      <c r="W3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/M02-2,0-9,5-40</v>
      </c>
      <c r="X317" s="1" t="str">
        <f>TEXT(Таблица13[[#This Row],[Потери]],"0,0") &amp; "-" &amp;Таблица13[[#This Row],[Полная марка кабеля]]</f>
        <v>3,0-ВВГнг(A)-LS-3x2,5</v>
      </c>
      <c r="Y317" s="1"/>
      <c r="Z31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18" spans="1:26" x14ac:dyDescent="0.25">
      <c r="A318" s="9" t="s">
        <v>270</v>
      </c>
      <c r="B318" s="1">
        <v>317</v>
      </c>
      <c r="C318" s="4">
        <v>3</v>
      </c>
      <c r="D318" s="4" t="str">
        <f>"Acti9 DPN N Vigi C" &amp; Таблица13[[#This Row],[Номинал АВ]]&amp; " 1P+N 30 мА"</f>
        <v>Acti9 DPN N Vigi C25 1P+N 30 мА</v>
      </c>
      <c r="E318" s="1">
        <v>25</v>
      </c>
      <c r="F318" s="9"/>
      <c r="G318" s="1"/>
      <c r="H318" s="1" t="s">
        <v>72</v>
      </c>
      <c r="I318" s="1" t="s">
        <v>460</v>
      </c>
      <c r="J318" s="16">
        <v>2</v>
      </c>
      <c r="K318" s="1">
        <v>1</v>
      </c>
      <c r="L318" s="15">
        <v>0.96</v>
      </c>
      <c r="M318" s="1">
        <v>1</v>
      </c>
      <c r="N318" s="2">
        <f>Таблица13[[#This Row],[Pуст, кВт]]*Таблица13[[#This Row],[Kи]]</f>
        <v>2</v>
      </c>
      <c r="O318" s="2">
        <f>IF(Таблица13[[#This Row],[Число фаз]]=1,J318/220/L318*M318*1000,J318/3/220/L318*M318*1000)</f>
        <v>9.4696969696969706</v>
      </c>
      <c r="P318" s="2" t="str">
        <f>Таблица13[[#This Row],[Коды щитков]] &amp; "/M" &amp; TEXT( Таблица13[[#This Row],[Номер АВ]], "00")</f>
        <v>/M03</v>
      </c>
      <c r="Q318" s="1" t="s">
        <v>63</v>
      </c>
      <c r="R318" s="1">
        <v>3</v>
      </c>
      <c r="S318" s="1">
        <v>2.5</v>
      </c>
      <c r="T318" s="1">
        <f>Таблица13[[#This Row],[Сечение фазного]]</f>
        <v>2.5</v>
      </c>
      <c r="U318" s="1">
        <v>10</v>
      </c>
      <c r="V318" s="2">
        <f>IF(Таблица13[[#This Row],[Число фаз]]=1,2*O318*(22.5/S318*L318+0.08*SIN(ACOS(L318)))*(U318/1000)*(100/220),SQRT(3)*O318*(22.5/S318*L318+0.08*SIN(ACOS(L318)))*(U318/1000)*(100/380))</f>
        <v>0.74573002754820938</v>
      </c>
      <c r="W3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/M03-2,0-9,5-10</v>
      </c>
      <c r="X318" s="1" t="str">
        <f>TEXT(Таблица13[[#This Row],[Потери]],"0,0") &amp; "-" &amp;Таблица13[[#This Row],[Полная марка кабеля]]</f>
        <v>0,7-ВВГнг(A)-LS-3x2,5</v>
      </c>
      <c r="Y318" s="1"/>
      <c r="Z31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19" spans="1:26" x14ac:dyDescent="0.25">
      <c r="A319" s="9" t="s">
        <v>270</v>
      </c>
      <c r="B319" s="1">
        <v>318</v>
      </c>
      <c r="C319" s="4">
        <v>4</v>
      </c>
      <c r="D319" s="4" t="str">
        <f>"Acti9 DPN N Vigi C" &amp; Таблица13[[#This Row],[Номинал АВ]]&amp; " 1P+N 30 мА"</f>
        <v>Acti9 DPN N Vigi C25 1P+N 30 мА</v>
      </c>
      <c r="E319" s="1">
        <v>25</v>
      </c>
      <c r="F319" s="9"/>
      <c r="G319" s="1"/>
      <c r="H319" s="1" t="s">
        <v>72</v>
      </c>
      <c r="I319" s="1" t="s">
        <v>461</v>
      </c>
      <c r="J319" s="16">
        <v>0.5</v>
      </c>
      <c r="K319" s="1">
        <v>1</v>
      </c>
      <c r="L319" s="15">
        <v>0.96</v>
      </c>
      <c r="M319" s="1">
        <v>1</v>
      </c>
      <c r="N319" s="2">
        <f>Таблица13[[#This Row],[Pуст, кВт]]*Таблица13[[#This Row],[Kи]]</f>
        <v>0.5</v>
      </c>
      <c r="O319" s="2">
        <f>IF(Таблица13[[#This Row],[Число фаз]]=1,J319/220/L319*M319*1000,J319/3/220/L319*M319*1000)</f>
        <v>2.3674242424242427</v>
      </c>
      <c r="P319" s="2" t="str">
        <f>Таблица13[[#This Row],[Коды щитков]] &amp; "/M" &amp; TEXT( Таблица13[[#This Row],[Номер АВ]], "00")</f>
        <v>/M04</v>
      </c>
      <c r="Q319" s="1" t="s">
        <v>63</v>
      </c>
      <c r="R319" s="1">
        <v>3</v>
      </c>
      <c r="S319" s="1">
        <v>2.5</v>
      </c>
      <c r="T319" s="1">
        <f>Таблица13[[#This Row],[Сечение фазного]]</f>
        <v>2.5</v>
      </c>
      <c r="U319" s="1">
        <v>30</v>
      </c>
      <c r="V319" s="2">
        <f>IF(Таблица13[[#This Row],[Число фаз]]=1,2*O319*(22.5/S319*L319+0.08*SIN(ACOS(L319)))*(U319/1000)*(100/220),SQRT(3)*O319*(22.5/S319*L319+0.08*SIN(ACOS(L319)))*(U319/1000)*(100/380))</f>
        <v>0.55929752066115701</v>
      </c>
      <c r="W3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/M04-0,5-2,4-30</v>
      </c>
      <c r="X319" s="1" t="str">
        <f>TEXT(Таблица13[[#This Row],[Потери]],"0,0") &amp; "-" &amp;Таблица13[[#This Row],[Полная марка кабеля]]</f>
        <v>0,6-ВВГнг(A)-LS-3x2,5</v>
      </c>
      <c r="Y319" s="1"/>
      <c r="Z31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20" spans="1:26" x14ac:dyDescent="0.25">
      <c r="A320" s="9" t="s">
        <v>270</v>
      </c>
      <c r="B320" s="1">
        <v>319</v>
      </c>
      <c r="C320" s="4">
        <v>5</v>
      </c>
      <c r="D320" s="4" t="str">
        <f>"Acti9 iC60N C"&amp;Таблица13[[#This Row],[Номинал АВ]]&amp; " " &amp; Таблица13[[#This Row],[Число фаз]] &amp; "P"</f>
        <v>Acti9 iC60N C25 1P</v>
      </c>
      <c r="E320" s="1">
        <v>25</v>
      </c>
      <c r="F320" s="9"/>
      <c r="G320" s="1"/>
      <c r="H320" s="1" t="s">
        <v>73</v>
      </c>
      <c r="I320" s="1" t="s">
        <v>462</v>
      </c>
      <c r="J320" s="16">
        <v>0.5</v>
      </c>
      <c r="K320" s="1">
        <v>1</v>
      </c>
      <c r="L320" s="15">
        <v>0.96</v>
      </c>
      <c r="M320" s="1">
        <v>1</v>
      </c>
      <c r="N320" s="2">
        <f>Таблица13[[#This Row],[Pуст, кВт]]*Таблица13[[#This Row],[Kи]]</f>
        <v>0.5</v>
      </c>
      <c r="O320" s="2">
        <f>IF(Таблица13[[#This Row],[Число фаз]]=1,J320/220/L320*M320*1000,J320/3/220/L320*M320*1000)</f>
        <v>2.3674242424242427</v>
      </c>
      <c r="P320" s="2" t="str">
        <f>Таблица13[[#This Row],[Коды щитков]] &amp; "/M" &amp; TEXT( Таблица13[[#This Row],[Номер АВ]], "00")</f>
        <v>/M05</v>
      </c>
      <c r="Q320" s="1" t="s">
        <v>63</v>
      </c>
      <c r="R320" s="1">
        <v>3</v>
      </c>
      <c r="S320" s="1">
        <v>2.5</v>
      </c>
      <c r="T320" s="1">
        <f>Таблица13[[#This Row],[Сечение фазного]]</f>
        <v>2.5</v>
      </c>
      <c r="U320" s="1">
        <v>30</v>
      </c>
      <c r="V320" s="2">
        <f>IF(Таблица13[[#This Row],[Число фаз]]=1,2*O320*(22.5/S320*L320+0.08*SIN(ACOS(L320)))*(U320/1000)*(100/220),SQRT(3)*O320*(22.5/S320*L320+0.08*SIN(ACOS(L320)))*(U320/1000)*(100/380))</f>
        <v>0.55929752066115701</v>
      </c>
      <c r="W3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/M05-0,5-2,4-30</v>
      </c>
      <c r="X320" s="1" t="str">
        <f>TEXT(Таблица13[[#This Row],[Потери]],"0,0") &amp; "-" &amp;Таблица13[[#This Row],[Полная марка кабеля]]</f>
        <v>0,6-ВВГнг(A)-LS-3x2,5</v>
      </c>
      <c r="Y320" s="1"/>
      <c r="Z32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21" spans="1:26" x14ac:dyDescent="0.25">
      <c r="A321" s="9" t="s">
        <v>270</v>
      </c>
      <c r="B321" s="1">
        <v>320</v>
      </c>
      <c r="C321" s="4">
        <v>6</v>
      </c>
      <c r="D321" s="4" t="str">
        <f>"Acti9 DPN N Vigi C" &amp; Таблица13[[#This Row],[Номинал АВ]]&amp; " 1P+N 30 мА"</f>
        <v>Acti9 DPN N Vigi C25 1P+N 30 мА</v>
      </c>
      <c r="E321" s="1">
        <v>25</v>
      </c>
      <c r="F321" s="9"/>
      <c r="G321" s="1"/>
      <c r="H321" s="1" t="s">
        <v>72</v>
      </c>
      <c r="I321" s="1" t="s">
        <v>463</v>
      </c>
      <c r="J321" s="16">
        <v>0.5</v>
      </c>
      <c r="K321" s="1">
        <v>1</v>
      </c>
      <c r="L321" s="15">
        <v>0.96</v>
      </c>
      <c r="M321" s="1">
        <v>1</v>
      </c>
      <c r="N321" s="2">
        <f>Таблица13[[#This Row],[Pуст, кВт]]*Таблица13[[#This Row],[Kи]]</f>
        <v>0.5</v>
      </c>
      <c r="O321" s="2">
        <f>IF(Таблица13[[#This Row],[Число фаз]]=1,J321/220/L321*M321*1000,J321/3/220/L321*M321*1000)</f>
        <v>2.3674242424242427</v>
      </c>
      <c r="P321" s="2" t="str">
        <f>Таблица13[[#This Row],[Коды щитков]] &amp; "/M" &amp; TEXT( Таблица13[[#This Row],[Номер АВ]], "00")</f>
        <v>/M06</v>
      </c>
      <c r="Q321" s="1" t="s">
        <v>63</v>
      </c>
      <c r="R321" s="1">
        <v>3</v>
      </c>
      <c r="S321" s="1">
        <v>2.5</v>
      </c>
      <c r="T321" s="1">
        <f>Таблица13[[#This Row],[Сечение фазного]]</f>
        <v>2.5</v>
      </c>
      <c r="U321" s="1">
        <v>30</v>
      </c>
      <c r="V321" s="2">
        <f>IF(Таблица13[[#This Row],[Число фаз]]=1,2*O321*(22.5/S321*L321+0.08*SIN(ACOS(L321)))*(U321/1000)*(100/220),SQRT(3)*O321*(22.5/S321*L321+0.08*SIN(ACOS(L321)))*(U321/1000)*(100/380))</f>
        <v>0.55929752066115701</v>
      </c>
      <c r="W3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/M06-0,5-2,4-30</v>
      </c>
      <c r="X321" s="1" t="str">
        <f>TEXT(Таблица13[[#This Row],[Потери]],"0,0") &amp; "-" &amp;Таблица13[[#This Row],[Полная марка кабеля]]</f>
        <v>0,6-ВВГнг(A)-LS-3x2,5</v>
      </c>
      <c r="Y321" s="1"/>
      <c r="Z32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22" spans="1:26" x14ac:dyDescent="0.25">
      <c r="A322" s="9" t="s">
        <v>270</v>
      </c>
      <c r="B322" s="1">
        <v>321</v>
      </c>
      <c r="C322" s="4">
        <v>7</v>
      </c>
      <c r="D322" s="4" t="str">
        <f>"Acti9 iC60N C"&amp;Таблица13[[#This Row],[Номинал АВ]]&amp; " " &amp; Таблица13[[#This Row],[Число фаз]] &amp; "P"</f>
        <v>Acti9 iC60N C10 1P</v>
      </c>
      <c r="E322" s="1">
        <v>10</v>
      </c>
      <c r="F322" s="9"/>
      <c r="G322" s="1"/>
      <c r="H322" s="1" t="s">
        <v>73</v>
      </c>
      <c r="I322" s="1" t="s">
        <v>464</v>
      </c>
      <c r="J322" s="16">
        <v>0.5</v>
      </c>
      <c r="K322" s="1">
        <v>1</v>
      </c>
      <c r="L322" s="15">
        <v>0.96</v>
      </c>
      <c r="M322" s="1">
        <v>1</v>
      </c>
      <c r="N322" s="2">
        <f>Таблица13[[#This Row],[Pуст, кВт]]*Таблица13[[#This Row],[Kи]]</f>
        <v>0.5</v>
      </c>
      <c r="O322" s="2">
        <f>IF(Таблица13[[#This Row],[Число фаз]]=1,J322/220/L322*M322*1000,J322/3/220/L322*M322*1000)</f>
        <v>2.3674242424242427</v>
      </c>
      <c r="P322" s="2" t="str">
        <f>Таблица13[[#This Row],[Коды щитков]] &amp; "/M" &amp; TEXT( Таблица13[[#This Row],[Номер АВ]], "00")</f>
        <v>/M07</v>
      </c>
      <c r="Q322" s="1" t="s">
        <v>63</v>
      </c>
      <c r="R322" s="1">
        <v>3</v>
      </c>
      <c r="S322" s="1">
        <v>1.5</v>
      </c>
      <c r="T322" s="1">
        <f>Таблица13[[#This Row],[Сечение фазного]]</f>
        <v>1.5</v>
      </c>
      <c r="U322" s="1">
        <v>30</v>
      </c>
      <c r="V322" s="2">
        <f>IF(Таблица13[[#This Row],[Число фаз]]=1,2*O322*(22.5/S322*L322+0.08*SIN(ACOS(L322)))*(U322/1000)*(100/220),SQRT(3)*O322*(22.5/S322*L322+0.08*SIN(ACOS(L322)))*(U322/1000)*(100/380))</f>
        <v>0.93119834710743787</v>
      </c>
      <c r="W3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/M07-0,5-2,4-30</v>
      </c>
      <c r="X322" s="1" t="str">
        <f>TEXT(Таблица13[[#This Row],[Потери]],"0,0") &amp; "-" &amp;Таблица13[[#This Row],[Полная марка кабеля]]</f>
        <v>0,9-ВВГнг(A)-LS-3x1,5</v>
      </c>
      <c r="Y322" s="1"/>
      <c r="Z32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23" spans="1:26" x14ac:dyDescent="0.25">
      <c r="A323" s="9" t="s">
        <v>270</v>
      </c>
      <c r="B323" s="1">
        <v>322</v>
      </c>
      <c r="C323" s="4">
        <v>8</v>
      </c>
      <c r="D323" s="4" t="str">
        <f>"Acti9 iC60N C"&amp;Таблица13[[#This Row],[Номинал АВ]]&amp; " " &amp; Таблица13[[#This Row],[Число фаз]] &amp; "P"</f>
        <v>Acti9 iC60N C10 1P</v>
      </c>
      <c r="E323" s="1">
        <v>10</v>
      </c>
      <c r="F323" s="9"/>
      <c r="G323" s="1"/>
      <c r="H323" s="1" t="s">
        <v>475</v>
      </c>
      <c r="I323" s="1" t="s">
        <v>465</v>
      </c>
      <c r="J323" s="16">
        <v>0.5</v>
      </c>
      <c r="K323" s="1">
        <v>1</v>
      </c>
      <c r="L323" s="15">
        <v>0.96</v>
      </c>
      <c r="M323" s="1">
        <v>1</v>
      </c>
      <c r="N323" s="2">
        <f>Таблица13[[#This Row],[Pуст, кВт]]*Таблица13[[#This Row],[Kи]]</f>
        <v>0.5</v>
      </c>
      <c r="O323" s="2">
        <f>IF(Таблица13[[#This Row],[Число фаз]]=1,J323/220/L323*M323*1000,J323/3/220/L323*M323*1000)</f>
        <v>2.3674242424242427</v>
      </c>
      <c r="P323" s="2" t="str">
        <f>Таблица13[[#This Row],[Коды щитков]] &amp; "/M" &amp; TEXT( Таблица13[[#This Row],[Номер АВ]], "00")</f>
        <v>/M08</v>
      </c>
      <c r="Q323" s="1" t="s">
        <v>63</v>
      </c>
      <c r="R323" s="1">
        <v>3</v>
      </c>
      <c r="S323" s="1">
        <v>1.5</v>
      </c>
      <c r="T323" s="1">
        <f>Таблица13[[#This Row],[Сечение фазного]]</f>
        <v>1.5</v>
      </c>
      <c r="U323" s="1">
        <v>30</v>
      </c>
      <c r="V323" s="2">
        <f>IF(Таблица13[[#This Row],[Число фаз]]=1,2*O323*(22.5/S323*L323+0.08*SIN(ACOS(L323)))*(U323/1000)*(100/220),SQRT(3)*O323*(22.5/S323*L323+0.08*SIN(ACOS(L323)))*(U323/1000)*(100/380))</f>
        <v>0.93119834710743787</v>
      </c>
      <c r="W3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/M08-0,5-2,4-30</v>
      </c>
      <c r="X323" s="1" t="str">
        <f>TEXT(Таблица13[[#This Row],[Потери]],"0,0") &amp; "-" &amp;Таблица13[[#This Row],[Полная марка кабеля]]</f>
        <v>0,9-ВВГнг(A)-LS-3x1,5</v>
      </c>
      <c r="Y323" s="1"/>
      <c r="Z32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24" spans="1:26" x14ac:dyDescent="0.25">
      <c r="A324" s="9" t="s">
        <v>246</v>
      </c>
      <c r="B324" s="1">
        <v>323</v>
      </c>
      <c r="C324" s="4">
        <v>1</v>
      </c>
      <c r="D324" s="4" t="str">
        <f>"Acti9 iC60N C"&amp;Таблица13[[#This Row],[Номинал АВ]]&amp; " " &amp; Таблица13[[#This Row],[Число фаз]] &amp; "P"</f>
        <v>Acti9 iC60N C10 1P</v>
      </c>
      <c r="E324" s="1">
        <v>10</v>
      </c>
      <c r="F324" s="9"/>
      <c r="G324" s="1"/>
      <c r="H324" s="1"/>
      <c r="I324" s="1" t="s">
        <v>277</v>
      </c>
      <c r="J324" s="16">
        <v>1</v>
      </c>
      <c r="K324" s="1">
        <v>1</v>
      </c>
      <c r="L324" s="15">
        <v>0.96</v>
      </c>
      <c r="M324" s="1">
        <v>1</v>
      </c>
      <c r="N324" s="2">
        <f>Таблица13[[#This Row],[Pуст, кВт]]*Таблица13[[#This Row],[Kи]]</f>
        <v>1</v>
      </c>
      <c r="O324" s="2">
        <f>IF(Таблица13[[#This Row],[Число фаз]]=1,J324/220/L324*M324*1000,J324/3/220/L324*M324*1000)</f>
        <v>4.7348484848484853</v>
      </c>
      <c r="P324" s="2" t="str">
        <f>Таблица13[[#This Row],[Коды щитков]] &amp; "/M" &amp; TEXT( Таблица13[[#This Row],[Номер АВ]], "00")</f>
        <v>/M01</v>
      </c>
      <c r="Q324" s="1" t="s">
        <v>63</v>
      </c>
      <c r="R324" s="1">
        <v>3</v>
      </c>
      <c r="S324" s="1">
        <v>2.5</v>
      </c>
      <c r="T324" s="1">
        <f>Таблица13[[#This Row],[Сечение фазного]]</f>
        <v>2.5</v>
      </c>
      <c r="U324" s="1">
        <v>70</v>
      </c>
      <c r="V324" s="2">
        <f>IF(Таблица13[[#This Row],[Число фаз]]=1,2*O324*(22.5/S324*L324+0.08*SIN(ACOS(L324)))*(U324/1000)*(100/220),SQRT(3)*O324*(22.5/S324*L324+0.08*SIN(ACOS(L324)))*(U324/1000)*(100/380))</f>
        <v>2.610055096418733</v>
      </c>
      <c r="W3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/M01-1,0-4,7-70</v>
      </c>
      <c r="X324" s="1" t="str">
        <f>TEXT(Таблица13[[#This Row],[Потери]],"0,0") &amp; "-" &amp;Таблица13[[#This Row],[Полная марка кабеля]]</f>
        <v>2,6-ВВГнг(A)-LS-3x2,5</v>
      </c>
      <c r="Y324" s="1"/>
      <c r="Z32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25" spans="1:26" x14ac:dyDescent="0.25">
      <c r="A325" s="9" t="s">
        <v>246</v>
      </c>
      <c r="B325" s="1">
        <v>324</v>
      </c>
      <c r="C325" s="4">
        <v>2</v>
      </c>
      <c r="D325" s="4" t="str">
        <f>"Acti9 iC60N C"&amp;Таблица13[[#This Row],[Номинал АВ]]&amp; " " &amp; Таблица13[[#This Row],[Число фаз]] &amp; "P"</f>
        <v>Acti9 iC60N C10 1P</v>
      </c>
      <c r="E325" s="1">
        <v>10</v>
      </c>
      <c r="F325" s="9"/>
      <c r="G325" s="1"/>
      <c r="H325" s="1"/>
      <c r="I325" s="1" t="s">
        <v>498</v>
      </c>
      <c r="K325" s="1">
        <v>1</v>
      </c>
      <c r="N325" s="2">
        <f>Таблица13[[#This Row],[Pуст, кВт]]*Таблица13[[#This Row],[Kи]]</f>
        <v>0</v>
      </c>
      <c r="O325" s="2" t="e">
        <f>IF(Таблица13[[#This Row],[Число фаз]]=1,J325/220/L325*M325*1000,J325/3/220/L325*M325*1000)</f>
        <v>#DIV/0!</v>
      </c>
      <c r="P325" s="2" t="str">
        <f>Таблица13[[#This Row],[Коды щитков]] &amp; "/M" &amp; TEXT( Таблица13[[#This Row],[Номер АВ]], "00")</f>
        <v>/M02</v>
      </c>
      <c r="Q325" s="1"/>
      <c r="R325" s="1">
        <v>3</v>
      </c>
      <c r="S325" s="1"/>
      <c r="T325" s="1">
        <f>Таблица13[[#This Row],[Сечение фазного]]</f>
        <v>0</v>
      </c>
      <c r="U325" s="1"/>
      <c r="V325" s="2" t="e">
        <f>IF(Таблица13[[#This Row],[Число фаз]]=1,2*O325*(22.5/S325*L325+0.08*SIN(ACOS(L325)))*(U325/1000)*(100/220),SQRT(3)*O325*(22.5/S325*L325+0.08*SIN(ACOS(L325)))*(U325/1000)*(100/380))</f>
        <v>#DIV/0!</v>
      </c>
      <c r="W325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325" s="1" t="e">
        <f>TEXT(Таблица13[[#This Row],[Потери]],"0,0") &amp; "-" &amp;Таблица13[[#This Row],[Полная марка кабеля]]</f>
        <v>#DIV/0!</v>
      </c>
      <c r="Y325" s="1"/>
      <c r="Z32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-3x</v>
      </c>
    </row>
    <row r="326" spans="1:26" x14ac:dyDescent="0.25">
      <c r="A326" s="9" t="s">
        <v>246</v>
      </c>
      <c r="B326" s="1">
        <v>325</v>
      </c>
      <c r="C326" s="4">
        <v>3</v>
      </c>
      <c r="D326" s="4" t="str">
        <f>"Acti9 iC60N C"&amp;Таблица13[[#This Row],[Номинал АВ]]&amp; " " &amp; Таблица13[[#This Row],[Число фаз]] &amp; "P"</f>
        <v>Acti9 iC60N C10 1P</v>
      </c>
      <c r="E326" s="1">
        <v>10</v>
      </c>
      <c r="F326" s="9"/>
      <c r="G326" s="1"/>
      <c r="H326" s="1"/>
      <c r="I326" s="1" t="s">
        <v>498</v>
      </c>
      <c r="K326" s="1">
        <v>1</v>
      </c>
      <c r="N326" s="2">
        <f>Таблица13[[#This Row],[Pуст, кВт]]*Таблица13[[#This Row],[Kи]]</f>
        <v>0</v>
      </c>
      <c r="O326" s="2" t="e">
        <f>IF(Таблица13[[#This Row],[Число фаз]]=1,J326/220/L326*M326*1000,J326/3/220/L326*M326*1000)</f>
        <v>#DIV/0!</v>
      </c>
      <c r="P326" s="2" t="str">
        <f>Таблица13[[#This Row],[Коды щитков]] &amp; "/M" &amp; TEXT( Таблица13[[#This Row],[Номер АВ]], "00")</f>
        <v>/M03</v>
      </c>
      <c r="Q326" s="1"/>
      <c r="R326" s="1">
        <v>3</v>
      </c>
      <c r="S326" s="1"/>
      <c r="T326" s="1">
        <f>Таблица13[[#This Row],[Сечение фазного]]</f>
        <v>0</v>
      </c>
      <c r="U326" s="1"/>
      <c r="V326" s="2" t="e">
        <f>IF(Таблица13[[#This Row],[Число фаз]]=1,2*O326*(22.5/S326*L326+0.08*SIN(ACOS(L326)))*(U326/1000)*(100/220),SQRT(3)*O326*(22.5/S326*L326+0.08*SIN(ACOS(L326)))*(U326/1000)*(100/380))</f>
        <v>#DIV/0!</v>
      </c>
      <c r="W326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326" s="1" t="e">
        <f>TEXT(Таблица13[[#This Row],[Потери]],"0,0") &amp; "-" &amp;Таблица13[[#This Row],[Полная марка кабеля]]</f>
        <v>#DIV/0!</v>
      </c>
      <c r="Y326" s="1"/>
      <c r="Z32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-3x</v>
      </c>
    </row>
    <row r="327" spans="1:26" x14ac:dyDescent="0.25">
      <c r="A327" s="9" t="s">
        <v>246</v>
      </c>
      <c r="B327" s="1">
        <v>326</v>
      </c>
      <c r="C327" s="4">
        <v>4</v>
      </c>
      <c r="D327" s="4" t="str">
        <f>"Acti9 iC60N C"&amp;Таблица13[[#This Row],[Номинал АВ]]&amp; " " &amp; Таблица13[[#This Row],[Число фаз]] &amp; "P"</f>
        <v>Acti9 iC60N C10 1P</v>
      </c>
      <c r="E327" s="1">
        <v>10</v>
      </c>
      <c r="F327" s="9"/>
      <c r="G327" s="1"/>
      <c r="H327" s="1"/>
      <c r="I327" s="1" t="s">
        <v>466</v>
      </c>
      <c r="J327" s="16">
        <v>0.5</v>
      </c>
      <c r="K327" s="1">
        <v>1</v>
      </c>
      <c r="L327" s="15">
        <v>0.96</v>
      </c>
      <c r="M327" s="1">
        <v>1</v>
      </c>
      <c r="N327" s="2">
        <f>Таблица13[[#This Row],[Pуст, кВт]]*Таблица13[[#This Row],[Kи]]</f>
        <v>0.5</v>
      </c>
      <c r="O327" s="2">
        <f>IF(Таблица13[[#This Row],[Число фаз]]=1,J327/220/L327*M327*1000,J327/3/220/L327*M327*1000)</f>
        <v>2.3674242424242427</v>
      </c>
      <c r="P327" s="2" t="str">
        <f>Таблица13[[#This Row],[Коды щитков]] &amp; "/M" &amp; TEXT( Таблица13[[#This Row],[Номер АВ]], "00")</f>
        <v>/M04</v>
      </c>
      <c r="Q327" s="1" t="s">
        <v>63</v>
      </c>
      <c r="R327" s="1">
        <v>3</v>
      </c>
      <c r="S327" s="1">
        <v>2.5</v>
      </c>
      <c r="T327" s="1">
        <f>Таблица13[[#This Row],[Сечение фазного]]</f>
        <v>2.5</v>
      </c>
      <c r="U327" s="1">
        <v>50</v>
      </c>
      <c r="V327" s="2">
        <f>IF(Таблица13[[#This Row],[Число фаз]]=1,2*O327*(22.5/S327*L327+0.08*SIN(ACOS(L327)))*(U327/1000)*(100/220),SQRT(3)*O327*(22.5/S327*L327+0.08*SIN(ACOS(L327)))*(U327/1000)*(100/380))</f>
        <v>0.93216253443526165</v>
      </c>
      <c r="W3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/M04-0,5-2,4-50</v>
      </c>
      <c r="X327" s="1" t="str">
        <f>TEXT(Таблица13[[#This Row],[Потери]],"0,0") &amp; "-" &amp;Таблица13[[#This Row],[Полная марка кабеля]]</f>
        <v>0,9-ВВГнг(A)-LS-3x2,5</v>
      </c>
      <c r="Y327" s="1"/>
      <c r="Z32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28" spans="1:26" x14ac:dyDescent="0.25">
      <c r="A328" s="9" t="s">
        <v>246</v>
      </c>
      <c r="B328" s="1">
        <v>327</v>
      </c>
      <c r="C328" s="4">
        <v>5</v>
      </c>
      <c r="D328" s="4" t="str">
        <f>"Acti9 iC60N C"&amp;Таблица13[[#This Row],[Номинал АВ]]&amp; " " &amp; Таблица13[[#This Row],[Число фаз]] &amp; "P"</f>
        <v>Acti9 iC60N C32 1P</v>
      </c>
      <c r="E328" s="1">
        <v>32</v>
      </c>
      <c r="F328" s="9"/>
      <c r="G328" s="1"/>
      <c r="H328" s="1"/>
      <c r="I328" s="1" t="s">
        <v>467</v>
      </c>
      <c r="J328" s="16">
        <v>4</v>
      </c>
      <c r="K328" s="1">
        <v>1</v>
      </c>
      <c r="L328" s="15">
        <v>0.96</v>
      </c>
      <c r="M328" s="1">
        <v>1</v>
      </c>
      <c r="N328" s="2">
        <f>Таблица13[[#This Row],[Pуст, кВт]]*Таблица13[[#This Row],[Kи]]</f>
        <v>4</v>
      </c>
      <c r="O328" s="2">
        <f>IF(Таблица13[[#This Row],[Число фаз]]=1,J328/220/L328*M328*1000,J328/3/220/L328*M328*1000)</f>
        <v>18.939393939393941</v>
      </c>
      <c r="P328" s="2" t="str">
        <f>Таблица13[[#This Row],[Коды щитков]] &amp; "/M" &amp; TEXT( Таблица13[[#This Row],[Номер АВ]], "00")</f>
        <v>/M05</v>
      </c>
      <c r="Q328" s="1" t="s">
        <v>63</v>
      </c>
      <c r="R328" s="1">
        <v>3</v>
      </c>
      <c r="S328" s="1">
        <v>4</v>
      </c>
      <c r="T328" s="1">
        <f>Таблица13[[#This Row],[Сечение фазного]]</f>
        <v>4</v>
      </c>
      <c r="U328" s="1">
        <v>30</v>
      </c>
      <c r="V328" s="2">
        <f>IF(Таблица13[[#This Row],[Число фаз]]=1,2*O328*(22.5/S328*L328+0.08*SIN(ACOS(L328)))*(U328/1000)*(100/220),SQRT(3)*O328*(22.5/S328*L328+0.08*SIN(ACOS(L328)))*(U328/1000)*(100/380))</f>
        <v>2.800826446280992</v>
      </c>
      <c r="W32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/M05-4,0-18,9-30</v>
      </c>
      <c r="X328" s="1" t="str">
        <f>TEXT(Таблица13[[#This Row],[Потери]],"0,0") &amp; "-" &amp;Таблица13[[#This Row],[Полная марка кабеля]]</f>
        <v>2,8-ВВГнг(A)-LS-3x4</v>
      </c>
      <c r="Y328" s="1"/>
      <c r="Z32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329" spans="1:26" x14ac:dyDescent="0.25">
      <c r="A329" s="9" t="s">
        <v>246</v>
      </c>
      <c r="B329" s="1">
        <v>328</v>
      </c>
      <c r="C329" s="4">
        <v>6</v>
      </c>
      <c r="D329" s="4" t="str">
        <f>"Acti9 iC60N C"&amp;Таблица13[[#This Row],[Номинал АВ]]&amp; " " &amp; Таблица13[[#This Row],[Число фаз]] &amp; "P"</f>
        <v>Acti9 iC60N C50 1P</v>
      </c>
      <c r="E329" s="1">
        <v>50</v>
      </c>
      <c r="F329" s="9"/>
      <c r="G329" s="1"/>
      <c r="H329" s="1"/>
      <c r="I329" s="1" t="s">
        <v>498</v>
      </c>
      <c r="K329" s="1">
        <v>1</v>
      </c>
      <c r="N329" s="2">
        <f>Таблица13[[#This Row],[Pуст, кВт]]*Таблица13[[#This Row],[Kи]]</f>
        <v>0</v>
      </c>
      <c r="O329" s="2" t="e">
        <f>IF(Таблица13[[#This Row],[Число фаз]]=1,J329/220/L329*M329*1000,J329/3/220/L329*M329*1000)</f>
        <v>#DIV/0!</v>
      </c>
      <c r="P329" s="2" t="str">
        <f>Таблица13[[#This Row],[Коды щитков]] &amp; "/M" &amp; TEXT( Таблица13[[#This Row],[Номер АВ]], "00")</f>
        <v>/M06</v>
      </c>
      <c r="Q329" s="1"/>
      <c r="R329" s="1">
        <v>3</v>
      </c>
      <c r="S329" s="1"/>
      <c r="T329" s="1">
        <f>Таблица13[[#This Row],[Сечение фазного]]</f>
        <v>0</v>
      </c>
      <c r="U329" s="1"/>
      <c r="V329" s="2" t="e">
        <f>IF(Таблица13[[#This Row],[Число фаз]]=1,2*O329*(22.5/S329*L329+0.08*SIN(ACOS(L329)))*(U329/1000)*(100/220),SQRT(3)*O329*(22.5/S329*L329+0.08*SIN(ACOS(L329)))*(U329/1000)*(100/380))</f>
        <v>#DIV/0!</v>
      </c>
      <c r="W329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329" s="1" t="e">
        <f>TEXT(Таблица13[[#This Row],[Потери]],"0,0") &amp; "-" &amp;Таблица13[[#This Row],[Полная марка кабеля]]</f>
        <v>#DIV/0!</v>
      </c>
      <c r="Y329" s="1"/>
      <c r="Z32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-3x</v>
      </c>
    </row>
    <row r="330" spans="1:26" x14ac:dyDescent="0.25">
      <c r="A330" s="9" t="s">
        <v>246</v>
      </c>
      <c r="B330" s="1">
        <v>329</v>
      </c>
      <c r="C330" s="4">
        <v>7</v>
      </c>
      <c r="D330" s="4" t="str">
        <f>"Acti9 iC60N C"&amp;Таблица13[[#This Row],[Номинал АВ]]&amp; " " &amp; Таблица13[[#This Row],[Число фаз]] &amp; "P"</f>
        <v>Acti9 iC60N C50 1P</v>
      </c>
      <c r="E330" s="1">
        <v>50</v>
      </c>
      <c r="F330" s="9"/>
      <c r="G330" s="1"/>
      <c r="H330" s="1"/>
      <c r="I330" s="1" t="s">
        <v>498</v>
      </c>
      <c r="K330" s="1">
        <v>1</v>
      </c>
      <c r="N330" s="2">
        <f>Таблица13[[#This Row],[Pуст, кВт]]*Таблица13[[#This Row],[Kи]]</f>
        <v>0</v>
      </c>
      <c r="O330" s="2" t="e">
        <f>IF(Таблица13[[#This Row],[Число фаз]]=1,J330/220/L330*M330*1000,J330/3/220/L330*M330*1000)</f>
        <v>#DIV/0!</v>
      </c>
      <c r="P330" s="2" t="str">
        <f>Таблица13[[#This Row],[Коды щитков]] &amp; "/M" &amp; TEXT( Таблица13[[#This Row],[Номер АВ]], "00")</f>
        <v>/M07</v>
      </c>
      <c r="Q330" s="1"/>
      <c r="R330" s="1">
        <v>3</v>
      </c>
      <c r="S330" s="1"/>
      <c r="T330" s="1">
        <f>Таблица13[[#This Row],[Сечение фазного]]</f>
        <v>0</v>
      </c>
      <c r="U330" s="1"/>
      <c r="V330" s="2" t="e">
        <f>IF(Таблица13[[#This Row],[Число фаз]]=1,2*O330*(22.5/S330*L330+0.08*SIN(ACOS(L330)))*(U330/1000)*(100/220),SQRT(3)*O330*(22.5/S330*L330+0.08*SIN(ACOS(L330)))*(U330/1000)*(100/380))</f>
        <v>#DIV/0!</v>
      </c>
      <c r="W330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X330" s="1" t="e">
        <f>TEXT(Таблица13[[#This Row],[Потери]],"0,0") &amp; "-" &amp;Таблица13[[#This Row],[Полная марка кабеля]]</f>
        <v>#DIV/0!</v>
      </c>
      <c r="Y330" s="1"/>
      <c r="Z33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-3x</v>
      </c>
    </row>
    <row r="331" spans="1:26" x14ac:dyDescent="0.25">
      <c r="A331" s="9" t="s">
        <v>246</v>
      </c>
      <c r="B331" s="1">
        <v>330</v>
      </c>
      <c r="C331" s="4">
        <v>8</v>
      </c>
      <c r="D331" s="4" t="str">
        <f>"Acti9 iC60N C"&amp;Таблица13[[#This Row],[Номинал АВ]]&amp; " " &amp; Таблица13[[#This Row],[Число фаз]] &amp; "P"</f>
        <v>Acti9 iC60N C50 1P</v>
      </c>
      <c r="E331" s="1">
        <v>50</v>
      </c>
      <c r="F331" s="9"/>
      <c r="G331" s="1"/>
      <c r="H331" s="1"/>
      <c r="I331" s="1" t="s">
        <v>468</v>
      </c>
      <c r="J331" s="16">
        <v>5</v>
      </c>
      <c r="K331" s="1">
        <v>1</v>
      </c>
      <c r="L331" s="15">
        <v>0.96</v>
      </c>
      <c r="M331" s="1">
        <v>1</v>
      </c>
      <c r="N331" s="2">
        <f>Таблица13[[#This Row],[Pуст, кВт]]*Таблица13[[#This Row],[Kи]]</f>
        <v>5</v>
      </c>
      <c r="O331" s="2">
        <f>IF(Таблица13[[#This Row],[Число фаз]]=1,J331/220/L331*M331*1000,J331/3/220/L331*M331*1000)</f>
        <v>23.674242424242429</v>
      </c>
      <c r="P331" s="2" t="str">
        <f>Таблица13[[#This Row],[Коды щитков]] &amp; "/M" &amp; TEXT( Таблица13[[#This Row],[Номер АВ]], "00")</f>
        <v>/M08</v>
      </c>
      <c r="Q331" s="1" t="s">
        <v>63</v>
      </c>
      <c r="R331" s="1">
        <v>3</v>
      </c>
      <c r="S331" s="1">
        <v>6</v>
      </c>
      <c r="T331" s="1">
        <f>Таблица13[[#This Row],[Сечение фазного]]</f>
        <v>6</v>
      </c>
      <c r="U331" s="1">
        <v>20</v>
      </c>
      <c r="V331" s="2">
        <f>IF(Таблица13[[#This Row],[Число фаз]]=1,2*O331*(22.5/S331*L331+0.08*SIN(ACOS(L331)))*(U331/1000)*(100/220),SQRT(3)*O331*(22.5/S331*L331+0.08*SIN(ACOS(L331)))*(U331/1000)*(100/380))</f>
        <v>1.559228650137741</v>
      </c>
      <c r="W3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/M08-5,0-23,7-20</v>
      </c>
      <c r="X331" s="1" t="str">
        <f>TEXT(Таблица13[[#This Row],[Потери]],"0,0") &amp; "-" &amp;Таблица13[[#This Row],[Полная марка кабеля]]</f>
        <v>1,6-ВВГнг(A)-LS-3x6</v>
      </c>
      <c r="Y331" s="1"/>
      <c r="Z33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ВВГнг(A)-LS-3x6</v>
      </c>
    </row>
    <row r="332" spans="1:26" x14ac:dyDescent="0.25">
      <c r="A332" s="9" t="s">
        <v>246</v>
      </c>
      <c r="B332" s="1">
        <v>331</v>
      </c>
      <c r="C332" s="4">
        <v>9</v>
      </c>
      <c r="D332" s="4" t="str">
        <f>"Acti9 iC60N C"&amp;Таблица13[[#This Row],[Номинал АВ]]&amp; " " &amp; Таблица13[[#This Row],[Число фаз]] &amp; "P"</f>
        <v>Acti9 iC60N C50 1P</v>
      </c>
      <c r="E332" s="1">
        <v>50</v>
      </c>
      <c r="F332" s="9"/>
      <c r="G332" s="1"/>
      <c r="H332" s="1"/>
      <c r="I332" s="1" t="s">
        <v>469</v>
      </c>
      <c r="J332" s="16">
        <v>5</v>
      </c>
      <c r="K332" s="1">
        <v>1</v>
      </c>
      <c r="L332" s="15">
        <v>0.96</v>
      </c>
      <c r="M332" s="1">
        <v>1</v>
      </c>
      <c r="N332" s="2">
        <f>Таблица13[[#This Row],[Pуст, кВт]]*Таблица13[[#This Row],[Kи]]</f>
        <v>5</v>
      </c>
      <c r="O332" s="2">
        <f>IF(Таблица13[[#This Row],[Число фаз]]=1,J332/220/L332*M332*1000,J332/3/220/L332*M332*1000)</f>
        <v>23.674242424242429</v>
      </c>
      <c r="P332" s="2" t="str">
        <f>Таблица13[[#This Row],[Коды щитков]] &amp; "/M" &amp; TEXT( Таблица13[[#This Row],[Номер АВ]], "00")</f>
        <v>/M09</v>
      </c>
      <c r="Q332" s="1" t="s">
        <v>63</v>
      </c>
      <c r="R332" s="1">
        <v>3</v>
      </c>
      <c r="S332" s="1">
        <v>6</v>
      </c>
      <c r="T332" s="1">
        <f>Таблица13[[#This Row],[Сечение фазного]]</f>
        <v>6</v>
      </c>
      <c r="U332" s="1">
        <v>30</v>
      </c>
      <c r="V332" s="2">
        <f>IF(Таблица13[[#This Row],[Число фаз]]=1,2*O332*(22.5/S332*L332+0.08*SIN(ACOS(L332)))*(U332/1000)*(100/220),SQRT(3)*O332*(22.5/S332*L332+0.08*SIN(ACOS(L332)))*(U332/1000)*(100/380))</f>
        <v>2.3388429752066116</v>
      </c>
      <c r="W3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/M09-5,0-23,7-30</v>
      </c>
      <c r="X332" s="1" t="str">
        <f>TEXT(Таблица13[[#This Row],[Потери]],"0,0") &amp; "-" &amp;Таблица13[[#This Row],[Полная марка кабеля]]</f>
        <v>2,3-ВВГнг(A)-LS-3x6</v>
      </c>
      <c r="Y332" s="1"/>
      <c r="Z332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ВВГнг(A)-LS-3x6</v>
      </c>
    </row>
    <row r="333" spans="1:26" x14ac:dyDescent="0.25">
      <c r="A333" s="9" t="s">
        <v>246</v>
      </c>
      <c r="B333" s="1">
        <v>332</v>
      </c>
      <c r="C333" s="4">
        <v>10</v>
      </c>
      <c r="D333" s="4" t="str">
        <f>"Acti9 iC60N C"&amp;Таблица13[[#This Row],[Номинал АВ]]&amp; " " &amp; Таблица13[[#This Row],[Число фаз]] &amp; "P"</f>
        <v>Acti9 iC60N C50 1P</v>
      </c>
      <c r="E333" s="1">
        <v>50</v>
      </c>
      <c r="F333" s="9"/>
      <c r="G333" s="1"/>
      <c r="H333" s="1"/>
      <c r="I333" s="1" t="s">
        <v>470</v>
      </c>
      <c r="J333" s="16">
        <v>5</v>
      </c>
      <c r="K333" s="1">
        <v>1</v>
      </c>
      <c r="L333" s="15">
        <v>0.96</v>
      </c>
      <c r="M333" s="1">
        <v>1</v>
      </c>
      <c r="N333" s="2">
        <f>Таблица13[[#This Row],[Pуст, кВт]]*Таблица13[[#This Row],[Kи]]</f>
        <v>5</v>
      </c>
      <c r="O333" s="2">
        <f>IF(Таблица13[[#This Row],[Число фаз]]=1,J333/220/L333*M333*1000,J333/3/220/L333*M333*1000)</f>
        <v>23.674242424242429</v>
      </c>
      <c r="P333" s="2" t="str">
        <f>Таблица13[[#This Row],[Коды щитков]] &amp; "/M" &amp; TEXT( Таблица13[[#This Row],[Номер АВ]], "00")</f>
        <v>/M10</v>
      </c>
      <c r="Q333" s="1" t="s">
        <v>63</v>
      </c>
      <c r="R333" s="1">
        <v>3</v>
      </c>
      <c r="S333" s="1">
        <v>6</v>
      </c>
      <c r="T333" s="1">
        <f>Таблица13[[#This Row],[Сечение фазного]]</f>
        <v>6</v>
      </c>
      <c r="U333" s="1">
        <v>40</v>
      </c>
      <c r="V333" s="2">
        <f>IF(Таблица13[[#This Row],[Число фаз]]=1,2*O333*(22.5/S333*L333+0.08*SIN(ACOS(L333)))*(U333/1000)*(100/220),SQRT(3)*O333*(22.5/S333*L333+0.08*SIN(ACOS(L333)))*(U333/1000)*(100/380))</f>
        <v>3.1184573002754821</v>
      </c>
      <c r="W33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/M10-5,0-23,7-40</v>
      </c>
      <c r="X333" s="1" t="str">
        <f>TEXT(Таблица13[[#This Row],[Потери]],"0,0") &amp; "-" &amp;Таблица13[[#This Row],[Полная марка кабеля]]</f>
        <v>3,1-ВВГнг(A)-LS-3x6</v>
      </c>
      <c r="Y333" s="1"/>
      <c r="Z333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ВВГнг(A)-LS-3x6</v>
      </c>
    </row>
    <row r="334" spans="1:26" x14ac:dyDescent="0.25">
      <c r="A334" s="9" t="s">
        <v>246</v>
      </c>
      <c r="B334" s="1">
        <v>333</v>
      </c>
      <c r="C334" s="4">
        <v>11</v>
      </c>
      <c r="D334" s="4" t="str">
        <f>"Acti9 iC60N C"&amp;Таблица13[[#This Row],[Номинал АВ]]&amp; " " &amp; Таблица13[[#This Row],[Число фаз]] &amp; "P"</f>
        <v>Acti9 iC60N C63 1P</v>
      </c>
      <c r="E334" s="1">
        <v>63</v>
      </c>
      <c r="F334" s="9"/>
      <c r="G334" s="1"/>
      <c r="H334" s="1"/>
      <c r="I334" s="1" t="s">
        <v>471</v>
      </c>
      <c r="J334" s="16">
        <v>5</v>
      </c>
      <c r="K334" s="1">
        <v>1</v>
      </c>
      <c r="L334" s="15">
        <v>0.96</v>
      </c>
      <c r="M334" s="1">
        <v>1</v>
      </c>
      <c r="N334" s="2">
        <f>Таблица13[[#This Row],[Pуст, кВт]]*Таблица13[[#This Row],[Kи]]</f>
        <v>5</v>
      </c>
      <c r="O334" s="2">
        <f>IF(Таблица13[[#This Row],[Число фаз]]=1,J334/220/L334*M334*1000,J334/3/220/L334*M334*1000)</f>
        <v>23.674242424242429</v>
      </c>
      <c r="P334" s="2" t="str">
        <f>Таблица13[[#This Row],[Коды щитков]] &amp; "/M" &amp; TEXT( Таблица13[[#This Row],[Номер АВ]], "00")</f>
        <v>/M11</v>
      </c>
      <c r="Q334" s="1" t="s">
        <v>63</v>
      </c>
      <c r="R334" s="1">
        <v>3</v>
      </c>
      <c r="S334" s="1">
        <v>10</v>
      </c>
      <c r="T334" s="1">
        <f>Таблица13[[#This Row],[Сечение фазного]]</f>
        <v>10</v>
      </c>
      <c r="U334" s="1">
        <v>30</v>
      </c>
      <c r="V334" s="2">
        <f>IF(Таблица13[[#This Row],[Число фаз]]=1,2*O334*(22.5/S334*L334+0.08*SIN(ACOS(L334)))*(U334/1000)*(100/220),SQRT(3)*O334*(22.5/S334*L334+0.08*SIN(ACOS(L334)))*(U334/1000)*(100/380))</f>
        <v>1.4090909090909094</v>
      </c>
      <c r="W3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/M11-5,0-23,7-30</v>
      </c>
      <c r="X334" s="1" t="str">
        <f>TEXT(Таблица13[[#This Row],[Потери]],"0,0") &amp; "-" &amp;Таблица13[[#This Row],[Полная марка кабеля]]</f>
        <v>1,4-ВВГнг(A)-LS-3x10</v>
      </c>
      <c r="Y334" s="1"/>
      <c r="Z334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ВВГнг(A)-LS-3x10</v>
      </c>
    </row>
    <row r="335" spans="1:26" x14ac:dyDescent="0.25">
      <c r="A335" s="9" t="s">
        <v>246</v>
      </c>
      <c r="B335" s="1">
        <v>334</v>
      </c>
      <c r="C335" s="4">
        <v>12</v>
      </c>
      <c r="D335" s="4" t="str">
        <f>"Acti9 iC60N C"&amp;Таблица13[[#This Row],[Номинал АВ]]&amp; " " &amp; Таблица13[[#This Row],[Число фаз]] &amp; "P"</f>
        <v>Acti9 iC60N C50 1P</v>
      </c>
      <c r="E335" s="1">
        <v>50</v>
      </c>
      <c r="F335" s="9"/>
      <c r="G335" s="1"/>
      <c r="H335" s="1"/>
      <c r="I335" s="1" t="s">
        <v>472</v>
      </c>
      <c r="J335" s="16">
        <v>5</v>
      </c>
      <c r="K335" s="1">
        <v>1</v>
      </c>
      <c r="L335" s="15">
        <v>0.96</v>
      </c>
      <c r="M335" s="1">
        <v>1</v>
      </c>
      <c r="N335" s="2">
        <f>Таблица13[[#This Row],[Pуст, кВт]]*Таблица13[[#This Row],[Kи]]</f>
        <v>5</v>
      </c>
      <c r="O335" s="2">
        <f>IF(Таблица13[[#This Row],[Число фаз]]=1,J335/220/L335*M335*1000,J335/3/220/L335*M335*1000)</f>
        <v>23.674242424242429</v>
      </c>
      <c r="P335" s="2" t="str">
        <f>Таблица13[[#This Row],[Коды щитков]] &amp; "/M" &amp; TEXT( Таблица13[[#This Row],[Номер АВ]], "00")</f>
        <v>/M12</v>
      </c>
      <c r="Q335" s="1" t="s">
        <v>63</v>
      </c>
      <c r="R335" s="1">
        <v>3</v>
      </c>
      <c r="S335" s="1">
        <v>6</v>
      </c>
      <c r="T335" s="1">
        <f>Таблица13[[#This Row],[Сечение фазного]]</f>
        <v>6</v>
      </c>
      <c r="U335" s="1">
        <v>10</v>
      </c>
      <c r="V335" s="2">
        <f>IF(Таблица13[[#This Row],[Число фаз]]=1,2*O335*(22.5/S335*L335+0.08*SIN(ACOS(L335)))*(U335/1000)*(100/220),SQRT(3)*O335*(22.5/S335*L335+0.08*SIN(ACOS(L335)))*(U335/1000)*(100/380))</f>
        <v>0.77961432506887052</v>
      </c>
      <c r="W3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/M12-5,0-23,7-10</v>
      </c>
      <c r="X335" s="1" t="str">
        <f>TEXT(Таблица13[[#This Row],[Потери]],"0,0") &amp; "-" &amp;Таблица13[[#This Row],[Полная марка кабеля]]</f>
        <v>0,8-ВВГнг(A)-LS-3x6</v>
      </c>
      <c r="Y335" s="1"/>
      <c r="Z335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ВВГнг(A)-LS-3x6</v>
      </c>
    </row>
    <row r="336" spans="1:26" x14ac:dyDescent="0.25">
      <c r="A336" s="1" t="s">
        <v>249</v>
      </c>
      <c r="B336" s="1">
        <v>335</v>
      </c>
      <c r="C336" s="4">
        <v>1</v>
      </c>
      <c r="D336" s="4" t="str">
        <f>"Acti9 iC60N C"&amp;Таблица13[[#This Row],[Номинал АВ]]&amp; " " &amp; Таблица13[[#This Row],[Число фаз]] &amp; "P"</f>
        <v>Acti9 iC60N C25 1P</v>
      </c>
      <c r="E336" s="1">
        <v>25</v>
      </c>
      <c r="F336" s="9"/>
      <c r="G336" s="1"/>
      <c r="H336" s="1"/>
      <c r="I336" s="1" t="s">
        <v>476</v>
      </c>
      <c r="J336" s="16">
        <v>5</v>
      </c>
      <c r="K336" s="1">
        <v>1</v>
      </c>
      <c r="L336" s="15">
        <v>0.96</v>
      </c>
      <c r="M336" s="1">
        <v>1</v>
      </c>
      <c r="N336" s="2">
        <f>Таблица13[[#This Row],[Pуст, кВт]]*Таблица13[[#This Row],[Kи]]</f>
        <v>5</v>
      </c>
      <c r="O336" s="2">
        <f>IF(Таблица13[[#This Row],[Число фаз]]=1,J336/220/L336*M336*1000,J336/3/220/L336*M336*1000)</f>
        <v>23.674242424242429</v>
      </c>
      <c r="P336" s="2" t="str">
        <f>Таблица13[[#This Row],[Коды щитков]] &amp; "/M" &amp; TEXT( Таблица13[[#This Row],[Номер АВ]], "00")</f>
        <v>/M01</v>
      </c>
      <c r="Q336" s="1" t="s">
        <v>63</v>
      </c>
      <c r="R336" s="1">
        <v>3</v>
      </c>
      <c r="S336" s="1">
        <v>4</v>
      </c>
      <c r="T336" s="1">
        <f>Таблица13[[#This Row],[Сечение фазного]]</f>
        <v>4</v>
      </c>
      <c r="U336" s="1">
        <v>25</v>
      </c>
      <c r="V336" s="2">
        <f>IF(Таблица13[[#This Row],[Число фаз]]=1,2*O336*(22.5/S336*L336+0.08*SIN(ACOS(L336)))*(U336/1000)*(100/220),SQRT(3)*O336*(22.5/S336*L336+0.08*SIN(ACOS(L336)))*(U336/1000)*(100/380))</f>
        <v>2.9175275482093674</v>
      </c>
      <c r="W33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/M01-5,0-23,7-25</v>
      </c>
      <c r="X336" s="1" t="str">
        <f>TEXT(Таблица13[[#This Row],[Потери]],"0,0") &amp; "-" &amp;Таблица13[[#This Row],[Полная марка кабеля]]</f>
        <v>2,9-ВВГнг(A)-LS-3x4</v>
      </c>
      <c r="Y336" s="1"/>
      <c r="Z336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337" spans="1:26" x14ac:dyDescent="0.25">
      <c r="A337" s="1" t="s">
        <v>249</v>
      </c>
      <c r="B337" s="1">
        <v>336</v>
      </c>
      <c r="C337" s="4">
        <v>2</v>
      </c>
      <c r="D337" s="4" t="str">
        <f>"Acti9 iC60N C"&amp;Таблица13[[#This Row],[Номинал АВ]]&amp; " " &amp; Таблица13[[#This Row],[Число фаз]] &amp; "P"</f>
        <v>Acti9 iC60N C25 1P</v>
      </c>
      <c r="E337" s="1">
        <v>25</v>
      </c>
      <c r="F337" s="9"/>
      <c r="G337" s="1"/>
      <c r="H337" s="1"/>
      <c r="I337" s="1" t="s">
        <v>476</v>
      </c>
      <c r="J337" s="16">
        <v>5</v>
      </c>
      <c r="K337" s="1">
        <v>1</v>
      </c>
      <c r="L337" s="15">
        <v>0.96</v>
      </c>
      <c r="M337" s="1">
        <v>1</v>
      </c>
      <c r="N337" s="2">
        <f>Таблица13[[#This Row],[Pуст, кВт]]*Таблица13[[#This Row],[Kи]]</f>
        <v>5</v>
      </c>
      <c r="O337" s="2">
        <f>IF(Таблица13[[#This Row],[Число фаз]]=1,J337/220/L337*M337*1000,J337/3/220/L337*M337*1000)</f>
        <v>23.674242424242429</v>
      </c>
      <c r="P337" s="2" t="str">
        <f>Таблица13[[#This Row],[Коды щитков]] &amp; "/M" &amp; TEXT( Таблица13[[#This Row],[Номер АВ]], "00")</f>
        <v>/M02</v>
      </c>
      <c r="Q337" s="1" t="s">
        <v>63</v>
      </c>
      <c r="R337" s="1">
        <v>3</v>
      </c>
      <c r="S337" s="1">
        <v>4</v>
      </c>
      <c r="T337" s="1">
        <f>Таблица13[[#This Row],[Сечение фазного]]</f>
        <v>4</v>
      </c>
      <c r="U337" s="1">
        <v>20</v>
      </c>
      <c r="V337" s="2">
        <f>IF(Таблица13[[#This Row],[Число фаз]]=1,2*O337*(22.5/S337*L337+0.08*SIN(ACOS(L337)))*(U337/1000)*(100/220),SQRT(3)*O337*(22.5/S337*L337+0.08*SIN(ACOS(L337)))*(U337/1000)*(100/380))</f>
        <v>2.3340220385674937</v>
      </c>
      <c r="W3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/M02-5,0-23,7-20</v>
      </c>
      <c r="X337" s="1" t="str">
        <f>TEXT(Таблица13[[#This Row],[Потери]],"0,0") &amp; "-" &amp;Таблица13[[#This Row],[Полная марка кабеля]]</f>
        <v>2,3-ВВГнг(A)-LS-3x4</v>
      </c>
      <c r="Y337" s="1"/>
      <c r="Z337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338" spans="1:26" x14ac:dyDescent="0.25">
      <c r="A338" s="1" t="s">
        <v>249</v>
      </c>
      <c r="B338" s="1">
        <v>337</v>
      </c>
      <c r="C338" s="4">
        <v>3</v>
      </c>
      <c r="D338" s="4" t="str">
        <f>"Acti9 iC60N C"&amp;Таблица13[[#This Row],[Номинал АВ]]&amp; " " &amp; Таблица13[[#This Row],[Число фаз]] &amp; "P"</f>
        <v>Acti9 iC60N C25 1P</v>
      </c>
      <c r="E338" s="1">
        <v>25</v>
      </c>
      <c r="F338" s="9"/>
      <c r="G338" s="1"/>
      <c r="H338" s="1"/>
      <c r="I338" s="1" t="s">
        <v>477</v>
      </c>
      <c r="J338" s="16">
        <v>5</v>
      </c>
      <c r="K338" s="1">
        <v>1</v>
      </c>
      <c r="L338" s="15">
        <v>0.96</v>
      </c>
      <c r="M338" s="1">
        <v>1</v>
      </c>
      <c r="N338" s="2">
        <f>Таблица13[[#This Row],[Pуст, кВт]]*Таблица13[[#This Row],[Kи]]</f>
        <v>5</v>
      </c>
      <c r="O338" s="2">
        <f>IF(Таблица13[[#This Row],[Число фаз]]=1,J338/220/L338*M338*1000,J338/3/220/L338*M338*1000)</f>
        <v>23.674242424242429</v>
      </c>
      <c r="P338" s="2" t="str">
        <f>Таблица13[[#This Row],[Коды щитков]] &amp; "/M" &amp; TEXT( Таблица13[[#This Row],[Номер АВ]], "00")</f>
        <v>/M03</v>
      </c>
      <c r="Q338" s="1" t="s">
        <v>63</v>
      </c>
      <c r="R338" s="1">
        <v>3</v>
      </c>
      <c r="S338" s="1">
        <v>4</v>
      </c>
      <c r="T338" s="1">
        <f>Таблица13[[#This Row],[Сечение фазного]]</f>
        <v>4</v>
      </c>
      <c r="U338" s="1">
        <v>15</v>
      </c>
      <c r="V338" s="2">
        <f>IF(Таблица13[[#This Row],[Число фаз]]=1,2*O338*(22.5/S338*L338+0.08*SIN(ACOS(L338)))*(U338/1000)*(100/220),SQRT(3)*O338*(22.5/S338*L338+0.08*SIN(ACOS(L338)))*(U338/1000)*(100/380))</f>
        <v>1.7505165289256202</v>
      </c>
      <c r="W3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/M03-5,0-23,7-15</v>
      </c>
      <c r="X338" s="1" t="str">
        <f>TEXT(Таблица13[[#This Row],[Потери]],"0,0") &amp; "-" &amp;Таблица13[[#This Row],[Полная марка кабеля]]</f>
        <v>1,8-ВВГнг(A)-LS-3x4</v>
      </c>
      <c r="Y338" s="1"/>
      <c r="Z338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339" spans="1:26" x14ac:dyDescent="0.25">
      <c r="A339" s="1" t="s">
        <v>249</v>
      </c>
      <c r="B339" s="1">
        <v>338</v>
      </c>
      <c r="C339" s="4">
        <v>4</v>
      </c>
      <c r="D339" s="4" t="str">
        <f>"Acti9 DPN N Vigi C" &amp; Таблица13[[#This Row],[Номинал АВ]]&amp; " 1P+N 30 мА"</f>
        <v>Acti9 DPN N Vigi C16 1P+N 30 мА</v>
      </c>
      <c r="E339" s="1">
        <v>16</v>
      </c>
      <c r="F339" s="9"/>
      <c r="G339" s="1"/>
      <c r="H339" s="1" t="s">
        <v>72</v>
      </c>
      <c r="I339" s="1"/>
      <c r="J339" s="16">
        <v>2</v>
      </c>
      <c r="K339" s="1">
        <v>1</v>
      </c>
      <c r="L339" s="15">
        <v>0.9</v>
      </c>
      <c r="M339" s="1">
        <v>1</v>
      </c>
      <c r="N339" s="2">
        <f>Таблица13[[#This Row],[Pуст, кВт]]*Таблица13[[#This Row],[Kи]]</f>
        <v>2</v>
      </c>
      <c r="O339" s="2">
        <f>IF(Таблица13[[#This Row],[Число фаз]]=1,J339/220/L339*M339*1000,J339/3/220/L339*M339*1000)</f>
        <v>10.1010101010101</v>
      </c>
      <c r="P339" s="2" t="str">
        <f>Таблица13[[#This Row],[Коды щитков]] &amp; "/M" &amp; TEXT( Таблица13[[#This Row],[Номер АВ]], "00")</f>
        <v>/M04</v>
      </c>
      <c r="Q339" s="1" t="s">
        <v>63</v>
      </c>
      <c r="R339" s="1">
        <v>3</v>
      </c>
      <c r="S339" s="1">
        <v>2.5</v>
      </c>
      <c r="T339" s="1">
        <f>Таблица13[[#This Row],[Сечение фазного]]</f>
        <v>2.5</v>
      </c>
      <c r="U339" s="1">
        <v>10</v>
      </c>
      <c r="V339" s="2">
        <f>IF(Таблица13[[#This Row],[Число фаз]]=1,2*O339*(22.5/S339*L339+0.08*SIN(ACOS(L339)))*(U339/1000)*(100/220),SQRT(3)*O339*(22.5/S339*L339+0.08*SIN(ACOS(L339)))*(U339/1000)*(100/380))</f>
        <v>0.74700378251132449</v>
      </c>
      <c r="W3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/M04-2,0-10,1-10</v>
      </c>
      <c r="X339" s="1" t="str">
        <f>TEXT(Таблица13[[#This Row],[Потери]],"0,0") &amp; "-" &amp;Таблица13[[#This Row],[Полная марка кабеля]]</f>
        <v>0,7-ВВГнг(A)-LS-3x2,5</v>
      </c>
      <c r="Y339" s="1"/>
      <c r="Z339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ВВГнг(A)-LS-3x2,5</v>
      </c>
    </row>
    <row r="340" spans="1:26" x14ac:dyDescent="0.25">
      <c r="A340" s="1" t="s">
        <v>249</v>
      </c>
      <c r="B340" s="1">
        <v>339</v>
      </c>
      <c r="C340" s="4">
        <v>6</v>
      </c>
      <c r="D340" s="4" t="str">
        <f>"Acti9 iC60N C"&amp;Таблица13[[#This Row],[Номинал АВ]]&amp; " " &amp; Таблица13[[#This Row],[Число фаз]] &amp; "P"</f>
        <v>Acti9 iC60N C10 1P</v>
      </c>
      <c r="E340" s="1">
        <v>10</v>
      </c>
      <c r="F340" s="9"/>
      <c r="G340" s="1"/>
      <c r="H340" s="1" t="s">
        <v>73</v>
      </c>
      <c r="I340" s="1" t="s">
        <v>506</v>
      </c>
      <c r="J340" s="16">
        <f>21*0.033</f>
        <v>0.69300000000000006</v>
      </c>
      <c r="K340" s="1">
        <v>1</v>
      </c>
      <c r="L340" s="15">
        <v>0.96</v>
      </c>
      <c r="M340" s="1">
        <v>1</v>
      </c>
      <c r="N340" s="2">
        <f>Таблица13[[#This Row],[Pуст, кВт]]*Таблица13[[#This Row],[Kи]]</f>
        <v>0.69300000000000006</v>
      </c>
      <c r="O340" s="2">
        <f>IF(Таблица13[[#This Row],[Число фаз]]=1,J340/220/L340*M340*1000,J340/3/220/L340*M340*1000)</f>
        <v>3.2812500000000009</v>
      </c>
      <c r="P340" s="2" t="str">
        <f>Таблица13[[#This Row],[Коды щитков]] &amp; "/M" &amp; TEXT( Таблица13[[#This Row],[Номер АВ]], "00")</f>
        <v>/M06</v>
      </c>
      <c r="Q340" s="1" t="s">
        <v>63</v>
      </c>
      <c r="R340" s="1">
        <v>3</v>
      </c>
      <c r="S340" s="1">
        <v>1.5</v>
      </c>
      <c r="T340" s="1">
        <f>Таблица13[[#This Row],[Сечение фазного]]</f>
        <v>1.5</v>
      </c>
      <c r="U340" s="1">
        <v>100</v>
      </c>
      <c r="V340" s="2">
        <f>IF(Таблица13[[#This Row],[Число фаз]]=1,2*O340*(22.5/S340*L340+0.08*SIN(ACOS(L340)))*(U340/1000)*(100/220),SQRT(3)*O340*(22.5/S340*L340+0.08*SIN(ACOS(L340)))*(U340/1000)*(100/380))</f>
        <v>4.3021363636363636</v>
      </c>
      <c r="W3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/M06-0,7-3,3-100</v>
      </c>
      <c r="X340" s="1" t="str">
        <f>TEXT(Таблица13[[#This Row],[Потери]],"0,0") &amp; "-" &amp;Таблица13[[#This Row],[Полная марка кабеля]]</f>
        <v>4,3-ВВГнг(A)-LS-3x1,5</v>
      </c>
      <c r="Y340" s="1"/>
      <c r="Z340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ВВГнг(A)-LS-3x1,5</v>
      </c>
    </row>
    <row r="341" spans="1:26" x14ac:dyDescent="0.25">
      <c r="A341" s="1" t="s">
        <v>249</v>
      </c>
      <c r="B341" s="1">
        <v>340</v>
      </c>
      <c r="C341" s="4">
        <v>5</v>
      </c>
      <c r="D341" s="4" t="str">
        <f>"Acti9 iC60N C"&amp;Таблица13[[#This Row],[Номинал АВ]]&amp; " " &amp; Таблица13[[#This Row],[Число фаз]] &amp; "P"</f>
        <v>Acti9 iC60N C16 1P</v>
      </c>
      <c r="E341" s="1">
        <v>16</v>
      </c>
      <c r="F341" s="9"/>
      <c r="G341" s="1"/>
      <c r="H341" s="1"/>
      <c r="I341" s="1" t="s">
        <v>478</v>
      </c>
      <c r="J341" s="16">
        <v>2</v>
      </c>
      <c r="K341" s="1">
        <v>1</v>
      </c>
      <c r="L341" s="15">
        <v>0.96</v>
      </c>
      <c r="M341" s="1">
        <v>1</v>
      </c>
      <c r="N341" s="2">
        <f>Таблица13[[#This Row],[Pуст, кВт]]*Таблица13[[#This Row],[Kи]]</f>
        <v>2</v>
      </c>
      <c r="O341" s="2">
        <f>IF(Таблица13[[#This Row],[Число фаз]]=1,J341/220/L341*M341*1000,J341/3/220/L341*M341*1000)</f>
        <v>9.4696969696969706</v>
      </c>
      <c r="P341" s="2" t="str">
        <f>Таблица13[[#This Row],[Коды щитков]] &amp; "/M" &amp; TEXT( Таблица13[[#This Row],[Номер АВ]], "00")</f>
        <v>/M05</v>
      </c>
      <c r="Q341" s="1" t="s">
        <v>63</v>
      </c>
      <c r="R341" s="1">
        <v>3</v>
      </c>
      <c r="S341" s="1">
        <v>4</v>
      </c>
      <c r="T341" s="1">
        <f>Таблица13[[#This Row],[Сечение фазного]]</f>
        <v>4</v>
      </c>
      <c r="U341" s="1">
        <v>60</v>
      </c>
      <c r="V341" s="2">
        <f>IF(Таблица13[[#This Row],[Число фаз]]=1,2*O341*(22.5/S341*L341+0.08*SIN(ACOS(L341)))*(U341/1000)*(100/220),SQRT(3)*O341*(22.5/S341*L341+0.08*SIN(ACOS(L341)))*(U341/1000)*(100/380))</f>
        <v>2.800826446280992</v>
      </c>
      <c r="W34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/M05-2,0-9,5-60</v>
      </c>
      <c r="X341" s="1" t="str">
        <f>TEXT(Таблица13[[#This Row],[Потери]],"0,0") &amp; "-" &amp;Таблица13[[#This Row],[Полная марка кабеля]]</f>
        <v>2,8-ВВГнг(A)-LS-3x4</v>
      </c>
      <c r="Y341" s="1"/>
      <c r="Z341" s="1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ВВГнг(A)-LS-3x4</v>
      </c>
    </row>
    <row r="342" spans="1:26" x14ac:dyDescent="0.25">
      <c r="A342" s="1" t="s">
        <v>516</v>
      </c>
      <c r="B342" s="1">
        <v>341</v>
      </c>
      <c r="C342" s="4">
        <v>1</v>
      </c>
      <c r="D342" s="4" t="str">
        <f>"ВА57-35 "&amp; Таблица13[[#This Row],[Число фаз]] &amp; "P " &amp;Таблица13[[#This Row],[Номинал АВ]] &amp; " А"</f>
        <v>ВА57-35 3P 250 А</v>
      </c>
      <c r="E342" s="1">
        <v>250</v>
      </c>
      <c r="F342" s="9" t="s">
        <v>504</v>
      </c>
      <c r="G342" s="1" t="s">
        <v>511</v>
      </c>
      <c r="H342" s="1" t="s">
        <v>263</v>
      </c>
      <c r="I342" s="1" t="s">
        <v>505</v>
      </c>
      <c r="J342" s="16">
        <v>150</v>
      </c>
      <c r="K342" s="1">
        <v>3</v>
      </c>
      <c r="L342" s="15">
        <v>0.96</v>
      </c>
      <c r="M342" s="1">
        <v>1</v>
      </c>
      <c r="N342" s="2">
        <f>Таблица13[[#This Row],[Pуст, кВт]]*Таблица13[[#This Row],[Kи]]</f>
        <v>150</v>
      </c>
      <c r="O342" s="2">
        <f>IF(Таблица13[[#This Row],[Число фаз]]=1,J342/220/L342*M342*1000,J342/3/220/L342*M342*1000)</f>
        <v>236.74242424242425</v>
      </c>
      <c r="P342" s="2" t="str">
        <f>Таблица13[[#This Row],[Коды щитков]] &amp; "/M" &amp; TEXT( Таблица13[[#This Row],[Номер АВ]], "00")</f>
        <v>ДГУ-1/M01</v>
      </c>
      <c r="Q342" s="1" t="s">
        <v>500</v>
      </c>
      <c r="R342" s="1">
        <v>4</v>
      </c>
      <c r="S342" s="1">
        <v>95</v>
      </c>
      <c r="T342" s="25">
        <v>95</v>
      </c>
      <c r="U342" s="1">
        <v>50</v>
      </c>
      <c r="V342" s="2">
        <f>IF(Таблица13[[#This Row],[Число фаз]]=1,2*O342*(22.5/S342*L342+0.08*SIN(ACOS(L342)))*(U342/1000)*(100/220),SQRT(3)*O342*(22.5/S342*L342+0.08*SIN(ACOS(L342)))*(U342/1000)*(100/380))</f>
        <v>1.3475989190509554</v>
      </c>
      <c r="W342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ДГУ-1/M01-150,0-236,7-50</v>
      </c>
      <c r="X342" s="25" t="str">
        <f>TEXT(Таблица13[[#This Row],[Потери]],"0,0") &amp; "-" &amp;Таблица13[[#This Row],[Полная марка кабеля]]</f>
        <v>1,3-АВБШв-4x95</v>
      </c>
      <c r="Y342" s="1" t="s">
        <v>516</v>
      </c>
      <c r="Z342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АВБШв-4x95</v>
      </c>
    </row>
    <row r="343" spans="1:26" x14ac:dyDescent="0.25">
      <c r="A343" s="1" t="s">
        <v>517</v>
      </c>
      <c r="B343" s="1">
        <v>342</v>
      </c>
      <c r="C343" s="4">
        <v>1</v>
      </c>
      <c r="D343" s="4" t="str">
        <f>"ВА57-35 "&amp; Таблица13[[#This Row],[Число фаз]] &amp; "P " &amp;Таблица13[[#This Row],[Номинал АВ]] &amp; " А"</f>
        <v>ВА57-35 3P 250 А</v>
      </c>
      <c r="E343" s="1">
        <v>250</v>
      </c>
      <c r="F343" s="9" t="s">
        <v>504</v>
      </c>
      <c r="G343" s="1" t="s">
        <v>511</v>
      </c>
      <c r="H343" s="1" t="s">
        <v>263</v>
      </c>
      <c r="I343" s="1" t="s">
        <v>505</v>
      </c>
      <c r="J343" s="16">
        <v>150</v>
      </c>
      <c r="K343" s="1">
        <v>3</v>
      </c>
      <c r="L343" s="15">
        <v>0.96</v>
      </c>
      <c r="M343" s="1">
        <v>1</v>
      </c>
      <c r="N343" s="2">
        <f>Таблица13[[#This Row],[Pуст, кВт]]*Таблица13[[#This Row],[Kи]]</f>
        <v>150</v>
      </c>
      <c r="O343" s="2">
        <f>IF(Таблица13[[#This Row],[Число фаз]]=1,J343/220/L343*M343*1000,J343/3/220/L343*M343*1000)</f>
        <v>236.74242424242425</v>
      </c>
      <c r="P343" s="2" t="str">
        <f>Таблица13[[#This Row],[Коды щитков]] &amp; "/M" &amp; TEXT( Таблица13[[#This Row],[Номер АВ]], "00")</f>
        <v>ДГУ-2/M01</v>
      </c>
      <c r="Q343" s="1" t="s">
        <v>500</v>
      </c>
      <c r="R343" s="1">
        <v>4</v>
      </c>
      <c r="S343" s="1">
        <v>95</v>
      </c>
      <c r="T343" s="25">
        <v>95</v>
      </c>
      <c r="U343" s="1">
        <v>50</v>
      </c>
      <c r="V343" s="2">
        <f>IF(Таблица13[[#This Row],[Число фаз]]=1,2*O343*(22.5/S343*L343+0.08*SIN(ACOS(L343)))*(U343/1000)*(100/220),SQRT(3)*O343*(22.5/S343*L343+0.08*SIN(ACOS(L343)))*(U343/1000)*(100/380))</f>
        <v>1.3475989190509554</v>
      </c>
      <c r="W343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ДГУ-2/M01-150,0-236,7-50</v>
      </c>
      <c r="X343" s="25" t="str">
        <f>TEXT(Таблица13[[#This Row],[Потери]],"0,0") &amp; "-" &amp;Таблица13[[#This Row],[Полная марка кабеля]]</f>
        <v>1,3-АВБШв-4x95</v>
      </c>
      <c r="Y343" s="1" t="s">
        <v>517</v>
      </c>
      <c r="Z343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АВБШв-4x95</v>
      </c>
    </row>
    <row r="344" spans="1:26" x14ac:dyDescent="0.25">
      <c r="A344" s="1" t="s">
        <v>504</v>
      </c>
      <c r="B344" s="1">
        <v>343</v>
      </c>
      <c r="C344" s="4">
        <v>1</v>
      </c>
      <c r="D344" s="4" t="str">
        <f>"ВА57-39 "&amp; Таблица13[[#This Row],[Число фаз]] &amp; "P " &amp;Таблица13[[#This Row],[Номинал АВ]] &amp; " А"</f>
        <v>ВА57-39 3P 400 А</v>
      </c>
      <c r="E344" s="1">
        <v>400</v>
      </c>
      <c r="F344" s="9" t="s">
        <v>58</v>
      </c>
      <c r="G344" s="1" t="s">
        <v>513</v>
      </c>
      <c r="H344" s="1" t="s">
        <v>265</v>
      </c>
      <c r="I344" s="1"/>
      <c r="J344" s="16">
        <v>100</v>
      </c>
      <c r="K344" s="1">
        <v>3</v>
      </c>
      <c r="L344" s="15">
        <v>0.96</v>
      </c>
      <c r="M344" s="1">
        <v>1</v>
      </c>
      <c r="N344" s="2">
        <f>Таблица13[[#This Row],[Pуст, кВт]]*Таблица13[[#This Row],[Kи]]</f>
        <v>100</v>
      </c>
      <c r="O344" s="2">
        <f>IF(Таблица13[[#This Row],[Число фаз]]=1,J344/220/L344*M344*1000,J344/3/220/L344*M344*1000)</f>
        <v>157.82828282828285</v>
      </c>
      <c r="P344" s="2" t="str">
        <f>Таблица13[[#This Row],[Коды щитков]] &amp; "/M" &amp; TEXT( Таблица13[[#This Row],[Номер АВ]], "00")</f>
        <v>ШВГ/M01</v>
      </c>
      <c r="Q344" s="1" t="s">
        <v>7</v>
      </c>
      <c r="R344" s="1">
        <v>4</v>
      </c>
      <c r="S344" s="1">
        <v>95</v>
      </c>
      <c r="T344" s="25">
        <v>35</v>
      </c>
      <c r="U344" s="1">
        <v>5</v>
      </c>
      <c r="V344" s="2">
        <f>IF(Таблица13[[#This Row],[Число фаз]]=1,2*O344*(22.5/S344*L344+0.08*SIN(ACOS(L344)))*(U344/1000)*(100/220),SQRT(3)*O344*(22.5/S344*L344+0.08*SIN(ACOS(L344)))*(U344/1000)*(100/380))</f>
        <v>8.9839927936730374E-2</v>
      </c>
      <c r="W344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ШВГ/M01-100,0-157,8-5</v>
      </c>
      <c r="X344" s="25" t="str">
        <f>TEXT(Таблица13[[#This Row],[Потери]],"0,0") &amp; "-" &amp;Таблица13[[#This Row],[Полная марка кабеля]]</f>
        <v>0,1-КГ-3x95+1x35</v>
      </c>
      <c r="Y344" s="1" t="s">
        <v>504</v>
      </c>
      <c r="Z344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345" spans="1:26" x14ac:dyDescent="0.25">
      <c r="A345" s="1" t="s">
        <v>504</v>
      </c>
      <c r="B345" s="1">
        <v>344</v>
      </c>
      <c r="C345" s="4">
        <v>2</v>
      </c>
      <c r="D345" s="4" t="str">
        <f>"ВА57-39 "&amp; Таблица13[[#This Row],[Число фаз]] &amp; "P " &amp;Таблица13[[#This Row],[Номинал АВ]] &amp; " А"</f>
        <v>ВА57-39 3P 400 А</v>
      </c>
      <c r="E345" s="1">
        <v>400</v>
      </c>
      <c r="F345" s="9" t="s">
        <v>56</v>
      </c>
      <c r="G345" s="1" t="s">
        <v>513</v>
      </c>
      <c r="H345" s="1" t="s">
        <v>265</v>
      </c>
      <c r="I345" s="1"/>
      <c r="J345" s="16">
        <v>50</v>
      </c>
      <c r="K345" s="1">
        <v>3</v>
      </c>
      <c r="L345" s="15">
        <v>0.96</v>
      </c>
      <c r="M345" s="1">
        <v>1</v>
      </c>
      <c r="N345" s="2">
        <f>Таблица13[[#This Row],[Pуст, кВт]]*Таблица13[[#This Row],[Kи]]</f>
        <v>50</v>
      </c>
      <c r="O345" s="2">
        <f>IF(Таблица13[[#This Row],[Число фаз]]=1,J345/220/L345*M345*1000,J345/3/220/L345*M345*1000)</f>
        <v>78.914141414141426</v>
      </c>
      <c r="P345" s="2" t="str">
        <f>Таблица13[[#This Row],[Коды щитков]] &amp; "/M" &amp; TEXT( Таблица13[[#This Row],[Номер АВ]], "00")</f>
        <v>ШВГ/M02</v>
      </c>
      <c r="Q345" s="1" t="s">
        <v>7</v>
      </c>
      <c r="R345" s="1">
        <v>4</v>
      </c>
      <c r="S345" s="1">
        <v>95</v>
      </c>
      <c r="T345" s="25">
        <v>35</v>
      </c>
      <c r="U345" s="1">
        <v>5</v>
      </c>
      <c r="V345" s="2">
        <f>IF(Таблица13[[#This Row],[Число фаз]]=1,2*O345*(22.5/S345*L345+0.08*SIN(ACOS(L345)))*(U345/1000)*(100/220),SQRT(3)*O345*(22.5/S345*L345+0.08*SIN(ACOS(L345)))*(U345/1000)*(100/380))</f>
        <v>4.4919963968365187E-2</v>
      </c>
      <c r="W345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ШВГ/M02-50,0-78,9-5</v>
      </c>
      <c r="X345" s="25" t="str">
        <f>TEXT(Таблица13[[#This Row],[Потери]],"0,0") &amp; "-" &amp;Таблица13[[#This Row],[Полная марка кабеля]]</f>
        <v>0,0-КГ-3x95+1x35</v>
      </c>
      <c r="Y345" s="1" t="s">
        <v>504</v>
      </c>
      <c r="Z345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346" spans="1:26" x14ac:dyDescent="0.25">
      <c r="A346" s="1" t="s">
        <v>504</v>
      </c>
      <c r="B346" s="1">
        <v>345</v>
      </c>
      <c r="C346" s="4">
        <v>3</v>
      </c>
      <c r="D346" s="4" t="str">
        <f>"ВА57-39 "&amp; Таблица13[[#This Row],[Число фаз]] &amp; "P " &amp;Таблица13[[#This Row],[Номинал АВ]] &amp; " А"</f>
        <v>ВА57-39 3P 400 А</v>
      </c>
      <c r="E346" s="1">
        <v>400</v>
      </c>
      <c r="F346" s="9" t="s">
        <v>54</v>
      </c>
      <c r="G346" s="1" t="s">
        <v>513</v>
      </c>
      <c r="H346" s="1" t="s">
        <v>265</v>
      </c>
      <c r="I346" s="1"/>
      <c r="J346" s="16">
        <v>150</v>
      </c>
      <c r="K346" s="1">
        <v>3</v>
      </c>
      <c r="L346" s="15">
        <v>0.96</v>
      </c>
      <c r="M346" s="1">
        <v>1</v>
      </c>
      <c r="N346" s="2">
        <f>Таблица13[[#This Row],[Pуст, кВт]]*Таблица13[[#This Row],[Kи]]</f>
        <v>150</v>
      </c>
      <c r="O346" s="2">
        <f>IF(Таблица13[[#This Row],[Число фаз]]=1,J346/220/L346*M346*1000,J346/3/220/L346*M346*1000)</f>
        <v>236.74242424242425</v>
      </c>
      <c r="P346" s="2" t="str">
        <f>Таблица13[[#This Row],[Коды щитков]] &amp; "/M" &amp; TEXT( Таблица13[[#This Row],[Номер АВ]], "00")</f>
        <v>ШВГ/M03</v>
      </c>
      <c r="Q346" s="1" t="s">
        <v>7</v>
      </c>
      <c r="R346" s="1">
        <v>4</v>
      </c>
      <c r="S346" s="1">
        <v>95</v>
      </c>
      <c r="T346" s="25">
        <v>35</v>
      </c>
      <c r="U346" s="1">
        <v>5</v>
      </c>
      <c r="V346" s="2">
        <f>IF(Таблица13[[#This Row],[Число фаз]]=1,2*O346*(22.5/S346*L346+0.08*SIN(ACOS(L346)))*(U346/1000)*(100/220),SQRT(3)*O346*(22.5/S346*L346+0.08*SIN(ACOS(L346)))*(U346/1000)*(100/380))</f>
        <v>0.13475989190509552</v>
      </c>
      <c r="W346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ШВГ/M03-150,0-236,7-5</v>
      </c>
      <c r="X346" s="25" t="str">
        <f>TEXT(Таблица13[[#This Row],[Потери]],"0,0") &amp; "-" &amp;Таблица13[[#This Row],[Полная марка кабеля]]</f>
        <v>0,1-КГ-3x95+1x35</v>
      </c>
      <c r="Y346" s="1" t="s">
        <v>504</v>
      </c>
      <c r="Z346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КГ-3x95+1x35</v>
      </c>
    </row>
    <row r="347" spans="1:26" x14ac:dyDescent="0.25">
      <c r="A347" s="1" t="s">
        <v>518</v>
      </c>
      <c r="B347" s="1">
        <v>346</v>
      </c>
      <c r="C347" s="4">
        <v>1</v>
      </c>
      <c r="D347" s="4" t="str">
        <f>"ВА57-35 "&amp; Таблица13[[#This Row],[Число фаз]] &amp; "P " &amp;Таблица13[[#This Row],[Номинал АВ]] &amp; " А"</f>
        <v>ВА57-35 3P 400 А</v>
      </c>
      <c r="E347" s="1">
        <v>400</v>
      </c>
      <c r="F347" s="9" t="s">
        <v>41</v>
      </c>
      <c r="G347" s="1" t="s">
        <v>515</v>
      </c>
      <c r="H347" s="1" t="s">
        <v>264</v>
      </c>
      <c r="I347" s="1"/>
      <c r="J347" s="16">
        <v>150</v>
      </c>
      <c r="K347" s="1">
        <v>3</v>
      </c>
      <c r="L347" s="15">
        <v>0.96</v>
      </c>
      <c r="M347" s="1">
        <v>1</v>
      </c>
      <c r="N347" s="2">
        <f>Таблица13[[#This Row],[Pуст, кВт]]*Таблица13[[#This Row],[Kи]]</f>
        <v>150</v>
      </c>
      <c r="O347" s="2">
        <f>IF(Таблица13[[#This Row],[Число фаз]]=1,J347/220/L347*M347*1000,J347/3/220/L347*M347*1000)</f>
        <v>236.74242424242425</v>
      </c>
      <c r="P347" s="2" t="str">
        <f>Таблица13[[#This Row],[Коды щитков]] &amp; "/M" &amp; TEXT( Таблица13[[#This Row],[Номер АВ]], "00")</f>
        <v>ДГУ-3/M01</v>
      </c>
      <c r="Q347" s="1" t="s">
        <v>7</v>
      </c>
      <c r="R347" s="1">
        <v>4</v>
      </c>
      <c r="S347" s="1">
        <v>150</v>
      </c>
      <c r="T347" s="25">
        <f>Таблица13[[#This Row],[Сечение фазного]]</f>
        <v>150</v>
      </c>
      <c r="U347" s="1">
        <v>30</v>
      </c>
      <c r="V347" s="2">
        <f>IF(Таблица13[[#This Row],[Число фаз]]=1,2*O347*(22.5/S347*L347+0.08*SIN(ACOS(L347)))*(U347/1000)*(100/220),SQRT(3)*O347*(22.5/S347*L347+0.08*SIN(ACOS(L347)))*(U347/1000)*(100/380))</f>
        <v>0.53867608847835879</v>
      </c>
      <c r="W347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ДГУ-3/M01-150,0-236,7-30</v>
      </c>
      <c r="X347" s="25" t="str">
        <f>TEXT(Таблица13[[#This Row],[Потери]],"0,0") &amp; "-" &amp;Таблица13[[#This Row],[Полная марка кабеля]]</f>
        <v>0,5-КГ-4x150</v>
      </c>
      <c r="Y347" s="1" t="s">
        <v>518</v>
      </c>
      <c r="Z347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КГ-4x150</v>
      </c>
    </row>
    <row r="348" spans="1:26" x14ac:dyDescent="0.25">
      <c r="A348" s="1" t="s">
        <v>518</v>
      </c>
      <c r="B348" s="1">
        <v>347</v>
      </c>
      <c r="C348" s="4">
        <v>2</v>
      </c>
      <c r="D348" s="4" t="str">
        <f>"ВА57-35 "&amp; Таблица13[[#This Row],[Число фаз]] &amp; "P " &amp;Таблица13[[#This Row],[Номинал АВ]] &amp; " А"</f>
        <v>ВА57-35 3P 400 А</v>
      </c>
      <c r="E348" s="1">
        <v>400</v>
      </c>
      <c r="F348" s="9" t="s">
        <v>33</v>
      </c>
      <c r="G348" s="1" t="s">
        <v>515</v>
      </c>
      <c r="H348" s="1" t="s">
        <v>264</v>
      </c>
      <c r="I348" s="1"/>
      <c r="J348" s="16">
        <v>150</v>
      </c>
      <c r="K348" s="1">
        <v>3</v>
      </c>
      <c r="L348" s="15">
        <v>0.96</v>
      </c>
      <c r="M348" s="1">
        <v>1</v>
      </c>
      <c r="N348" s="2">
        <f>Таблица13[[#This Row],[Pуст, кВт]]*Таблица13[[#This Row],[Kи]]</f>
        <v>150</v>
      </c>
      <c r="O348" s="2">
        <f>IF(Таблица13[[#This Row],[Число фаз]]=1,J348/220/L348*M348*1000,J348/3/220/L348*M348*1000)</f>
        <v>236.74242424242425</v>
      </c>
      <c r="P348" s="2" t="str">
        <f>Таблица13[[#This Row],[Коды щитков]] &amp; "/M" &amp; TEXT( Таблица13[[#This Row],[Номер АВ]], "00")</f>
        <v>ДГУ-3/M02</v>
      </c>
      <c r="Q348" s="1" t="s">
        <v>7</v>
      </c>
      <c r="R348" s="1">
        <v>4</v>
      </c>
      <c r="S348" s="1">
        <v>150</v>
      </c>
      <c r="T348" s="25">
        <f>Таблица13[[#This Row],[Сечение фазного]]</f>
        <v>150</v>
      </c>
      <c r="U348" s="1">
        <v>30</v>
      </c>
      <c r="V348" s="2">
        <f>IF(Таблица13[[#This Row],[Число фаз]]=1,2*O348*(22.5/S348*L348+0.08*SIN(ACOS(L348)))*(U348/1000)*(100/220),SQRT(3)*O348*(22.5/S348*L348+0.08*SIN(ACOS(L348)))*(U348/1000)*(100/380))</f>
        <v>0.53867608847835879</v>
      </c>
      <c r="W348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ДГУ-3/M02-150,0-236,7-30</v>
      </c>
      <c r="X348" s="25" t="str">
        <f>TEXT(Таблица13[[#This Row],[Потери]],"0,0") &amp; "-" &amp;Таблица13[[#This Row],[Полная марка кабеля]]</f>
        <v>0,5-КГ-4x150</v>
      </c>
      <c r="Y348" s="1" t="s">
        <v>518</v>
      </c>
      <c r="Z348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КГ-4x150</v>
      </c>
    </row>
    <row r="349" spans="1:26" x14ac:dyDescent="0.25">
      <c r="A349" s="1" t="s">
        <v>518</v>
      </c>
      <c r="B349" s="1">
        <v>348</v>
      </c>
      <c r="C349" s="4">
        <v>3</v>
      </c>
      <c r="D349" s="4" t="str">
        <f>"ВА57-35 "&amp; Таблица13[[#This Row],[Число фаз]] &amp; "P " &amp;Таблица13[[#This Row],[Номинал АВ]] &amp; " А"</f>
        <v>ВА57-35 3P 400 А</v>
      </c>
      <c r="E349" s="1">
        <v>400</v>
      </c>
      <c r="F349" s="9" t="s">
        <v>26</v>
      </c>
      <c r="G349" s="1" t="s">
        <v>515</v>
      </c>
      <c r="H349" s="1" t="s">
        <v>264</v>
      </c>
      <c r="I349" s="1"/>
      <c r="J349" s="16">
        <v>150</v>
      </c>
      <c r="K349" s="1">
        <v>3</v>
      </c>
      <c r="L349" s="15">
        <v>0.96</v>
      </c>
      <c r="M349" s="1">
        <v>1</v>
      </c>
      <c r="N349" s="2">
        <f>Таблица13[[#This Row],[Pуст, кВт]]*Таблица13[[#This Row],[Kи]]</f>
        <v>150</v>
      </c>
      <c r="O349" s="2">
        <f>IF(Таблица13[[#This Row],[Число фаз]]=1,J349/220/L349*M349*1000,J349/3/220/L349*M349*1000)</f>
        <v>236.74242424242425</v>
      </c>
      <c r="P349" s="2" t="str">
        <f>Таблица13[[#This Row],[Коды щитков]] &amp; "/M" &amp; TEXT( Таблица13[[#This Row],[Номер АВ]], "00")</f>
        <v>ДГУ-3/M03</v>
      </c>
      <c r="Q349" s="1" t="s">
        <v>7</v>
      </c>
      <c r="R349" s="1">
        <v>4</v>
      </c>
      <c r="S349" s="1">
        <v>150</v>
      </c>
      <c r="T349" s="25">
        <f>Таблица13[[#This Row],[Сечение фазного]]</f>
        <v>150</v>
      </c>
      <c r="U349" s="1">
        <v>30</v>
      </c>
      <c r="V349" s="2">
        <f>IF(Таблица13[[#This Row],[Число фаз]]=1,2*O349*(22.5/S349*L349+0.08*SIN(ACOS(L349)))*(U349/1000)*(100/220),SQRT(3)*O349*(22.5/S349*L349+0.08*SIN(ACOS(L349)))*(U349/1000)*(100/380))</f>
        <v>0.53867608847835879</v>
      </c>
      <c r="W349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ДГУ-3/M03-150,0-236,7-30</v>
      </c>
      <c r="X349" s="25" t="str">
        <f>TEXT(Таблица13[[#This Row],[Потери]],"0,0") &amp; "-" &amp;Таблица13[[#This Row],[Полная марка кабеля]]</f>
        <v>0,5-КГ-4x150</v>
      </c>
      <c r="Y349" s="1" t="s">
        <v>518</v>
      </c>
      <c r="Z349" s="25" t="str">
        <f>IF(Таблица13[[#This Row],[Количество жил]]=4,IF(Таблица13[[#This Row],[Сечение фазного]]=Таблица13[[#This Row],[Сечение нулевого]],Таблица13[[#This Row],[Марка кабеля]]&amp;"-"&amp;Таблица13[[#This Row],[Количество жил]]&amp;"x"&amp;Таблица13[[#This Row],[Сечение фазного]],Таблица13[[#This Row],[Марка кабеля]]&amp;"-3x"&amp;Таблица13[[#This Row],[Сечение фазного]]&amp;"+1x"&amp;Таблица13[[#This Row],[Сечение нулевого]]),Таблица13[[#This Row],[Марка кабеля]]&amp;"-"&amp;Таблица13[[#This Row],[Количество жил]]&amp;"x"&amp;Таблица13[[#This Row],[Сечение фазного]])</f>
        <v>КГ-4x150</v>
      </c>
    </row>
  </sheetData>
  <conditionalFormatting sqref="B1:B2 B5 B8 B11 B14:B15 B18 B21 B24 B27:B29 B32:B34 B37 B40 B43 B46:B47 B50 B53 B56 B59:B61 B64:B65 B68 B71 B74 B77 B80:B81 B84 B87 B90 B93:B95 B98:B102 B105 B108 B111 B114:B115 B118 B121 B124 B127:B129 B132:B134 B136:B137 B140 B143:B144 B147 B150 B153:B154 B157 B160 B163 B166:B167 B170 B173 B176 B179:B181 B184:B186 B189 B192 B194:B195 B197:B198 B200:B202 B204:B205 B207:B210 B212:B213 B215:B216 B218:B220 B222:B223 B225:B226 B228:B230 B232:B233 B235:B236 B238:B242 B244:B245 B247:B248 B250:B252 B254:B255 B257:B260 B262:B263 B265:B266 B268:B272 B274:B275 B277:B278 B280:B349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  <pageSetup paperSize="8" scale="57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3A14-2110-41D1-ADA3-CA6AE9E827EE}">
  <dimension ref="A1:F349"/>
  <sheetViews>
    <sheetView workbookViewId="0">
      <selection activeCell="F253" sqref="F253"/>
    </sheetView>
  </sheetViews>
  <sheetFormatPr defaultRowHeight="15" x14ac:dyDescent="0.25"/>
  <cols>
    <col min="1" max="1" width="19.85546875" bestFit="1" customWidth="1"/>
    <col min="2" max="2" width="18.28515625" customWidth="1"/>
    <col min="3" max="4" width="21" customWidth="1"/>
    <col min="5" max="6" width="26.85546875" customWidth="1"/>
  </cols>
  <sheetData>
    <row r="1" spans="1:6" x14ac:dyDescent="0.25">
      <c r="A1" s="20" t="s">
        <v>60</v>
      </c>
      <c r="B1" s="20" t="s">
        <v>59</v>
      </c>
      <c r="C1" s="20" t="s">
        <v>85</v>
      </c>
      <c r="D1" s="20" t="s">
        <v>61</v>
      </c>
      <c r="E1" s="20" t="s">
        <v>412</v>
      </c>
      <c r="F1" s="20" t="s">
        <v>413</v>
      </c>
    </row>
    <row r="2" spans="1:6" x14ac:dyDescent="0.25">
      <c r="A2" s="1" t="s">
        <v>12</v>
      </c>
      <c r="B2" s="28"/>
      <c r="C2" s="26"/>
      <c r="D2" s="26"/>
      <c r="E2" s="32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" s="32" t="e">
        <f>TEXT(Таблица13[[#This Row],[Потери]],"0,0") &amp; "-" &amp;Таблица13[[#This Row],[Полная марка кабеля]]</f>
        <v>#DIV/0!</v>
      </c>
    </row>
    <row r="3" spans="1:6" x14ac:dyDescent="0.25">
      <c r="A3" s="1" t="s">
        <v>12</v>
      </c>
      <c r="B3" s="13" t="s">
        <v>341</v>
      </c>
      <c r="C3" s="1" t="s">
        <v>77</v>
      </c>
      <c r="D3" s="1" t="s">
        <v>76</v>
      </c>
      <c r="E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ШС-12-2/M01-18,5-35,0-15</v>
      </c>
      <c r="F3" s="1" t="str">
        <f>TEXT(Таблица13[[#This Row],[Потери]],"0,0") &amp; "-" &amp;Таблица13[[#This Row],[Полная марка кабеля]]</f>
        <v>0,3-ВВГнг(A)-LS-5x16</v>
      </c>
    </row>
    <row r="4" spans="1:6" x14ac:dyDescent="0.25">
      <c r="A4" s="1" t="s">
        <v>12</v>
      </c>
      <c r="B4" s="13" t="s">
        <v>342</v>
      </c>
      <c r="C4" s="1" t="s">
        <v>78</v>
      </c>
      <c r="D4" s="1" t="s">
        <v>76</v>
      </c>
      <c r="E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ШС-12-2/M02-15,0-28,4-15</v>
      </c>
      <c r="F4" s="1" t="str">
        <f>TEXT(Таблица13[[#This Row],[Потери]],"0,0") &amp; "-" &amp;Таблица13[[#This Row],[Полная марка кабеля]]</f>
        <v>0,4-ВВГнг(A)-LS-5x10</v>
      </c>
    </row>
    <row r="5" spans="1:6" x14ac:dyDescent="0.25">
      <c r="A5" s="1" t="s">
        <v>12</v>
      </c>
      <c r="B5" s="13" t="s">
        <v>343</v>
      </c>
      <c r="C5" s="1" t="s">
        <v>79</v>
      </c>
      <c r="D5" s="1" t="s">
        <v>76</v>
      </c>
      <c r="E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ШС-12-2/M03-15,5-29,4-15</v>
      </c>
      <c r="F5" s="1" t="str">
        <f>TEXT(Таблица13[[#This Row],[Потери]],"0,0") &amp; "-" &amp;Таблица13[[#This Row],[Полная марка кабеля]]</f>
        <v>0,4-ВВГнг(A)-LS-5x10</v>
      </c>
    </row>
    <row r="6" spans="1:6" x14ac:dyDescent="0.25">
      <c r="A6" s="1" t="s">
        <v>12</v>
      </c>
      <c r="B6" s="13" t="s">
        <v>344</v>
      </c>
      <c r="C6" s="1" t="s">
        <v>80</v>
      </c>
      <c r="D6" s="1" t="s">
        <v>76</v>
      </c>
      <c r="E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ШС-12-2/M04-14,0-26,5-15</v>
      </c>
      <c r="F6" s="1" t="str">
        <f>TEXT(Таблица13[[#This Row],[Потери]],"0,0") &amp; "-" &amp;Таблица13[[#This Row],[Полная марка кабеля]]</f>
        <v>0,3-ВВГнг(A)-LS-5x10</v>
      </c>
    </row>
    <row r="7" spans="1:6" x14ac:dyDescent="0.25">
      <c r="A7" s="1" t="s">
        <v>12</v>
      </c>
      <c r="B7" s="13" t="s">
        <v>345</v>
      </c>
      <c r="C7" s="1" t="s">
        <v>82</v>
      </c>
      <c r="D7" s="1" t="s">
        <v>81</v>
      </c>
      <c r="E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ШС-12-2/M05-10,0-18,9-15</v>
      </c>
      <c r="F7" s="1" t="str">
        <f>TEXT(Таблица13[[#This Row],[Потери]],"0,0") &amp; "-" &amp;Таблица13[[#This Row],[Полная марка кабеля]]</f>
        <v>0,4-ВВГнг(A)-LS-5x6</v>
      </c>
    </row>
    <row r="8" spans="1:6" x14ac:dyDescent="0.25">
      <c r="A8" s="1" t="s">
        <v>12</v>
      </c>
      <c r="B8" s="13" t="s">
        <v>346</v>
      </c>
      <c r="C8" s="1" t="s">
        <v>82</v>
      </c>
      <c r="D8" s="1" t="s">
        <v>81</v>
      </c>
      <c r="E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ШС-12-2/M06-10,0-18,9-15</v>
      </c>
      <c r="F8" s="1" t="str">
        <f>TEXT(Таблица13[[#This Row],[Потери]],"0,0") &amp; "-" &amp;Таблица13[[#This Row],[Полная марка кабеля]]</f>
        <v>0,4-ВВГнг(A)-LS-5x6</v>
      </c>
    </row>
    <row r="9" spans="1:6" x14ac:dyDescent="0.25">
      <c r="A9" s="1" t="s">
        <v>12</v>
      </c>
      <c r="B9" s="13" t="s">
        <v>347</v>
      </c>
      <c r="C9" s="1" t="s">
        <v>83</v>
      </c>
      <c r="D9" s="1" t="s">
        <v>81</v>
      </c>
      <c r="E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ШС-12-2/M07-7,0-13,3-15</v>
      </c>
      <c r="F9" s="1" t="str">
        <f>TEXT(Таблица13[[#This Row],[Потери]],"0,0") &amp; "-" &amp;Таблица13[[#This Row],[Полная марка кабеля]]</f>
        <v>0,3-ВВГнг(A)-LS-5x6</v>
      </c>
    </row>
    <row r="10" spans="1:6" x14ac:dyDescent="0.25">
      <c r="A10" s="1" t="s">
        <v>12</v>
      </c>
      <c r="B10" s="13" t="s">
        <v>348</v>
      </c>
      <c r="C10" s="1" t="s">
        <v>86</v>
      </c>
      <c r="D10" s="1" t="s">
        <v>81</v>
      </c>
      <c r="E1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ШС-12-2/M08-2,3-4,4-15</v>
      </c>
      <c r="F10" s="1" t="str">
        <f>TEXT(Таблица13[[#This Row],[Потери]],"0,0") &amp; "-" &amp;Таблица13[[#This Row],[Полная марка кабеля]]</f>
        <v>0,1-ВВГнг(A)-LS-5x6</v>
      </c>
    </row>
    <row r="11" spans="1:6" x14ac:dyDescent="0.25">
      <c r="A11" s="1" t="s">
        <v>12</v>
      </c>
      <c r="B11" s="9" t="s">
        <v>317</v>
      </c>
      <c r="C11" s="1"/>
      <c r="D11" s="9" t="s">
        <v>457</v>
      </c>
      <c r="E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ШС-12-2/M09-19,0-28,8-15</v>
      </c>
      <c r="F11" s="1" t="str">
        <f>TEXT(Таблица13[[#This Row],[Потери]],"0,0") &amp; "-" &amp;Таблица13[[#This Row],[Полная марка кабеля]]</f>
        <v>0,7-ВВГнг(A)-LS-5x6</v>
      </c>
    </row>
    <row r="12" spans="1:6" x14ac:dyDescent="0.25">
      <c r="A12" s="1" t="s">
        <v>12</v>
      </c>
      <c r="B12" s="9"/>
      <c r="C12" s="1"/>
      <c r="D12" s="1" t="s">
        <v>72</v>
      </c>
      <c r="E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ШС-12-2/M10-2,0-10,1-10</v>
      </c>
      <c r="F12" s="1" t="str">
        <f>TEXT(Таблица13[[#This Row],[Потери]],"0,0") &amp; "-" &amp;Таблица13[[#This Row],[Полная марка кабеля]]</f>
        <v>0,7-ВВГнг(A)-LS-3x2,5</v>
      </c>
    </row>
    <row r="13" spans="1:6" x14ac:dyDescent="0.25">
      <c r="A13" s="1" t="s">
        <v>12</v>
      </c>
      <c r="B13" s="9"/>
      <c r="C13" s="1"/>
      <c r="D13" s="1" t="s">
        <v>73</v>
      </c>
      <c r="E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ШС-12-2/M11-1,2-5,8-120</v>
      </c>
      <c r="F13" s="1" t="str">
        <f>TEXT(Таблица13[[#This Row],[Потери]],"0,0") &amp; "-" &amp;Таблица13[[#This Row],[Полная марка кабеля]]</f>
        <v>5,5-ВВГнг(A)-LS-3x2,5</v>
      </c>
    </row>
    <row r="14" spans="1:6" x14ac:dyDescent="0.25">
      <c r="A14" s="1" t="s">
        <v>13</v>
      </c>
      <c r="B14" s="9"/>
      <c r="C14" s="1"/>
      <c r="D14" s="1"/>
      <c r="E14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4" s="25" t="e">
        <f>TEXT(Таблица13[[#This Row],[Потери]],"0,0") &amp; "-" &amp;Таблица13[[#This Row],[Полная марка кабеля]]</f>
        <v>#DIV/0!</v>
      </c>
    </row>
    <row r="15" spans="1:6" x14ac:dyDescent="0.25">
      <c r="A15" s="1" t="s">
        <v>13</v>
      </c>
      <c r="B15" s="13" t="s">
        <v>366</v>
      </c>
      <c r="C15" s="1" t="s">
        <v>87</v>
      </c>
      <c r="D15" s="1" t="s">
        <v>66</v>
      </c>
      <c r="E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ШС-12-1/M01-24,0-36,4-10</v>
      </c>
      <c r="F15" s="1" t="str">
        <f>TEXT(Таблица13[[#This Row],[Потери]],"0,0") &amp; "-" &amp;Таблица13[[#This Row],[Полная марка кабеля]]</f>
        <v>0,4-ВВГнг(A)-LS-5x10</v>
      </c>
    </row>
    <row r="16" spans="1:6" x14ac:dyDescent="0.25">
      <c r="A16" s="1" t="s">
        <v>13</v>
      </c>
      <c r="B16" s="13" t="s">
        <v>362</v>
      </c>
      <c r="C16" s="1" t="s">
        <v>88</v>
      </c>
      <c r="D16" s="1" t="s">
        <v>67</v>
      </c>
      <c r="E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ШС-12-1/M02-12,0-18,2-10</v>
      </c>
      <c r="F16" s="1" t="str">
        <f>TEXT(Таблица13[[#This Row],[Потери]],"0,0") &amp; "-" &amp;Таблица13[[#This Row],[Полная марка кабеля]]</f>
        <v>0,5-ВВГнг(A)-LS-5x4</v>
      </c>
    </row>
    <row r="17" spans="1:6" x14ac:dyDescent="0.25">
      <c r="A17" s="1" t="s">
        <v>13</v>
      </c>
      <c r="B17" s="13" t="s">
        <v>363</v>
      </c>
      <c r="C17" s="1" t="s">
        <v>88</v>
      </c>
      <c r="D17" s="1" t="s">
        <v>67</v>
      </c>
      <c r="E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ШС-12-1/M03-12,0-18,2-10</v>
      </c>
      <c r="F17" s="1" t="str">
        <f>TEXT(Таблица13[[#This Row],[Потери]],"0,0") &amp; "-" &amp;Таблица13[[#This Row],[Полная марка кабеля]]</f>
        <v>0,5-ВВГнг(A)-LS-5x4</v>
      </c>
    </row>
    <row r="18" spans="1:6" x14ac:dyDescent="0.25">
      <c r="A18" s="1" t="s">
        <v>13</v>
      </c>
      <c r="B18" s="13" t="s">
        <v>375</v>
      </c>
      <c r="C18" s="1" t="s">
        <v>89</v>
      </c>
      <c r="D18" s="1" t="s">
        <v>68</v>
      </c>
      <c r="E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ШС-12-1/M04-5,5-10,4-15</v>
      </c>
      <c r="F18" s="1" t="str">
        <f>TEXT(Таблица13[[#This Row],[Потери]],"0,0") &amp; "-" &amp;Таблица13[[#This Row],[Полная марка кабеля]]</f>
        <v>0,3-ВВГнг(A)-LS-5x4</v>
      </c>
    </row>
    <row r="19" spans="1:6" x14ac:dyDescent="0.25">
      <c r="A19" s="1" t="s">
        <v>13</v>
      </c>
      <c r="B19" s="13" t="s">
        <v>320</v>
      </c>
      <c r="C19" s="1"/>
      <c r="D19" s="1" t="s">
        <v>279</v>
      </c>
      <c r="E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ШС-12-1/M05-4,0-7,6-15</v>
      </c>
      <c r="F19" s="1" t="str">
        <f>TEXT(Таблица13[[#This Row],[Потери]],"0,0") &amp; "-" &amp;Таблица13[[#This Row],[Полная марка кабеля]]</f>
        <v>0,4-ВВГнг(A)-LS-5x2,5</v>
      </c>
    </row>
    <row r="20" spans="1:6" x14ac:dyDescent="0.25">
      <c r="A20" s="1" t="s">
        <v>13</v>
      </c>
      <c r="B20" s="13" t="s">
        <v>351</v>
      </c>
      <c r="C20" s="1" t="s">
        <v>93</v>
      </c>
      <c r="D20" s="1" t="s">
        <v>74</v>
      </c>
      <c r="E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ШС-12-1/M06-1,1-2,1-15</v>
      </c>
      <c r="F20" s="1" t="str">
        <f>TEXT(Таблица13[[#This Row],[Потери]],"0,0") &amp; "-" &amp;Таблица13[[#This Row],[Полная марка кабеля]]</f>
        <v>0,1-ВВГнг(A)-LS-5x2,5</v>
      </c>
    </row>
    <row r="21" spans="1:6" x14ac:dyDescent="0.25">
      <c r="A21" s="1" t="s">
        <v>13</v>
      </c>
      <c r="B21" s="9" t="s">
        <v>390</v>
      </c>
      <c r="C21" s="1" t="s">
        <v>91</v>
      </c>
      <c r="D21" s="1" t="s">
        <v>69</v>
      </c>
      <c r="E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ШС-12-1/M07-0,9-1,7-15</v>
      </c>
      <c r="F21" s="1" t="str">
        <f>TEXT(Таблица13[[#This Row],[Потери]],"0,0") &amp; "-" &amp;Таблица13[[#This Row],[Полная марка кабеля]]</f>
        <v>0,1-ВВГнг(A)-LS-5x2,5</v>
      </c>
    </row>
    <row r="22" spans="1:6" x14ac:dyDescent="0.25">
      <c r="A22" s="1" t="s">
        <v>13</v>
      </c>
      <c r="B22" s="9" t="s">
        <v>391</v>
      </c>
      <c r="C22" s="1" t="s">
        <v>92</v>
      </c>
      <c r="D22" s="1" t="s">
        <v>70</v>
      </c>
      <c r="E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ШС-12-1/M08-1,2-6,8-10</v>
      </c>
      <c r="F22" s="1" t="str">
        <f>TEXT(Таблица13[[#This Row],[Потери]],"0,0") &amp; "-" &amp;Таблица13[[#This Row],[Полная марка кабеля]]</f>
        <v>0,4-ВВГнг(A)-LS-3x2,5</v>
      </c>
    </row>
    <row r="23" spans="1:6" x14ac:dyDescent="0.25">
      <c r="A23" s="1" t="s">
        <v>13</v>
      </c>
      <c r="B23" s="9"/>
      <c r="C23" s="1"/>
      <c r="D23" s="1" t="s">
        <v>72</v>
      </c>
      <c r="E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ШС-12-1/M09-2,0-10,1-10</v>
      </c>
      <c r="F23" s="1" t="str">
        <f>TEXT(Таблица13[[#This Row],[Потери]],"0,0") &amp; "-" &amp;Таблица13[[#This Row],[Полная марка кабеля]]</f>
        <v>0,7-ВВГнг(A)-LS-3x2,5</v>
      </c>
    </row>
    <row r="24" spans="1:6" x14ac:dyDescent="0.25">
      <c r="A24" s="1" t="s">
        <v>13</v>
      </c>
      <c r="B24" s="9"/>
      <c r="C24" s="1"/>
      <c r="D24" s="1" t="s">
        <v>72</v>
      </c>
      <c r="E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ШС-12-1/M10-2,0-10,1-10</v>
      </c>
      <c r="F24" s="1" t="str">
        <f>TEXT(Таблица13[[#This Row],[Потери]],"0,0") &amp; "-" &amp;Таблица13[[#This Row],[Полная марка кабеля]]</f>
        <v>0,7-ВВГнг(A)-LS-3x2,5</v>
      </c>
    </row>
    <row r="25" spans="1:6" x14ac:dyDescent="0.25">
      <c r="A25" s="1" t="s">
        <v>13</v>
      </c>
      <c r="B25" s="9"/>
      <c r="C25" s="1"/>
      <c r="D25" s="1" t="s">
        <v>71</v>
      </c>
      <c r="E2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ШС-12-1/M11-0,5-2,5-10</v>
      </c>
      <c r="F25" s="1" t="str">
        <f>TEXT(Таблица13[[#This Row],[Потери]],"0,0") &amp; "-" &amp;Таблица13[[#This Row],[Полная марка кабеля]]</f>
        <v>0,2-ВВГнг(A)-LS-3x2,5</v>
      </c>
    </row>
    <row r="26" spans="1:6" x14ac:dyDescent="0.25">
      <c r="A26" s="1" t="s">
        <v>13</v>
      </c>
      <c r="B26" s="9"/>
      <c r="C26" s="1"/>
      <c r="D26" s="1" t="s">
        <v>72</v>
      </c>
      <c r="E2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ШС-12-1/M12-2,0-10,1-10</v>
      </c>
      <c r="F26" s="1" t="str">
        <f>TEXT(Таблица13[[#This Row],[Потери]],"0,0") &amp; "-" &amp;Таблица13[[#This Row],[Полная марка кабеля]]</f>
        <v>0,7-ВВГнг(A)-LS-3x2,5</v>
      </c>
    </row>
    <row r="27" spans="1:6" x14ac:dyDescent="0.25">
      <c r="A27" s="1" t="s">
        <v>13</v>
      </c>
      <c r="B27" s="9"/>
      <c r="C27" s="1"/>
      <c r="D27" s="1" t="s">
        <v>73</v>
      </c>
      <c r="E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ШС-12-1/M13-0,5-2,2-45</v>
      </c>
      <c r="F27" s="1" t="str">
        <f>TEXT(Таблица13[[#This Row],[Потери]],"0,0") &amp; "-" &amp;Таблица13[[#This Row],[Полная марка кабеля]]</f>
        <v>1,3-ВВГнг(A)-LS-3x1,5</v>
      </c>
    </row>
    <row r="28" spans="1:6" x14ac:dyDescent="0.25">
      <c r="A28" s="1" t="s">
        <v>14</v>
      </c>
      <c r="B28" s="9"/>
      <c r="C28" s="1"/>
      <c r="D28" s="1"/>
      <c r="E28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8" s="25" t="e">
        <f>TEXT(Таблица13[[#This Row],[Потери]],"0,0") &amp; "-" &amp;Таблица13[[#This Row],[Полная марка кабеля]]</f>
        <v>#DIV/0!</v>
      </c>
    </row>
    <row r="29" spans="1:6" x14ac:dyDescent="0.25">
      <c r="A29" s="1" t="s">
        <v>14</v>
      </c>
      <c r="B29" s="9" t="s">
        <v>13</v>
      </c>
      <c r="C29" s="1" t="s">
        <v>511</v>
      </c>
      <c r="D29" s="1" t="s">
        <v>263</v>
      </c>
      <c r="E2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ШС-12/M01-67,7-86,8-50</v>
      </c>
      <c r="F29" s="1" t="str">
        <f>TEXT(Таблица13[[#This Row],[Потери]],"0,0") &amp; "-" &amp;Таблица13[[#This Row],[Полная марка кабеля]]</f>
        <v>0,7-КГ-3x70+1x25</v>
      </c>
    </row>
    <row r="30" spans="1:6" x14ac:dyDescent="0.25">
      <c r="A30" s="1" t="s">
        <v>14</v>
      </c>
      <c r="B30" s="13" t="s">
        <v>297</v>
      </c>
      <c r="C30" s="1" t="s">
        <v>84</v>
      </c>
      <c r="D30" s="1" t="s">
        <v>94</v>
      </c>
      <c r="E3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ШС-12/M02-76,0-143,9-100</v>
      </c>
      <c r="F30" s="1" t="str">
        <f>TEXT(Таблица13[[#This Row],[Потери]],"0,0") &amp; "-" &amp;Таблица13[[#This Row],[Полная марка кабеля]]</f>
        <v>1,6-ВВГнг(A)-LS-5x95</v>
      </c>
    </row>
    <row r="31" spans="1:6" x14ac:dyDescent="0.25">
      <c r="A31" s="1" t="s">
        <v>14</v>
      </c>
      <c r="B31" s="13" t="s">
        <v>298</v>
      </c>
      <c r="C31" s="1" t="s">
        <v>90</v>
      </c>
      <c r="D31" s="1" t="s">
        <v>94</v>
      </c>
      <c r="E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ШС-12/M03-4,0-7,6-20</v>
      </c>
      <c r="F31" s="1" t="str">
        <f>TEXT(Таблица13[[#This Row],[Потери]],"0,0") &amp; "-" &amp;Таблица13[[#This Row],[Полная марка кабеля]]</f>
        <v>0,2-ВВГнг(A)-LS-5x6</v>
      </c>
    </row>
    <row r="32" spans="1:6" x14ac:dyDescent="0.25">
      <c r="A32" s="1" t="s">
        <v>14</v>
      </c>
      <c r="B32" s="9" t="s">
        <v>12</v>
      </c>
      <c r="C32" s="1" t="s">
        <v>511</v>
      </c>
      <c r="D32" s="1" t="s">
        <v>263</v>
      </c>
      <c r="E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ШС-12/M04-114,5-167,1-50</v>
      </c>
      <c r="F32" s="1" t="str">
        <f>TEXT(Таблица13[[#This Row],[Потери]],"0,0") &amp; "-" &amp;Таблица13[[#This Row],[Полная марка кабеля]]</f>
        <v>0,9-КГ-3x95+1x35</v>
      </c>
    </row>
    <row r="33" spans="1:6" x14ac:dyDescent="0.25">
      <c r="A33" s="1" t="s">
        <v>15</v>
      </c>
      <c r="B33" s="9"/>
      <c r="C33" s="1"/>
      <c r="D33" s="1"/>
      <c r="E3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33" s="25" t="e">
        <f>TEXT(Таблица13[[#This Row],[Потери]],"0,0") &amp; "-" &amp;Таблица13[[#This Row],[Полная марка кабеля]]</f>
        <v>#DIV/0!</v>
      </c>
    </row>
    <row r="34" spans="1:6" x14ac:dyDescent="0.25">
      <c r="A34" s="1" t="s">
        <v>15</v>
      </c>
      <c r="B34" s="19" t="s">
        <v>286</v>
      </c>
      <c r="C34" s="1" t="s">
        <v>99</v>
      </c>
      <c r="D34" s="1" t="s">
        <v>94</v>
      </c>
      <c r="E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ШС-7-2/M01-27,0-51,1-40</v>
      </c>
      <c r="F34" s="1" t="str">
        <f>TEXT(Таблица13[[#This Row],[Потери]],"0,0") &amp; "-" &amp;Таблица13[[#This Row],[Полная марка кабеля]]</f>
        <v>1,1-ВВГнг(A)-LS-5x16</v>
      </c>
    </row>
    <row r="35" spans="1:6" x14ac:dyDescent="0.25">
      <c r="A35" s="1" t="s">
        <v>15</v>
      </c>
      <c r="B35" s="13" t="s">
        <v>315</v>
      </c>
      <c r="C35" s="1"/>
      <c r="D35" s="1" t="s">
        <v>97</v>
      </c>
      <c r="E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ШС-7-2/M02-19,0-28,8-20</v>
      </c>
      <c r="F35" s="1" t="str">
        <f>TEXT(Таблица13[[#This Row],[Потери]],"0,0") &amp; "-" &amp;Таблица13[[#This Row],[Полная марка кабеля]]</f>
        <v>0,4-ВВГнг(A)-LS-5x16</v>
      </c>
    </row>
    <row r="36" spans="1:6" x14ac:dyDescent="0.25">
      <c r="A36" s="1" t="s">
        <v>15</v>
      </c>
      <c r="B36" s="13" t="s">
        <v>285</v>
      </c>
      <c r="C36" s="1" t="s">
        <v>100</v>
      </c>
      <c r="D36" s="1" t="s">
        <v>94</v>
      </c>
      <c r="E3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ШС-7-2/M03-19,0-36,0-30</v>
      </c>
      <c r="F36" s="1" t="str">
        <f>TEXT(Таблица13[[#This Row],[Потери]],"0,0") &amp; "-" &amp;Таблица13[[#This Row],[Полная марка кабеля]]</f>
        <v>0,6-ВВГнг(A)-LS-5x16</v>
      </c>
    </row>
    <row r="37" spans="1:6" x14ac:dyDescent="0.25">
      <c r="A37" s="1" t="s">
        <v>15</v>
      </c>
      <c r="B37" s="13" t="s">
        <v>314</v>
      </c>
      <c r="C37" s="1"/>
      <c r="D37" s="1" t="s">
        <v>97</v>
      </c>
      <c r="E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ШС-7-2/M04-19,0-28,8-30</v>
      </c>
      <c r="F37" s="1" t="str">
        <f>TEXT(Таблица13[[#This Row],[Потери]],"0,0") &amp; "-" &amp;Таблица13[[#This Row],[Полная марка кабеля]]</f>
        <v>0,6-ВВГнг(A)-LS-5x16</v>
      </c>
    </row>
    <row r="38" spans="1:6" x14ac:dyDescent="0.25">
      <c r="A38" s="1" t="s">
        <v>15</v>
      </c>
      <c r="B38" s="13" t="s">
        <v>394</v>
      </c>
      <c r="C38" s="1"/>
      <c r="D38" s="1" t="s">
        <v>102</v>
      </c>
      <c r="E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ШС-7-2/M05-3,0-5,7-20</v>
      </c>
      <c r="F38" s="1" t="str">
        <f>TEXT(Таблица13[[#This Row],[Потери]],"0,0") &amp; "-" &amp;Таблица13[[#This Row],[Полная марка кабеля]]</f>
        <v>0,1-ВВГнг(A)-LS-5x10</v>
      </c>
    </row>
    <row r="39" spans="1:6" x14ac:dyDescent="0.25">
      <c r="A39" s="1" t="s">
        <v>15</v>
      </c>
      <c r="B39" s="9"/>
      <c r="C39" s="1"/>
      <c r="D39" s="1" t="s">
        <v>73</v>
      </c>
      <c r="E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ШС-7-2/M06-0,2-1,1-50</v>
      </c>
      <c r="F39" s="1" t="str">
        <f>TEXT(Таблица13[[#This Row],[Потери]],"0,0") &amp; "-" &amp;Таблица13[[#This Row],[Полная марка кабеля]]</f>
        <v>0,7-ВВГнг(A)-LS-3x1,5</v>
      </c>
    </row>
    <row r="40" spans="1:6" x14ac:dyDescent="0.25">
      <c r="A40" s="1" t="s">
        <v>15</v>
      </c>
      <c r="B40" s="9"/>
      <c r="C40" s="1"/>
      <c r="D40" s="1" t="s">
        <v>73</v>
      </c>
      <c r="E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ШС-7-2/M07-0,4-1,8-60</v>
      </c>
      <c r="F40" s="1" t="str">
        <f>TEXT(Таблица13[[#This Row],[Потери]],"0,0") &amp; "-" &amp;Таблица13[[#This Row],[Полная марка кабеля]]</f>
        <v>1,4-ВВГнг(A)-LS-3x1,5</v>
      </c>
    </row>
    <row r="41" spans="1:6" x14ac:dyDescent="0.25">
      <c r="A41" s="1" t="s">
        <v>15</v>
      </c>
      <c r="B41" s="9"/>
      <c r="C41" s="1"/>
      <c r="D41" s="1" t="s">
        <v>103</v>
      </c>
      <c r="E4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ШС-7-2/M08-2,0-10,1-25</v>
      </c>
      <c r="F41" s="1" t="str">
        <f>TEXT(Таблица13[[#This Row],[Потери]],"0,0") &amp; "-" &amp;Таблица13[[#This Row],[Полная марка кабеля]]</f>
        <v>1,9-ВВГнг(A)-LS-3x2,5</v>
      </c>
    </row>
    <row r="42" spans="1:6" x14ac:dyDescent="0.25">
      <c r="A42" s="1" t="s">
        <v>16</v>
      </c>
      <c r="B42" s="13" t="s">
        <v>352</v>
      </c>
      <c r="C42" s="1" t="s">
        <v>105</v>
      </c>
      <c r="D42" s="1" t="s">
        <v>104</v>
      </c>
      <c r="E4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ШС-7-1/M01-10,0-18,9-30</v>
      </c>
      <c r="F42" s="1" t="str">
        <f>TEXT(Таблица13[[#This Row],[Потери]],"0,0") &amp; "-" &amp;Таблица13[[#This Row],[Полная марка кабеля]]</f>
        <v>0,3-ВВГнг(A)-LS-5x16</v>
      </c>
    </row>
    <row r="43" spans="1:6" x14ac:dyDescent="0.25">
      <c r="A43" s="1" t="s">
        <v>16</v>
      </c>
      <c r="B43" s="13" t="s">
        <v>353</v>
      </c>
      <c r="C43" s="1" t="s">
        <v>105</v>
      </c>
      <c r="D43" s="1" t="s">
        <v>104</v>
      </c>
      <c r="E4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ШС-7-1/M02-10,0-18,9-35</v>
      </c>
      <c r="F43" s="1" t="str">
        <f>TEXT(Таблица13[[#This Row],[Потери]],"0,0") &amp; "-" &amp;Таблица13[[#This Row],[Полная марка кабеля]]</f>
        <v>0,4-ВВГнг(A)-LS-5x16</v>
      </c>
    </row>
    <row r="44" spans="1:6" x14ac:dyDescent="0.25">
      <c r="A44" s="1" t="s">
        <v>16</v>
      </c>
      <c r="B44" s="13" t="s">
        <v>354</v>
      </c>
      <c r="C44" s="1" t="s">
        <v>105</v>
      </c>
      <c r="D44" s="1" t="s">
        <v>104</v>
      </c>
      <c r="E4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ШС-7-1/M03-10,0-18,9-40</v>
      </c>
      <c r="F44" s="1" t="str">
        <f>TEXT(Таблица13[[#This Row],[Потери]],"0,0") &amp; "-" &amp;Таблица13[[#This Row],[Полная марка кабеля]]</f>
        <v>0,4-ВВГнг(A)-LS-5x16</v>
      </c>
    </row>
    <row r="45" spans="1:6" x14ac:dyDescent="0.25">
      <c r="A45" s="1" t="s">
        <v>16</v>
      </c>
      <c r="B45" s="13" t="s">
        <v>355</v>
      </c>
      <c r="C45" s="1" t="s">
        <v>105</v>
      </c>
      <c r="D45" s="1" t="s">
        <v>104</v>
      </c>
      <c r="E4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ШС-7-1/M04-10,0-18,9-45</v>
      </c>
      <c r="F45" s="1" t="str">
        <f>TEXT(Таблица13[[#This Row],[Потери]],"0,0") &amp; "-" &amp;Таблица13[[#This Row],[Полная марка кабеля]]</f>
        <v>0,5-ВВГнг(A)-LS-5x16</v>
      </c>
    </row>
    <row r="46" spans="1:6" x14ac:dyDescent="0.25">
      <c r="A46" s="1" t="s">
        <v>17</v>
      </c>
      <c r="B46" s="9" t="s">
        <v>16</v>
      </c>
      <c r="C46" s="1" t="s">
        <v>512</v>
      </c>
      <c r="D46" s="1" t="s">
        <v>263</v>
      </c>
      <c r="E4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ШС-7/M01-40,0-60,6-30</v>
      </c>
      <c r="F46" s="1" t="str">
        <f>TEXT(Таблица13[[#This Row],[Потери]],"0,0") &amp; "-" &amp;Таблица13[[#This Row],[Полная марка кабеля]]</f>
        <v>0,5-КГ-3x35+1x10</v>
      </c>
    </row>
    <row r="47" spans="1:6" x14ac:dyDescent="0.25">
      <c r="A47" s="1" t="s">
        <v>17</v>
      </c>
      <c r="B47" s="9" t="s">
        <v>15</v>
      </c>
      <c r="C47" s="1" t="s">
        <v>511</v>
      </c>
      <c r="D47" s="1" t="s">
        <v>263</v>
      </c>
      <c r="E4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ШС-7/M00-51,6-77,7-20</v>
      </c>
      <c r="F47" s="1" t="str">
        <f>TEXT(Таблица13[[#This Row],[Потери]],"0,0") &amp; "-" &amp;Таблица13[[#This Row],[Полная марка кабеля]]</f>
        <v>0,2-КГ-3x95+1x35</v>
      </c>
    </row>
    <row r="48" spans="1:6" x14ac:dyDescent="0.25">
      <c r="A48" s="1" t="s">
        <v>17</v>
      </c>
      <c r="B48" s="13" t="s">
        <v>287</v>
      </c>
      <c r="C48" s="1" t="s">
        <v>100</v>
      </c>
      <c r="D48" s="1" t="s">
        <v>94</v>
      </c>
      <c r="E4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ШС-7/M02-19,0-36,0-10</v>
      </c>
      <c r="F48" s="1" t="str">
        <f>TEXT(Таблица13[[#This Row],[Потери]],"0,0") &amp; "-" &amp;Таблица13[[#This Row],[Полная марка кабеля]]</f>
        <v>0,1-ВВГнг(A)-LS-5x35</v>
      </c>
    </row>
    <row r="49" spans="1:6" x14ac:dyDescent="0.25">
      <c r="A49" s="1" t="s">
        <v>17</v>
      </c>
      <c r="B49" s="9"/>
      <c r="C49" s="1"/>
      <c r="D49" s="1" t="s">
        <v>498</v>
      </c>
      <c r="E49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49" s="25" t="e">
        <f>TEXT(Таблица13[[#This Row],[Потери]],"0,0") &amp; "-" &amp;Таблица13[[#This Row],[Полная марка кабеля]]</f>
        <v>#DIV/0!</v>
      </c>
    </row>
    <row r="50" spans="1:6" x14ac:dyDescent="0.25">
      <c r="A50" s="1" t="s">
        <v>18</v>
      </c>
      <c r="B50" s="13" t="s">
        <v>307</v>
      </c>
      <c r="C50" s="1" t="s">
        <v>108</v>
      </c>
      <c r="D50" s="1" t="s">
        <v>94</v>
      </c>
      <c r="E5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ШС-3-1/M01-33,0-62,5-10</v>
      </c>
      <c r="F50" s="1" t="str">
        <f>TEXT(Таблица13[[#This Row],[Потери]],"0,0") &amp; "-" &amp;Таблица13[[#This Row],[Полная марка кабеля]]</f>
        <v>0,2-ВВГнг(A)-LS-5x25</v>
      </c>
    </row>
    <row r="51" spans="1:6" x14ac:dyDescent="0.25">
      <c r="A51" s="1" t="s">
        <v>18</v>
      </c>
      <c r="B51" s="13" t="s">
        <v>308</v>
      </c>
      <c r="C51" s="1" t="s">
        <v>108</v>
      </c>
      <c r="D51" s="1" t="s">
        <v>94</v>
      </c>
      <c r="E5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ШС-3-1/M02-33,0-62,5-10</v>
      </c>
      <c r="F51" s="1" t="str">
        <f>TEXT(Таблица13[[#This Row],[Потери]],"0,0") &amp; "-" &amp;Таблица13[[#This Row],[Полная марка кабеля]]</f>
        <v>0,2-ВВГнг(A)-LS-5x25</v>
      </c>
    </row>
    <row r="52" spans="1:6" x14ac:dyDescent="0.25">
      <c r="A52" s="1" t="s">
        <v>18</v>
      </c>
      <c r="B52" s="13" t="s">
        <v>299</v>
      </c>
      <c r="C52" s="1" t="s">
        <v>109</v>
      </c>
      <c r="D52" s="1" t="s">
        <v>94</v>
      </c>
      <c r="E5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ШС-3-1/M03-22,0-41,7-10</v>
      </c>
      <c r="F52" s="1" t="str">
        <f>TEXT(Таблица13[[#This Row],[Потери]],"0,0") &amp; "-" &amp;Таблица13[[#This Row],[Полная марка кабеля]]</f>
        <v>0,2-ВВГнг(A)-LS-5x16</v>
      </c>
    </row>
    <row r="53" spans="1:6" x14ac:dyDescent="0.25">
      <c r="A53" s="1" t="s">
        <v>18</v>
      </c>
      <c r="B53" s="13" t="s">
        <v>300</v>
      </c>
      <c r="C53" s="1" t="s">
        <v>109</v>
      </c>
      <c r="D53" s="1" t="s">
        <v>94</v>
      </c>
      <c r="E5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ШС-3-1/M04-22,0-41,7-10</v>
      </c>
      <c r="F53" s="1" t="str">
        <f>TEXT(Таблица13[[#This Row],[Потери]],"0,0") &amp; "-" &amp;Таблица13[[#This Row],[Полная марка кабеля]]</f>
        <v>0,2-ВВГнг(A)-LS-5x16</v>
      </c>
    </row>
    <row r="54" spans="1:6" x14ac:dyDescent="0.25">
      <c r="A54" s="1" t="s">
        <v>18</v>
      </c>
      <c r="B54" s="13" t="s">
        <v>318</v>
      </c>
      <c r="C54" s="1"/>
      <c r="D54" s="1" t="s">
        <v>97</v>
      </c>
      <c r="E5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ШС-3-1/M05-27,0-40,9-10</v>
      </c>
      <c r="F54" s="1" t="str">
        <f>TEXT(Таблица13[[#This Row],[Потери]],"0,0") &amp; "-" &amp;Таблица13[[#This Row],[Полная марка кабеля]]</f>
        <v>0,3-ВВГнг(A)-LS-5x16</v>
      </c>
    </row>
    <row r="55" spans="1:6" x14ac:dyDescent="0.25">
      <c r="A55" s="1" t="s">
        <v>18</v>
      </c>
      <c r="B55" s="9"/>
      <c r="C55" s="1"/>
      <c r="D55" s="1" t="s">
        <v>72</v>
      </c>
      <c r="E5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ШС-3-1/M06-2,0-10,1-10</v>
      </c>
      <c r="F55" s="1" t="str">
        <f>TEXT(Таблица13[[#This Row],[Потери]],"0,0") &amp; "-" &amp;Таблица13[[#This Row],[Полная марка кабеля]]</f>
        <v>0,7-ВВГнг(A)-LS-3x2,5</v>
      </c>
    </row>
    <row r="56" spans="1:6" x14ac:dyDescent="0.25">
      <c r="A56" s="1" t="s">
        <v>18</v>
      </c>
      <c r="B56" s="13" t="s">
        <v>294</v>
      </c>
      <c r="C56" s="1" t="s">
        <v>111</v>
      </c>
      <c r="D56" s="1" t="s">
        <v>94</v>
      </c>
      <c r="E5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ШС-3-1/M07-27,0-51,1-40</v>
      </c>
      <c r="F56" s="1" t="str">
        <f>TEXT(Таблица13[[#This Row],[Потери]],"0,0") &amp; "-" &amp;Таблица13[[#This Row],[Полная марка кабеля]]</f>
        <v>0,5-ВВГнг(A)-LS-5x35</v>
      </c>
    </row>
    <row r="57" spans="1:6" x14ac:dyDescent="0.25">
      <c r="A57" s="1" t="s">
        <v>19</v>
      </c>
      <c r="B57" s="13" t="s">
        <v>335</v>
      </c>
      <c r="C57" s="1" t="s">
        <v>114</v>
      </c>
      <c r="D57" s="1" t="s">
        <v>407</v>
      </c>
      <c r="E5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ТП-3721/M01-116,0-175,8-100</v>
      </c>
      <c r="F57" s="1" t="str">
        <f>TEXT(Таблица13[[#This Row],[Потери]],"0,0") &amp; "-" &amp;Таблица13[[#This Row],[Полная марка кабеля]]</f>
        <v>1,9-КГ-3x95+1x35</v>
      </c>
    </row>
    <row r="58" spans="1:6" x14ac:dyDescent="0.25">
      <c r="A58" s="1" t="s">
        <v>19</v>
      </c>
      <c r="B58" s="13" t="s">
        <v>336</v>
      </c>
      <c r="C58" s="1" t="s">
        <v>114</v>
      </c>
      <c r="D58" s="1" t="s">
        <v>407</v>
      </c>
      <c r="E5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ТП-3721/M02-116,0-175,8-100</v>
      </c>
      <c r="F58" s="1" t="str">
        <f>TEXT(Таблица13[[#This Row],[Потери]],"0,0") &amp; "-" &amp;Таблица13[[#This Row],[Полная марка кабеля]]</f>
        <v>1,9-КГ-3x95+1x35</v>
      </c>
    </row>
    <row r="59" spans="1:6" x14ac:dyDescent="0.25">
      <c r="A59" s="1" t="s">
        <v>19</v>
      </c>
      <c r="B59" s="9" t="s">
        <v>18</v>
      </c>
      <c r="C59" s="1" t="s">
        <v>512</v>
      </c>
      <c r="D59" s="1" t="s">
        <v>263</v>
      </c>
      <c r="E5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ТП-3721/M03-166,0-243,0-130</v>
      </c>
      <c r="F59" s="1" t="str">
        <f>TEXT(Таблица13[[#This Row],[Потери]],"0,0") &amp; "-" &amp;Таблица13[[#This Row],[Полная марка кабеля]]</f>
        <v>3,5-КГ-3x95+1x35</v>
      </c>
    </row>
    <row r="60" spans="1:6" x14ac:dyDescent="0.25">
      <c r="A60" s="1" t="s">
        <v>19</v>
      </c>
      <c r="B60" s="13" t="s">
        <v>334</v>
      </c>
      <c r="C60" s="1" t="s">
        <v>114</v>
      </c>
      <c r="D60" s="1" t="s">
        <v>407</v>
      </c>
      <c r="E6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ТП-3721/M04-116,0-175,8-100</v>
      </c>
      <c r="F60" s="1" t="str">
        <f>TEXT(Таблица13[[#This Row],[Потери]],"0,0") &amp; "-" &amp;Таблица13[[#This Row],[Полная марка кабеля]]</f>
        <v>1,9-КГ-3x95+1x35</v>
      </c>
    </row>
    <row r="61" spans="1:6" x14ac:dyDescent="0.25">
      <c r="A61" s="1" t="s">
        <v>19</v>
      </c>
      <c r="B61" s="13" t="s">
        <v>328</v>
      </c>
      <c r="C61" s="1" t="s">
        <v>115</v>
      </c>
      <c r="D61" s="1" t="s">
        <v>407</v>
      </c>
      <c r="E6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ТП-3721/M05-90,0-136,4-100</v>
      </c>
      <c r="F61" s="1" t="str">
        <f>TEXT(Таблица13[[#This Row],[Потери]],"0,0") &amp; "-" &amp;Таблица13[[#This Row],[Полная марка кабеля]]</f>
        <v>1,5-КГ-3x95+1x35</v>
      </c>
    </row>
    <row r="62" spans="1:6" x14ac:dyDescent="0.25">
      <c r="A62" s="1" t="s">
        <v>19</v>
      </c>
      <c r="B62" s="13" t="s">
        <v>365</v>
      </c>
      <c r="C62" s="1" t="s">
        <v>116</v>
      </c>
      <c r="D62" s="1" t="s">
        <v>406</v>
      </c>
      <c r="E6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ТП-3721/M06-110,0-166,7-50</v>
      </c>
      <c r="F62" s="1" t="str">
        <f>TEXT(Таблица13[[#This Row],[Потери]],"0,0") &amp; "-" &amp;Таблица13[[#This Row],[Полная марка кабеля]]</f>
        <v>0,9-КГ-3x95+1x35</v>
      </c>
    </row>
    <row r="63" spans="1:6" x14ac:dyDescent="0.25">
      <c r="A63" s="1" t="s">
        <v>19</v>
      </c>
      <c r="B63" s="9" t="s">
        <v>17</v>
      </c>
      <c r="C63" s="1" t="s">
        <v>512</v>
      </c>
      <c r="D63" s="1" t="s">
        <v>263</v>
      </c>
      <c r="E6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ТП-3721/M07-110,6-167,1-90</v>
      </c>
      <c r="F63" s="1" t="str">
        <f>TEXT(Таблица13[[#This Row],[Потери]],"0,0") &amp; "-" &amp;Таблица13[[#This Row],[Полная марка кабеля]]</f>
        <v>1,6-КГ-3x95+1x35</v>
      </c>
    </row>
    <row r="64" spans="1:6" x14ac:dyDescent="0.25">
      <c r="A64" s="1" t="s">
        <v>19</v>
      </c>
      <c r="B64" s="13" t="s">
        <v>332</v>
      </c>
      <c r="C64" s="1" t="s">
        <v>114</v>
      </c>
      <c r="D64" s="1" t="s">
        <v>407</v>
      </c>
      <c r="E6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ТП-3721/M08-116,0-175,8-100</v>
      </c>
      <c r="F64" s="1" t="str">
        <f>TEXT(Таблица13[[#This Row],[Потери]],"0,0") &amp; "-" &amp;Таблица13[[#This Row],[Полная марка кабеля]]</f>
        <v>1,9-КГ-3x95+1x35</v>
      </c>
    </row>
    <row r="65" spans="1:6" x14ac:dyDescent="0.25">
      <c r="A65" s="1" t="s">
        <v>19</v>
      </c>
      <c r="B65" s="9"/>
      <c r="C65" s="1"/>
      <c r="D65" s="1"/>
      <c r="E65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65" s="25" t="e">
        <f>TEXT(Таблица13[[#This Row],[Потери]],"0,0") &amp; "-" &amp;Таблица13[[#This Row],[Полная марка кабеля]]</f>
        <v>#DIV/0!</v>
      </c>
    </row>
    <row r="66" spans="1:6" x14ac:dyDescent="0.25">
      <c r="A66" s="1" t="s">
        <v>19</v>
      </c>
      <c r="B66" s="9"/>
      <c r="C66" s="1"/>
      <c r="D66" s="1"/>
      <c r="E6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66" s="25" t="e">
        <f>TEXT(Таблица13[[#This Row],[Потери]],"0,0") &amp; "-" &amp;Таблица13[[#This Row],[Полная марка кабеля]]</f>
        <v>#DIV/0!</v>
      </c>
    </row>
    <row r="67" spans="1:6" x14ac:dyDescent="0.25">
      <c r="A67" s="1" t="s">
        <v>19</v>
      </c>
      <c r="B67" s="9"/>
      <c r="C67" s="1"/>
      <c r="D67" s="1"/>
      <c r="E67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67" s="25" t="e">
        <f>TEXT(Таблица13[[#This Row],[Потери]],"0,0") &amp; "-" &amp;Таблица13[[#This Row],[Полная марка кабеля]]</f>
        <v>#DIV/0!</v>
      </c>
    </row>
    <row r="68" spans="1:6" x14ac:dyDescent="0.25">
      <c r="A68" s="1" t="s">
        <v>19</v>
      </c>
      <c r="B68" s="9" t="s">
        <v>14</v>
      </c>
      <c r="C68" s="1" t="s">
        <v>512</v>
      </c>
      <c r="D68" s="1" t="s">
        <v>263</v>
      </c>
      <c r="E6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ТП-3721/M12-239,2-237,9-140</v>
      </c>
      <c r="F68" s="1" t="str">
        <f>TEXT(Таблица13[[#This Row],[Потери]],"0,0") &amp; "-" &amp;Таблица13[[#This Row],[Полная марка кабеля]]</f>
        <v>3,0-КГ-3x120+1x50</v>
      </c>
    </row>
    <row r="69" spans="1:6" x14ac:dyDescent="0.25">
      <c r="A69" s="1" t="s">
        <v>20</v>
      </c>
      <c r="B69" s="13" t="s">
        <v>284</v>
      </c>
      <c r="C69" s="1" t="s">
        <v>99</v>
      </c>
      <c r="D69" s="1" t="s">
        <v>94</v>
      </c>
      <c r="E6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ШС-12-2/M01-27,0-51,1-10</v>
      </c>
      <c r="F69" s="1" t="str">
        <f>TEXT(Таблица13[[#This Row],[Потери]],"0,0") &amp; "-" &amp;Таблица13[[#This Row],[Полная марка кабеля]]</f>
        <v>0,3-ВВГнг(A)-LS-5x16</v>
      </c>
    </row>
    <row r="70" spans="1:6" x14ac:dyDescent="0.25">
      <c r="A70" s="1" t="s">
        <v>20</v>
      </c>
      <c r="B70" s="13" t="s">
        <v>316</v>
      </c>
      <c r="C70" s="1"/>
      <c r="D70" s="1" t="s">
        <v>97</v>
      </c>
      <c r="E7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ШС-12-2/M02-27,0-40,9-10</v>
      </c>
      <c r="F70" s="1" t="str">
        <f>TEXT(Таблица13[[#This Row],[Потери]],"0,0") &amp; "-" &amp;Таблица13[[#This Row],[Полная марка кабеля]]</f>
        <v>0,3-ВВГнг(A)-LS-5x16</v>
      </c>
    </row>
    <row r="71" spans="1:6" x14ac:dyDescent="0.25">
      <c r="A71" s="1" t="s">
        <v>20</v>
      </c>
      <c r="B71" s="9"/>
      <c r="C71" s="1"/>
      <c r="D71" s="1" t="s">
        <v>72</v>
      </c>
      <c r="E7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ШС-12-2/M03-2,0-10,1-10</v>
      </c>
      <c r="F71" s="1" t="str">
        <f>TEXT(Таблица13[[#This Row],[Потери]],"0,0") &amp; "-" &amp;Таблица13[[#This Row],[Полная марка кабеля]]</f>
        <v>0,7-ВВГнг(A)-LS-3x2,5</v>
      </c>
    </row>
    <row r="72" spans="1:6" x14ac:dyDescent="0.25">
      <c r="A72" s="1" t="s">
        <v>20</v>
      </c>
      <c r="B72" s="9"/>
      <c r="C72" s="1"/>
      <c r="D72" s="1" t="s">
        <v>73</v>
      </c>
      <c r="E7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ШС-12-2/M04-0,5-2,2-70</v>
      </c>
      <c r="F72" s="1" t="str">
        <f>TEXT(Таблица13[[#This Row],[Потери]],"0,0") &amp; "-" &amp;Таблица13[[#This Row],[Полная марка кабеля]]</f>
        <v>2,0-ВВГнг(A)-LS-3x1,5</v>
      </c>
    </row>
    <row r="73" spans="1:6" x14ac:dyDescent="0.25">
      <c r="A73" s="1" t="s">
        <v>21</v>
      </c>
      <c r="B73" s="9" t="s">
        <v>20</v>
      </c>
      <c r="C73" s="1" t="s">
        <v>511</v>
      </c>
      <c r="D73" s="1" t="s">
        <v>263</v>
      </c>
      <c r="E7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ШС-12-1/M00-29,5-55,2-10</v>
      </c>
      <c r="F73" s="1" t="str">
        <f>TEXT(Таблица13[[#This Row],[Потери]],"0,0") &amp; "-" &amp;Таблица13[[#This Row],[Полная марка кабеля]]</f>
        <v>0,1-КГ-3x35+1x10</v>
      </c>
    </row>
    <row r="74" spans="1:6" x14ac:dyDescent="0.25">
      <c r="A74" s="1" t="s">
        <v>21</v>
      </c>
      <c r="B74" s="13" t="s">
        <v>310</v>
      </c>
      <c r="C74" s="1" t="s">
        <v>100</v>
      </c>
      <c r="D74" s="1" t="s">
        <v>94</v>
      </c>
      <c r="E7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ШС-12-1/M01-19,0-36,0-10</v>
      </c>
      <c r="F74" s="1" t="str">
        <f>TEXT(Таблица13[[#This Row],[Потери]],"0,0") &amp; "-" &amp;Таблица13[[#This Row],[Полная марка кабеля]]</f>
        <v>0,2-ВВГнг(A)-LS-5x16</v>
      </c>
    </row>
    <row r="75" spans="1:6" x14ac:dyDescent="0.25">
      <c r="A75" s="1" t="s">
        <v>21</v>
      </c>
      <c r="B75" s="13" t="s">
        <v>295</v>
      </c>
      <c r="C75" s="1" t="s">
        <v>119</v>
      </c>
      <c r="D75" s="1" t="s">
        <v>94</v>
      </c>
      <c r="E7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ШС-12-1/M02-30,0-56,8-10</v>
      </c>
      <c r="F75" s="1" t="str">
        <f>TEXT(Таблица13[[#This Row],[Потери]],"0,0") &amp; "-" &amp;Таблица13[[#This Row],[Полная марка кабеля]]</f>
        <v>0,2-ВВГнг(A)-LS-5x25</v>
      </c>
    </row>
    <row r="76" spans="1:6" x14ac:dyDescent="0.25">
      <c r="A76" s="1" t="s">
        <v>21</v>
      </c>
      <c r="B76" s="9"/>
      <c r="C76" s="1"/>
      <c r="D76" s="1" t="s">
        <v>72</v>
      </c>
      <c r="E7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ШС-12-1/M03-2,0-10,1-10</v>
      </c>
      <c r="F76" s="1" t="str">
        <f>TEXT(Таблица13[[#This Row],[Потери]],"0,0") &amp; "-" &amp;Таблица13[[#This Row],[Полная марка кабеля]]</f>
        <v>0,7-ВВГнг(A)-LS-3x2,5</v>
      </c>
    </row>
    <row r="77" spans="1:6" x14ac:dyDescent="0.25">
      <c r="A77" s="1" t="s">
        <v>21</v>
      </c>
      <c r="B77" s="9"/>
      <c r="C77" s="1"/>
      <c r="D77" s="1" t="s">
        <v>73</v>
      </c>
      <c r="E7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ШС-12-1/M04-0,3-1,4-50</v>
      </c>
      <c r="F77" s="1" t="str">
        <f>TEXT(Таблица13[[#This Row],[Потери]],"0,0") &amp; "-" &amp;Таблица13[[#This Row],[Полная марка кабеля]]</f>
        <v>0,9-ВВГнг(A)-LS-3x1,5</v>
      </c>
    </row>
    <row r="78" spans="1:6" x14ac:dyDescent="0.25">
      <c r="A78" s="1" t="s">
        <v>22</v>
      </c>
      <c r="B78" s="9" t="s">
        <v>21</v>
      </c>
      <c r="C78" s="1" t="s">
        <v>511</v>
      </c>
      <c r="D78" s="1" t="s">
        <v>263</v>
      </c>
      <c r="E7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ШС-12/M00-80,8-121,5-50</v>
      </c>
      <c r="F78" s="1" t="str">
        <f>TEXT(Таблица13[[#This Row],[Потери]],"0,0") &amp; "-" &amp;Таблица13[[#This Row],[Полная марка кабеля]]</f>
        <v>1,1-КГ-3x50+1x16</v>
      </c>
    </row>
    <row r="79" spans="1:6" x14ac:dyDescent="0.25">
      <c r="A79" s="1" t="s">
        <v>22</v>
      </c>
      <c r="B79" s="9" t="s">
        <v>121</v>
      </c>
      <c r="C79" s="1" t="s">
        <v>128</v>
      </c>
      <c r="D79" s="1" t="s">
        <v>131</v>
      </c>
      <c r="E7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ШС-12/M01-19,4-32,7-40</v>
      </c>
      <c r="F79" s="1" t="str">
        <f>TEXT(Таблица13[[#This Row],[Потери]],"0,0") &amp; "-" &amp;Таблица13[[#This Row],[Полная марка кабеля]]</f>
        <v>1,2-ВВГнг(A)-LS-5x10</v>
      </c>
    </row>
    <row r="80" spans="1:6" x14ac:dyDescent="0.25">
      <c r="A80" s="1" t="s">
        <v>22</v>
      </c>
      <c r="B80" s="13" t="s">
        <v>322</v>
      </c>
      <c r="C80" s="1"/>
      <c r="D80" s="1" t="s">
        <v>97</v>
      </c>
      <c r="E8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ШС-12/M02-19,0-28,8-20</v>
      </c>
      <c r="F80" s="1" t="str">
        <f>TEXT(Таблица13[[#This Row],[Потери]],"0,0") &amp; "-" &amp;Таблица13[[#This Row],[Полная марка кабеля]]</f>
        <v>0,6-ВВГнг(A)-LS-5x10</v>
      </c>
    </row>
    <row r="81" spans="1:6" x14ac:dyDescent="0.25">
      <c r="A81" s="1" t="s">
        <v>22</v>
      </c>
      <c r="B81" s="13" t="s">
        <v>305</v>
      </c>
      <c r="C81" s="1" t="s">
        <v>100</v>
      </c>
      <c r="D81" s="1" t="s">
        <v>94</v>
      </c>
      <c r="E8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ШС-12/M03-19,0-36,0-50</v>
      </c>
      <c r="F81" s="1" t="str">
        <f>TEXT(Таблица13[[#This Row],[Потери]],"0,0") &amp; "-" &amp;Таблица13[[#This Row],[Полная марка кабеля]]</f>
        <v>1,0-ВВГнг(A)-LS-5x16</v>
      </c>
    </row>
    <row r="82" spans="1:6" x14ac:dyDescent="0.25">
      <c r="A82" s="1" t="s">
        <v>22</v>
      </c>
      <c r="B82" s="13" t="s">
        <v>323</v>
      </c>
      <c r="C82" s="1"/>
      <c r="D82" s="1" t="s">
        <v>97</v>
      </c>
      <c r="E8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ШС-12/M04-19,0-28,8-20</v>
      </c>
      <c r="F82" s="1" t="str">
        <f>TEXT(Таблица13[[#This Row],[Потери]],"0,0") &amp; "-" &amp;Таблица13[[#This Row],[Полная марка кабеля]]</f>
        <v>0,6-ВВГнг(A)-LS-5x10</v>
      </c>
    </row>
    <row r="83" spans="1:6" x14ac:dyDescent="0.25">
      <c r="A83" s="1" t="s">
        <v>22</v>
      </c>
      <c r="B83" s="13" t="s">
        <v>306</v>
      </c>
      <c r="C83" s="1" t="s">
        <v>100</v>
      </c>
      <c r="D83" s="1" t="s">
        <v>94</v>
      </c>
      <c r="E8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ШС-12/M05-19,0-36,0-50</v>
      </c>
      <c r="F83" s="1" t="str">
        <f>TEXT(Таблица13[[#This Row],[Потери]],"0,0") &amp; "-" &amp;Таблица13[[#This Row],[Полная марка кабеля]]</f>
        <v>1,5-ВВГнг(A)-LS-5x10</v>
      </c>
    </row>
    <row r="84" spans="1:6" x14ac:dyDescent="0.25">
      <c r="A84" s="1" t="s">
        <v>22</v>
      </c>
      <c r="B84" s="9"/>
      <c r="C84" s="1"/>
      <c r="D84" s="1" t="s">
        <v>123</v>
      </c>
      <c r="E8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ШС-12/M06-5,0-9,5-50</v>
      </c>
      <c r="F84" s="1" t="str">
        <f>TEXT(Таблица13[[#This Row],[Потери]],"0,0") &amp; "-" &amp;Таблица13[[#This Row],[Полная марка кабеля]]</f>
        <v>1,0-ВВГнг(A)-LS-5x4</v>
      </c>
    </row>
    <row r="85" spans="1:6" x14ac:dyDescent="0.25">
      <c r="A85" s="1" t="s">
        <v>22</v>
      </c>
      <c r="B85" s="9"/>
      <c r="C85" s="1"/>
      <c r="D85" s="1" t="s">
        <v>124</v>
      </c>
      <c r="E8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ШС-12/M07-2,5-4,2-30</v>
      </c>
      <c r="F85" s="1" t="str">
        <f>TEXT(Таблица13[[#This Row],[Потери]],"0,0") &amp; "-" &amp;Таблица13[[#This Row],[Полная марка кабеля]]</f>
        <v>0,3-ВВГнг(A)-LS-5x4</v>
      </c>
    </row>
    <row r="86" spans="1:6" x14ac:dyDescent="0.25">
      <c r="A86" s="1" t="s">
        <v>22</v>
      </c>
      <c r="B86" s="9" t="s">
        <v>125</v>
      </c>
      <c r="C86" s="1" t="s">
        <v>130</v>
      </c>
      <c r="D86" s="1" t="s">
        <v>129</v>
      </c>
      <c r="E8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ШС-12/M08-18,0-28,7-20</v>
      </c>
      <c r="F86" s="1" t="str">
        <f>TEXT(Таблица13[[#This Row],[Потери]],"0,0") &amp; "-" &amp;Таблица13[[#This Row],[Полная марка кабеля]]</f>
        <v>0,6-ВВГнг(A)-LS-5x10</v>
      </c>
    </row>
    <row r="87" spans="1:6" x14ac:dyDescent="0.25">
      <c r="A87" s="1" t="s">
        <v>22</v>
      </c>
      <c r="B87" s="9"/>
      <c r="C87" s="1"/>
      <c r="D87" s="1" t="s">
        <v>73</v>
      </c>
      <c r="E8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ШС-12/M09-1,4-2,2-130</v>
      </c>
      <c r="F87" s="1" t="str">
        <f>TEXT(Таблица13[[#This Row],[Потери]],"0,0") &amp; "-" &amp;Таблица13[[#This Row],[Полная марка кабеля]]</f>
        <v>1,1-ВВГнг(A)-LS-5x2,5</v>
      </c>
    </row>
    <row r="88" spans="1:6" x14ac:dyDescent="0.25">
      <c r="A88" s="1" t="s">
        <v>23</v>
      </c>
      <c r="B88" s="9"/>
      <c r="C88" s="1"/>
      <c r="D88" s="1" t="s">
        <v>266</v>
      </c>
      <c r="E8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ШС-11/M01-2,0-3,4-10</v>
      </c>
      <c r="F88" s="1" t="str">
        <f>TEXT(Таблица13[[#This Row],[Потери]],"0,0") &amp; "-" &amp;Таблица13[[#This Row],[Полная марка кабеля]]</f>
        <v>0,1-ВВГнг(A)-LS-5x2,5</v>
      </c>
    </row>
    <row r="89" spans="1:6" x14ac:dyDescent="0.25">
      <c r="A89" s="1" t="s">
        <v>23</v>
      </c>
      <c r="B89" s="9"/>
      <c r="C89" s="1"/>
      <c r="D89" s="1" t="s">
        <v>72</v>
      </c>
      <c r="E8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ШС-11/M02-2,0-10,1-10</v>
      </c>
      <c r="F89" s="1" t="str">
        <f>TEXT(Таблица13[[#This Row],[Потери]],"0,0") &amp; "-" &amp;Таблица13[[#This Row],[Полная марка кабеля]]</f>
        <v>0,7-ВВГнг(A)-LS-3x2,5</v>
      </c>
    </row>
    <row r="90" spans="1:6" x14ac:dyDescent="0.25">
      <c r="A90" s="1" t="s">
        <v>23</v>
      </c>
      <c r="B90" s="9"/>
      <c r="C90" s="1"/>
      <c r="D90" s="1" t="s">
        <v>510</v>
      </c>
      <c r="E9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ШС-11/M03-15,0-22,7-10</v>
      </c>
      <c r="F90" s="1" t="str">
        <f>TEXT(Таблица13[[#This Row],[Потери]],"0,0") &amp; "-" &amp;Таблица13[[#This Row],[Полная марка кабеля]]</f>
        <v>0,4-ВВГнг(A)-LS-5x6</v>
      </c>
    </row>
    <row r="91" spans="1:6" x14ac:dyDescent="0.25">
      <c r="A91" s="1" t="s">
        <v>23</v>
      </c>
      <c r="B91" s="9"/>
      <c r="C91" s="1"/>
      <c r="D91" s="1" t="s">
        <v>510</v>
      </c>
      <c r="E9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ШС-11/M04-15,0-22,7-10</v>
      </c>
      <c r="F91" s="1" t="str">
        <f>TEXT(Таблица13[[#This Row],[Потери]],"0,0") &amp; "-" &amp;Таблица13[[#This Row],[Полная марка кабеля]]</f>
        <v>0,4-ВВГнг(A)-LS-5x6</v>
      </c>
    </row>
    <row r="92" spans="1:6" x14ac:dyDescent="0.25">
      <c r="A92" s="1" t="s">
        <v>23</v>
      </c>
      <c r="B92" s="9"/>
      <c r="C92" s="1"/>
      <c r="D92" s="1" t="s">
        <v>267</v>
      </c>
      <c r="E9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ШС-11/M05-5,0-7,6-10</v>
      </c>
      <c r="F92" s="1" t="str">
        <f>TEXT(Таблица13[[#This Row],[Потери]],"0,0") &amp; "-" &amp;Таблица13[[#This Row],[Полная марка кабеля]]</f>
        <v>0,3-ВВГнг(A)-LS-5x2,5</v>
      </c>
    </row>
    <row r="93" spans="1:6" x14ac:dyDescent="0.25">
      <c r="A93" s="1" t="s">
        <v>23</v>
      </c>
      <c r="B93" s="9"/>
      <c r="C93" s="1"/>
      <c r="D93" s="1" t="s">
        <v>268</v>
      </c>
      <c r="E9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ШС-11/M06-0,5-2,4-10</v>
      </c>
      <c r="F93" s="1" t="str">
        <f>TEXT(Таблица13[[#This Row],[Потери]],"0,0") &amp; "-" &amp;Таблица13[[#This Row],[Полная марка кабеля]]</f>
        <v>0,2-ВВГнг(A)-LS-3x2,5</v>
      </c>
    </row>
    <row r="94" spans="1:6" x14ac:dyDescent="0.25">
      <c r="A94" s="1" t="s">
        <v>136</v>
      </c>
      <c r="B94" s="9" t="s">
        <v>508</v>
      </c>
      <c r="C94" s="1" t="s">
        <v>511</v>
      </c>
      <c r="D94" s="1" t="s">
        <v>263</v>
      </c>
      <c r="E94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94" s="1" t="e">
        <f>TEXT(Таблица13[[#This Row],[Потери]],"0,0") &amp; "-" &amp;Таблица13[[#This Row],[Полная марка кабеля]]</f>
        <v>#DIV/0!</v>
      </c>
    </row>
    <row r="95" spans="1:6" x14ac:dyDescent="0.25">
      <c r="A95" s="1" t="s">
        <v>24</v>
      </c>
      <c r="B95" s="13" t="s">
        <v>312</v>
      </c>
      <c r="C95" s="1"/>
      <c r="D95" s="1" t="s">
        <v>97</v>
      </c>
      <c r="E9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ШС-10-1/M01-13,8-20,9-10</v>
      </c>
      <c r="F95" s="1" t="str">
        <f>TEXT(Таблица13[[#This Row],[Потери]],"0,0") &amp; "-" &amp;Таблица13[[#This Row],[Полная марка кабеля]]</f>
        <v>0,2-ВВГнг(A)-LS-5x10</v>
      </c>
    </row>
    <row r="96" spans="1:6" x14ac:dyDescent="0.25">
      <c r="A96" s="1" t="s">
        <v>24</v>
      </c>
      <c r="B96" s="9"/>
      <c r="C96" s="1"/>
      <c r="D96" s="1" t="s">
        <v>498</v>
      </c>
      <c r="E9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96" s="25" t="e">
        <f>TEXT(Таблица13[[#This Row],[Потери]],"0,0") &amp; "-" &amp;Таблица13[[#This Row],[Полная марка кабеля]]</f>
        <v>#DIV/0!</v>
      </c>
    </row>
    <row r="97" spans="1:6" x14ac:dyDescent="0.25">
      <c r="A97" s="1" t="s">
        <v>24</v>
      </c>
      <c r="B97" s="9"/>
      <c r="C97" s="1"/>
      <c r="D97" s="1" t="s">
        <v>498</v>
      </c>
      <c r="E97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97" s="25" t="e">
        <f>TEXT(Таблица13[[#This Row],[Потери]],"0,0") &amp; "-" &amp;Таблица13[[#This Row],[Полная марка кабеля]]</f>
        <v>#DIV/0!</v>
      </c>
    </row>
    <row r="98" spans="1:6" x14ac:dyDescent="0.25">
      <c r="A98" s="1" t="s">
        <v>25</v>
      </c>
      <c r="B98" s="13" t="s">
        <v>303</v>
      </c>
      <c r="C98" s="8"/>
      <c r="D98" s="9" t="s">
        <v>94</v>
      </c>
      <c r="E9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ШС-10/M03-6,0-11,4-10</v>
      </c>
      <c r="F98" s="1" t="str">
        <f>TEXT(Таблица13[[#This Row],[Потери]],"0,0") &amp; "-" &amp;Таблица13[[#This Row],[Полная марка кабеля]]</f>
        <v>0,2-ВВГнг(A)-LS-5x4</v>
      </c>
    </row>
    <row r="99" spans="1:6" x14ac:dyDescent="0.25">
      <c r="A99" s="1" t="s">
        <v>25</v>
      </c>
      <c r="B99" s="9" t="s">
        <v>24</v>
      </c>
      <c r="C99" s="1" t="s">
        <v>511</v>
      </c>
      <c r="D99" s="1" t="s">
        <v>263</v>
      </c>
      <c r="E9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ШС-10/M02-13,8-20,9-10</v>
      </c>
      <c r="F99" s="1" t="str">
        <f>TEXT(Таблица13[[#This Row],[Потери]],"0,0") &amp; "-" &amp;Таблица13[[#This Row],[Полная марка кабеля]]</f>
        <v>0,2-КГ-4x10</v>
      </c>
    </row>
    <row r="100" spans="1:6" x14ac:dyDescent="0.25">
      <c r="A100" s="1" t="s">
        <v>25</v>
      </c>
      <c r="B100" s="13" t="s">
        <v>280</v>
      </c>
      <c r="C100" s="1" t="s">
        <v>133</v>
      </c>
      <c r="D100" s="1" t="s">
        <v>94</v>
      </c>
      <c r="E10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ШС-10/M01-13,8-26,1-10</v>
      </c>
      <c r="F100" s="1" t="str">
        <f>TEXT(Таблица13[[#This Row],[Потери]],"0,0") &amp; "-" &amp;Таблица13[[#This Row],[Полная марка кабеля]]</f>
        <v>0,2-ВВГнг(A)-LS-5x10</v>
      </c>
    </row>
    <row r="101" spans="1:6" x14ac:dyDescent="0.25">
      <c r="A101" s="1" t="s">
        <v>26</v>
      </c>
      <c r="B101" s="9"/>
      <c r="C101" s="1"/>
      <c r="D101" s="1"/>
      <c r="E10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01" s="25" t="e">
        <f>TEXT(Таблица13[[#This Row],[Потери]],"0,0") &amp; "-" &amp;Таблица13[[#This Row],[Полная марка кабеля]]</f>
        <v>#DIV/0!</v>
      </c>
    </row>
    <row r="102" spans="1:6" x14ac:dyDescent="0.25">
      <c r="A102" s="1" t="s">
        <v>26</v>
      </c>
      <c r="B102" s="13" t="s">
        <v>331</v>
      </c>
      <c r="C102" s="1" t="s">
        <v>114</v>
      </c>
      <c r="D102" s="1" t="s">
        <v>407</v>
      </c>
      <c r="E10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ВРУ-В3/M01-116,0-175,8-80</v>
      </c>
      <c r="F102" s="1" t="str">
        <f>TEXT(Таблица13[[#This Row],[Потери]],"0,0") &amp; "-" &amp;Таблица13[[#This Row],[Полная марка кабеля]]</f>
        <v>1,5-КГ-3x95+1x35</v>
      </c>
    </row>
    <row r="103" spans="1:6" x14ac:dyDescent="0.25">
      <c r="A103" s="1" t="s">
        <v>26</v>
      </c>
      <c r="B103" s="9" t="s">
        <v>25</v>
      </c>
      <c r="C103" s="1" t="s">
        <v>512</v>
      </c>
      <c r="D103" s="1" t="s">
        <v>263</v>
      </c>
      <c r="E10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ВРУ-В3/M02-19,8-30,0-30</v>
      </c>
      <c r="F103" s="1" t="str">
        <f>TEXT(Таблица13[[#This Row],[Потери]],"0,0") &amp; "-" &amp;Таблица13[[#This Row],[Полная марка кабеля]]</f>
        <v>0,1-КГ-3x95+1x35</v>
      </c>
    </row>
    <row r="104" spans="1:6" x14ac:dyDescent="0.25">
      <c r="A104" s="1" t="s">
        <v>26</v>
      </c>
      <c r="B104" s="9" t="s">
        <v>136</v>
      </c>
      <c r="C104" s="1" t="s">
        <v>511</v>
      </c>
      <c r="D104" s="1" t="s">
        <v>263</v>
      </c>
      <c r="E10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ВРУ-В3/M03-25,0-37,9-30</v>
      </c>
      <c r="F104" s="1" t="str">
        <f>TEXT(Таблица13[[#This Row],[Потери]],"0,0") &amp; "-" &amp;Таблица13[[#This Row],[Полная марка кабеля]]</f>
        <v>0,6-КГ-4x16</v>
      </c>
    </row>
    <row r="105" spans="1:6" x14ac:dyDescent="0.25">
      <c r="A105" s="1" t="s">
        <v>26</v>
      </c>
      <c r="B105" s="9" t="s">
        <v>23</v>
      </c>
      <c r="C105" s="1" t="s">
        <v>511</v>
      </c>
      <c r="D105" s="1" t="s">
        <v>263</v>
      </c>
      <c r="E10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ВРУ-В3/M04-39,5-48,4-60</v>
      </c>
      <c r="F105" s="1" t="str">
        <f>TEXT(Таблица13[[#This Row],[Потери]],"0,0") &amp; "-" &amp;Таблица13[[#This Row],[Полная марка кабеля]]</f>
        <v>1,9-КГ-4x16</v>
      </c>
    </row>
    <row r="106" spans="1:6" x14ac:dyDescent="0.25">
      <c r="A106" s="1" t="s">
        <v>26</v>
      </c>
      <c r="B106" s="13" t="s">
        <v>329</v>
      </c>
      <c r="C106" s="1" t="s">
        <v>134</v>
      </c>
      <c r="D106" s="1" t="s">
        <v>407</v>
      </c>
      <c r="E10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ВРУ-В3/M05-114,0-172,7-80</v>
      </c>
      <c r="F106" s="1" t="str">
        <f>TEXT(Таблица13[[#This Row],[Потери]],"0,0") &amp; "-" &amp;Таблица13[[#This Row],[Полная марка кабеля]]</f>
        <v>1,5-КГ-3x95+1x35</v>
      </c>
    </row>
    <row r="107" spans="1:6" x14ac:dyDescent="0.25">
      <c r="A107" s="1" t="s">
        <v>26</v>
      </c>
      <c r="B107" s="9" t="s">
        <v>22</v>
      </c>
      <c r="C107" s="1" t="s">
        <v>511</v>
      </c>
      <c r="D107" s="1" t="s">
        <v>263</v>
      </c>
      <c r="E10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ВРУ-В3/M06-165,0-240,8-70</v>
      </c>
      <c r="F107" s="1" t="str">
        <f>TEXT(Таблица13[[#This Row],[Потери]],"0,0") &amp; "-" &amp;Таблица13[[#This Row],[Полная марка кабеля]]</f>
        <v>1,9-КГ-3x95+1x35</v>
      </c>
    </row>
    <row r="108" spans="1:6" x14ac:dyDescent="0.25">
      <c r="A108" s="1" t="s">
        <v>27</v>
      </c>
      <c r="B108" s="13" t="s">
        <v>370</v>
      </c>
      <c r="C108" s="1" t="s">
        <v>165</v>
      </c>
      <c r="D108" s="1" t="s">
        <v>68</v>
      </c>
      <c r="E10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ШС-8-2/M01-50,0-94,7-10</v>
      </c>
      <c r="F108" s="1" t="str">
        <f>TEXT(Таблица13[[#This Row],[Потери]],"0,0") &amp; "-" &amp;Таблица13[[#This Row],[Полная марка кабеля]]</f>
        <v>0,2-ВВГнг(A)-LS-5x35</v>
      </c>
    </row>
    <row r="109" spans="1:6" x14ac:dyDescent="0.25">
      <c r="A109" s="1" t="s">
        <v>27</v>
      </c>
      <c r="B109" s="13" t="s">
        <v>321</v>
      </c>
      <c r="C109" s="1"/>
      <c r="D109" s="1" t="s">
        <v>97</v>
      </c>
      <c r="E10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ШС-8-2/M02-8,0-12,1-15</v>
      </c>
      <c r="F109" s="1" t="str">
        <f>TEXT(Таблица13[[#This Row],[Потери]],"0,0") &amp; "-" &amp;Таблица13[[#This Row],[Полная марка кабеля]]</f>
        <v>0,5-ВВГнг(A)-LS-5x4</v>
      </c>
    </row>
    <row r="110" spans="1:6" x14ac:dyDescent="0.25">
      <c r="A110" s="1" t="s">
        <v>28</v>
      </c>
      <c r="B110" s="13" t="s">
        <v>356</v>
      </c>
      <c r="C110" s="1" t="s">
        <v>146</v>
      </c>
      <c r="D110" s="1" t="s">
        <v>139</v>
      </c>
      <c r="E11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ШС-8-1/M01-13,5-25,6-15</v>
      </c>
      <c r="F110" s="1" t="str">
        <f>TEXT(Таблица13[[#This Row],[Потери]],"0,0") &amp; "-" &amp;Таблица13[[#This Row],[Полная марка кабеля]]</f>
        <v>0,3-ВВГнг(A)-LS-5x10</v>
      </c>
    </row>
    <row r="111" spans="1:6" x14ac:dyDescent="0.25">
      <c r="A111" s="1" t="s">
        <v>28</v>
      </c>
      <c r="B111" s="13" t="s">
        <v>357</v>
      </c>
      <c r="C111" s="1" t="s">
        <v>145</v>
      </c>
      <c r="D111" s="1" t="s">
        <v>139</v>
      </c>
      <c r="E1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ШС-8-1/M02-4,5-8,5-15</v>
      </c>
      <c r="F111" s="1" t="str">
        <f>TEXT(Таблица13[[#This Row],[Потери]],"0,0") &amp; "-" &amp;Таблица13[[#This Row],[Полная марка кабеля]]</f>
        <v>0,3-ВВГнг(A)-LS-5x4</v>
      </c>
    </row>
    <row r="112" spans="1:6" x14ac:dyDescent="0.25">
      <c r="A112" s="1" t="s">
        <v>28</v>
      </c>
      <c r="B112" s="13" t="s">
        <v>371</v>
      </c>
      <c r="C112" s="1" t="s">
        <v>144</v>
      </c>
      <c r="D112" s="1" t="s">
        <v>140</v>
      </c>
      <c r="E1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ШС-8-1/M03-2,5-4,7-15</v>
      </c>
      <c r="F112" s="1" t="str">
        <f>TEXT(Таблица13[[#This Row],[Потери]],"0,0") &amp; "-" &amp;Таблица13[[#This Row],[Полная марка кабеля]]</f>
        <v>0,1-ВВГнг(A)-LS-5x4</v>
      </c>
    </row>
    <row r="113" spans="1:6" x14ac:dyDescent="0.25">
      <c r="A113" s="1" t="s">
        <v>28</v>
      </c>
      <c r="B113" s="13" t="s">
        <v>358</v>
      </c>
      <c r="C113" s="1" t="s">
        <v>148</v>
      </c>
      <c r="D113" s="1" t="s">
        <v>139</v>
      </c>
      <c r="E1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ШС-8-1/M04-13,5-25,6-15</v>
      </c>
      <c r="F113" s="1" t="str">
        <f>TEXT(Таблица13[[#This Row],[Потери]],"0,0") &amp; "-" &amp;Таблица13[[#This Row],[Полная марка кабеля]]</f>
        <v>0,3-ВВГнг(A)-LS-5x10</v>
      </c>
    </row>
    <row r="114" spans="1:6" x14ac:dyDescent="0.25">
      <c r="A114" s="1" t="s">
        <v>28</v>
      </c>
      <c r="B114" s="13" t="s">
        <v>359</v>
      </c>
      <c r="C114" s="1" t="s">
        <v>147</v>
      </c>
      <c r="D114" s="1" t="s">
        <v>139</v>
      </c>
      <c r="E11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ШС-8-1/M05-9,0-17,0-15</v>
      </c>
      <c r="F114" s="1" t="str">
        <f>TEXT(Таблица13[[#This Row],[Потери]],"0,0") &amp; "-" &amp;Таблица13[[#This Row],[Полная марка кабеля]]</f>
        <v>0,5-ВВГнг(A)-LS-5x4</v>
      </c>
    </row>
    <row r="115" spans="1:6" x14ac:dyDescent="0.25">
      <c r="A115" s="1" t="s">
        <v>28</v>
      </c>
      <c r="B115" s="13" t="s">
        <v>396</v>
      </c>
      <c r="C115" s="1" t="s">
        <v>143</v>
      </c>
      <c r="D115" s="1" t="s">
        <v>142</v>
      </c>
      <c r="E1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ШС-8-1/M06-2,6-4,9-15</v>
      </c>
      <c r="F115" s="1" t="str">
        <f>TEXT(Таблица13[[#This Row],[Потери]],"0,0") &amp; "-" &amp;Таблица13[[#This Row],[Полная марка кабеля]]</f>
        <v>0,2-ВВГнг(A)-LS-5x4</v>
      </c>
    </row>
    <row r="116" spans="1:6" x14ac:dyDescent="0.25">
      <c r="A116" s="1" t="s">
        <v>28</v>
      </c>
      <c r="B116" s="13" t="s">
        <v>372</v>
      </c>
      <c r="C116" s="1" t="s">
        <v>149</v>
      </c>
      <c r="D116" s="1" t="s">
        <v>140</v>
      </c>
      <c r="E1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ШС-8-1/M07-2,8-5,3-15</v>
      </c>
      <c r="F116" s="1" t="str">
        <f>TEXT(Таблица13[[#This Row],[Потери]],"0,0") &amp; "-" &amp;Таблица13[[#This Row],[Полная марка кабеля]]</f>
        <v>0,2-ВВГнг(A)-LS-5x4</v>
      </c>
    </row>
    <row r="117" spans="1:6" x14ac:dyDescent="0.25">
      <c r="A117" s="1" t="s">
        <v>28</v>
      </c>
      <c r="B117" s="9"/>
      <c r="C117" s="1"/>
      <c r="D117" s="1" t="s">
        <v>72</v>
      </c>
      <c r="E1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ШС-8-1/M08-2,0-10,1-10</v>
      </c>
      <c r="F117" s="1" t="str">
        <f>TEXT(Таблица13[[#This Row],[Потери]],"0,0") &amp; "-" &amp;Таблица13[[#This Row],[Полная марка кабеля]]</f>
        <v>0,7-ВВГнг(A)-LS-3x2,5</v>
      </c>
    </row>
    <row r="118" spans="1:6" x14ac:dyDescent="0.25">
      <c r="A118" s="1" t="s">
        <v>29</v>
      </c>
      <c r="B118" s="9"/>
      <c r="C118" s="1"/>
      <c r="D118" s="1" t="s">
        <v>73</v>
      </c>
      <c r="E1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ШС-6-2/M01-0,8-3,8-60</v>
      </c>
      <c r="F118" s="1" t="str">
        <f>TEXT(Таблица13[[#This Row],[Потери]],"0,0") &amp; "-" &amp;Таблица13[[#This Row],[Полная марка кабеля]]</f>
        <v>3,0-ВВГнг(A)-LS-3x1,5</v>
      </c>
    </row>
    <row r="119" spans="1:6" x14ac:dyDescent="0.25">
      <c r="A119" s="1" t="s">
        <v>29</v>
      </c>
      <c r="B119" s="9"/>
      <c r="C119" s="1"/>
      <c r="D119" s="1" t="s">
        <v>73</v>
      </c>
      <c r="E1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ШС-6-2/M02-0,7-3,3-60</v>
      </c>
      <c r="F119" s="1" t="str">
        <f>TEXT(Таблица13[[#This Row],[Потери]],"0,0") &amp; "-" &amp;Таблица13[[#This Row],[Полная марка кабеля]]</f>
        <v>2,6-ВВГнг(A)-LS-3x1,5</v>
      </c>
    </row>
    <row r="120" spans="1:6" x14ac:dyDescent="0.25">
      <c r="A120" s="1" t="s">
        <v>29</v>
      </c>
      <c r="B120" s="9"/>
      <c r="C120" s="1"/>
      <c r="D120" s="1" t="s">
        <v>72</v>
      </c>
      <c r="E1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ШС-6-2/M03-2,0-10,1-20</v>
      </c>
      <c r="F120" s="1" t="str">
        <f>TEXT(Таблица13[[#This Row],[Потери]],"0,0") &amp; "-" &amp;Таблица13[[#This Row],[Полная марка кабеля]]</f>
        <v>0,9-ВВГнг(A)-LS-3x4</v>
      </c>
    </row>
    <row r="121" spans="1:6" x14ac:dyDescent="0.25">
      <c r="A121" s="1" t="s">
        <v>29</v>
      </c>
      <c r="B121" s="9"/>
      <c r="C121" s="1"/>
      <c r="D121" s="1" t="s">
        <v>72</v>
      </c>
      <c r="E1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ШС-6-2/M04-2,0-10,1-10</v>
      </c>
      <c r="F121" s="1" t="str">
        <f>TEXT(Таблица13[[#This Row],[Потери]],"0,0") &amp; "-" &amp;Таблица13[[#This Row],[Полная марка кабеля]]</f>
        <v>0,5-ВВГнг(A)-LS-3x4</v>
      </c>
    </row>
    <row r="122" spans="1:6" x14ac:dyDescent="0.25">
      <c r="A122" s="1" t="s">
        <v>29</v>
      </c>
      <c r="B122" s="13" t="s">
        <v>397</v>
      </c>
      <c r="C122" s="1"/>
      <c r="D122" s="1" t="s">
        <v>408</v>
      </c>
      <c r="E1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ШС-6-2/M05-7,0-13,3-20</v>
      </c>
      <c r="F122" s="1" t="str">
        <f>TEXT(Таблица13[[#This Row],[Потери]],"0,0") &amp; "-" &amp;Таблица13[[#This Row],[Полная марка кабеля]]</f>
        <v>0,5-ВВГнг(A)-LS-5x4</v>
      </c>
    </row>
    <row r="123" spans="1:6" x14ac:dyDescent="0.25">
      <c r="A123" s="1" t="s">
        <v>29</v>
      </c>
      <c r="B123" s="13" t="s">
        <v>398</v>
      </c>
      <c r="C123" s="1"/>
      <c r="D123" s="1" t="s">
        <v>408</v>
      </c>
      <c r="E1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ШС-6-2/M06-7,0-13,3-20</v>
      </c>
      <c r="F123" s="1" t="str">
        <f>TEXT(Таблица13[[#This Row],[Потери]],"0,0") &amp; "-" &amp;Таблица13[[#This Row],[Полная марка кабеля]]</f>
        <v>0,5-ВВГнг(A)-LS-5x4</v>
      </c>
    </row>
    <row r="124" spans="1:6" x14ac:dyDescent="0.25">
      <c r="A124" s="1" t="s">
        <v>29</v>
      </c>
      <c r="B124" s="13" t="s">
        <v>399</v>
      </c>
      <c r="C124" s="1"/>
      <c r="D124" s="1" t="s">
        <v>408</v>
      </c>
      <c r="E1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ШС-6-2/M07-7,0-13,3-25</v>
      </c>
      <c r="F124" s="1" t="str">
        <f>TEXT(Таблица13[[#This Row],[Потери]],"0,0") &amp; "-" &amp;Таблица13[[#This Row],[Полная марка кабеля]]</f>
        <v>0,7-ВВГнг(A)-LS-5x4</v>
      </c>
    </row>
    <row r="125" spans="1:6" x14ac:dyDescent="0.25">
      <c r="A125" s="1" t="s">
        <v>29</v>
      </c>
      <c r="B125" s="13" t="s">
        <v>400</v>
      </c>
      <c r="C125" s="1"/>
      <c r="D125" s="1" t="s">
        <v>408</v>
      </c>
      <c r="E12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ШС-6-2/M08-4,5-8,5-25</v>
      </c>
      <c r="F125" s="1" t="str">
        <f>TEXT(Таблица13[[#This Row],[Потери]],"0,0") &amp; "-" &amp;Таблица13[[#This Row],[Полная марка кабеля]]</f>
        <v>0,7-ВВГнг(A)-LS-5x2,5</v>
      </c>
    </row>
    <row r="126" spans="1:6" x14ac:dyDescent="0.25">
      <c r="A126" s="1" t="s">
        <v>29</v>
      </c>
      <c r="B126" s="9" t="s">
        <v>151</v>
      </c>
      <c r="C126" s="1" t="s">
        <v>511</v>
      </c>
      <c r="D126" s="1" t="s">
        <v>263</v>
      </c>
      <c r="E12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ШС-6-2/M09-18,0-34,1-30</v>
      </c>
      <c r="F126" s="1" t="str">
        <f>TEXT(Таблица13[[#This Row],[Потери]],"0,0") &amp; "-" &amp;Таблица13[[#This Row],[Полная марка кабеля]]</f>
        <v>0,3-ВВГнг(A)-LS-5x35</v>
      </c>
    </row>
    <row r="127" spans="1:6" x14ac:dyDescent="0.25">
      <c r="A127" s="1" t="s">
        <v>29</v>
      </c>
      <c r="B127" s="9" t="s">
        <v>369</v>
      </c>
      <c r="C127" s="1"/>
      <c r="D127" s="1" t="s">
        <v>152</v>
      </c>
      <c r="E1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ШС-6-2/M10-30,0-56,8-35</v>
      </c>
      <c r="F127" s="1" t="str">
        <f>TEXT(Таблица13[[#This Row],[Потери]],"0,0") &amp; "-" &amp;Таблица13[[#This Row],[Полная марка кабеля]]</f>
        <v>0,5-ВВГнг(A)-LS-5x35</v>
      </c>
    </row>
    <row r="128" spans="1:6" x14ac:dyDescent="0.25">
      <c r="A128" s="1" t="s">
        <v>30</v>
      </c>
      <c r="B128" s="9"/>
      <c r="C128" s="1"/>
      <c r="D128" s="1" t="s">
        <v>73</v>
      </c>
      <c r="E12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ШС-6-1/M01-0,8-3,6-120</v>
      </c>
      <c r="F128" s="1" t="str">
        <f>TEXT(Таблица13[[#This Row],[Потери]],"0,0") &amp; "-" &amp;Таблица13[[#This Row],[Полная марка кабеля]]</f>
        <v>5,7-ВВГнг(A)-LS-3x1,5</v>
      </c>
    </row>
    <row r="129" spans="1:6" x14ac:dyDescent="0.25">
      <c r="A129" s="1" t="s">
        <v>30</v>
      </c>
      <c r="B129" s="9"/>
      <c r="C129" s="1"/>
      <c r="D129" s="1" t="s">
        <v>72</v>
      </c>
      <c r="E12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ШС-6-1/M02-2,0-10,1-20</v>
      </c>
      <c r="F129" s="1" t="str">
        <f>TEXT(Таблица13[[#This Row],[Потери]],"0,0") &amp; "-" &amp;Таблица13[[#This Row],[Полная марка кабеля]]</f>
        <v>1,5-ВВГнг(A)-LS-3x2,5</v>
      </c>
    </row>
    <row r="130" spans="1:6" x14ac:dyDescent="0.25">
      <c r="A130" s="1" t="s">
        <v>30</v>
      </c>
      <c r="B130" s="9"/>
      <c r="C130" s="1"/>
      <c r="D130" s="1" t="s">
        <v>72</v>
      </c>
      <c r="E13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ШС-6-1/M03-2,0-10,1-20</v>
      </c>
      <c r="F130" s="1" t="str">
        <f>TEXT(Таблица13[[#This Row],[Потери]],"0,0") &amp; "-" &amp;Таблица13[[#This Row],[Полная марка кабеля]]</f>
        <v>1,5-ВВГнг(A)-LS-3x2,5</v>
      </c>
    </row>
    <row r="131" spans="1:6" x14ac:dyDescent="0.25">
      <c r="A131" s="1" t="s">
        <v>30</v>
      </c>
      <c r="B131" s="9"/>
      <c r="C131" s="1"/>
      <c r="D131" s="1" t="s">
        <v>72</v>
      </c>
      <c r="E1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ШС-6-1/M04-2,0-10,1-20</v>
      </c>
      <c r="F131" s="1" t="str">
        <f>TEXT(Таблица13[[#This Row],[Потери]],"0,0") &amp; "-" &amp;Таблица13[[#This Row],[Полная марка кабеля]]</f>
        <v>1,5-ВВГнг(A)-LS-3x2,5</v>
      </c>
    </row>
    <row r="132" spans="1:6" x14ac:dyDescent="0.25">
      <c r="A132" s="1" t="s">
        <v>30</v>
      </c>
      <c r="B132" s="9"/>
      <c r="C132" s="1"/>
      <c r="D132" s="1" t="s">
        <v>153</v>
      </c>
      <c r="E1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ШС-6-1/M05-2,0-10,1-30</v>
      </c>
      <c r="F132" s="1" t="str">
        <f>TEXT(Таблица13[[#This Row],[Потери]],"0,0") &amp; "-" &amp;Таблица13[[#This Row],[Полная марка кабеля]]</f>
        <v>2,2-ВВГнг(A)-LS-3x2,5</v>
      </c>
    </row>
    <row r="133" spans="1:6" x14ac:dyDescent="0.25">
      <c r="A133" s="1" t="s">
        <v>30</v>
      </c>
      <c r="B133" s="9"/>
      <c r="C133" s="1"/>
      <c r="D133" s="1" t="s">
        <v>123</v>
      </c>
      <c r="E13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ШС-6-1/M06-5,0-8,4-10</v>
      </c>
      <c r="F133" s="1" t="str">
        <f>TEXT(Таблица13[[#This Row],[Потери]],"0,0") &amp; "-" &amp;Таблица13[[#This Row],[Полная марка кабеля]]</f>
        <v>0,2-ВВГнг(A)-LS-5x4</v>
      </c>
    </row>
    <row r="134" spans="1:6" x14ac:dyDescent="0.25">
      <c r="A134" s="1" t="s">
        <v>30</v>
      </c>
      <c r="B134" s="9"/>
      <c r="C134" s="1"/>
      <c r="D134" s="1" t="s">
        <v>154</v>
      </c>
      <c r="E1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ШС-6-1/M07-10,0-16,8-30</v>
      </c>
      <c r="F134" s="1" t="str">
        <f>TEXT(Таблица13[[#This Row],[Потери]],"0,0") &amp; "-" &amp;Таблица13[[#This Row],[Полная марка кабеля]]</f>
        <v>0,5-ВВГнг(A)-LS-5x10</v>
      </c>
    </row>
    <row r="135" spans="1:6" x14ac:dyDescent="0.25">
      <c r="A135" s="1" t="s">
        <v>30</v>
      </c>
      <c r="B135" s="9"/>
      <c r="C135" s="1"/>
      <c r="D135" s="1" t="s">
        <v>155</v>
      </c>
      <c r="E1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ШС-6-1/M08-20,0-30,3-40</v>
      </c>
      <c r="F135" s="1" t="str">
        <f>TEXT(Таблица13[[#This Row],[Потери]],"0,0") &amp; "-" &amp;Таблица13[[#This Row],[Полная марка кабеля]]</f>
        <v>1,2-ВВГнг(A)-LS-5x10</v>
      </c>
    </row>
    <row r="136" spans="1:6" x14ac:dyDescent="0.25">
      <c r="A136" s="1" t="s">
        <v>31</v>
      </c>
      <c r="B136" s="9"/>
      <c r="C136" s="1"/>
      <c r="D136" s="1"/>
      <c r="E13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36" s="25" t="e">
        <f>TEXT(Таблица13[[#This Row],[Потери]],"0,0") &amp; "-" &amp;Таблица13[[#This Row],[Полная марка кабеля]]</f>
        <v>#DIV/0!</v>
      </c>
    </row>
    <row r="137" spans="1:6" x14ac:dyDescent="0.25">
      <c r="A137" s="1" t="s">
        <v>31</v>
      </c>
      <c r="B137" s="9"/>
      <c r="C137" s="1"/>
      <c r="D137" s="1" t="s">
        <v>73</v>
      </c>
      <c r="E1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ШС-6-3/M01-0,2-0,9-25</v>
      </c>
      <c r="F137" s="1" t="str">
        <f>TEXT(Таблица13[[#This Row],[Потери]],"0,0") &amp; "-" &amp;Таблица13[[#This Row],[Полная марка кабеля]]</f>
        <v>0,3-ВВГнг(A)-LS-3x1,5</v>
      </c>
    </row>
    <row r="138" spans="1:6" x14ac:dyDescent="0.25">
      <c r="A138" s="1" t="s">
        <v>31</v>
      </c>
      <c r="B138" s="9"/>
      <c r="C138" s="1"/>
      <c r="D138" s="1" t="s">
        <v>73</v>
      </c>
      <c r="E1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ШС-6-3/M02-0,2-0,9-30</v>
      </c>
      <c r="F138" s="1" t="str">
        <f>TEXT(Таблица13[[#This Row],[Потери]],"0,0") &amp; "-" &amp;Таблица13[[#This Row],[Полная марка кабеля]]</f>
        <v>0,4-ВВГнг(A)-LS-3x1,5</v>
      </c>
    </row>
    <row r="139" spans="1:6" x14ac:dyDescent="0.25">
      <c r="A139" s="1" t="s">
        <v>31</v>
      </c>
      <c r="B139" s="9"/>
      <c r="C139" s="1"/>
      <c r="D139" s="1" t="s">
        <v>73</v>
      </c>
      <c r="E1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ШС-6-3/M03-0,4-2,0-50</v>
      </c>
      <c r="F139" s="1" t="str">
        <f>TEXT(Таблица13[[#This Row],[Потери]],"0,0") &amp; "-" &amp;Таблица13[[#This Row],[Полная марка кабеля]]</f>
        <v>1,3-ВВГнг(A)-LS-3x1,5</v>
      </c>
    </row>
    <row r="140" spans="1:6" x14ac:dyDescent="0.25">
      <c r="A140" s="1" t="s">
        <v>31</v>
      </c>
      <c r="B140" s="9"/>
      <c r="C140" s="1"/>
      <c r="D140" s="1" t="s">
        <v>72</v>
      </c>
      <c r="E1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ШС-6-3/M04-2,0-10,1-25</v>
      </c>
      <c r="F140" s="1" t="str">
        <f>TEXT(Таблица13[[#This Row],[Потери]],"0,0") &amp; "-" &amp;Таблица13[[#This Row],[Полная марка кабеля]]</f>
        <v>1,9-ВВГнг(A)-LS-3x2,5</v>
      </c>
    </row>
    <row r="141" spans="1:6" x14ac:dyDescent="0.25">
      <c r="A141" s="1" t="s">
        <v>31</v>
      </c>
      <c r="B141" s="9"/>
      <c r="C141" s="1"/>
      <c r="D141" s="1" t="s">
        <v>72</v>
      </c>
      <c r="E14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ШС-6-3/M05-2,0-10,1-30</v>
      </c>
      <c r="F141" s="1" t="str">
        <f>TEXT(Таблица13[[#This Row],[Потери]],"0,0") &amp; "-" &amp;Таблица13[[#This Row],[Полная марка кабеля]]</f>
        <v>2,2-ВВГнг(A)-LS-3x2,5</v>
      </c>
    </row>
    <row r="142" spans="1:6" x14ac:dyDescent="0.25">
      <c r="A142" s="1" t="s">
        <v>31</v>
      </c>
      <c r="B142" s="9"/>
      <c r="C142" s="1"/>
      <c r="D142" s="1" t="s">
        <v>72</v>
      </c>
      <c r="E14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ШС-6-3/M06-2,0-10,1-50</v>
      </c>
      <c r="F142" s="1" t="str">
        <f>TEXT(Таблица13[[#This Row],[Потери]],"0,0") &amp; "-" &amp;Таблица13[[#This Row],[Полная марка кабеля]]</f>
        <v>3,7-ВВГнг(A)-LS-3x2,5</v>
      </c>
    </row>
    <row r="143" spans="1:6" x14ac:dyDescent="0.25">
      <c r="A143" s="1" t="s">
        <v>32</v>
      </c>
      <c r="B143" s="9"/>
      <c r="C143" s="1"/>
      <c r="D143" s="1"/>
      <c r="E14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43" s="25" t="e">
        <f>TEXT(Таблица13[[#This Row],[Потери]],"0,0") &amp; "-" &amp;Таблица13[[#This Row],[Полная марка кабеля]]</f>
        <v>#DIV/0!</v>
      </c>
    </row>
    <row r="144" spans="1:6" x14ac:dyDescent="0.25">
      <c r="A144" s="1" t="s">
        <v>32</v>
      </c>
      <c r="B144" s="9" t="s">
        <v>31</v>
      </c>
      <c r="C144" s="1" t="s">
        <v>514</v>
      </c>
      <c r="D144" s="1" t="s">
        <v>263</v>
      </c>
      <c r="E14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ШС-6/M01-6,8-9,1-20</v>
      </c>
      <c r="F144" s="1" t="str">
        <f>TEXT(Таблица13[[#This Row],[Потери]],"0,0") &amp; "-" &amp;Таблица13[[#This Row],[Полная марка кабеля]]</f>
        <v>0,1-ПВС-5x16</v>
      </c>
    </row>
    <row r="145" spans="1:6" x14ac:dyDescent="0.25">
      <c r="A145" s="1" t="s">
        <v>32</v>
      </c>
      <c r="B145" s="9" t="s">
        <v>29</v>
      </c>
      <c r="C145" s="1" t="s">
        <v>511</v>
      </c>
      <c r="D145" s="1" t="s">
        <v>263</v>
      </c>
      <c r="E14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ШС-6/M02-79,0-118,6-40</v>
      </c>
      <c r="F145" s="1" t="str">
        <f>TEXT(Таблица13[[#This Row],[Потери]],"0,0") &amp; "-" &amp;Таблица13[[#This Row],[Полная марка кабеля]]</f>
        <v>0,9-КГ-3x50+1x16</v>
      </c>
    </row>
    <row r="146" spans="1:6" x14ac:dyDescent="0.25">
      <c r="A146" s="1" t="s">
        <v>32</v>
      </c>
      <c r="B146" s="9"/>
      <c r="C146" s="1"/>
      <c r="D146" s="1" t="s">
        <v>72</v>
      </c>
      <c r="E14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ШС-6/M04-2,0-10,1-10</v>
      </c>
      <c r="F146" s="1" t="str">
        <f>TEXT(Таблица13[[#This Row],[Потери]],"0,0") &amp; "-" &amp;Таблица13[[#This Row],[Полная марка кабеля]]</f>
        <v>0,7-ВВГнг(A)-LS-3x2,5</v>
      </c>
    </row>
    <row r="147" spans="1:6" x14ac:dyDescent="0.25">
      <c r="A147" s="1" t="s">
        <v>32</v>
      </c>
      <c r="B147" s="9"/>
      <c r="C147" s="1"/>
      <c r="D147" s="1" t="s">
        <v>158</v>
      </c>
      <c r="E14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ШС-6/M05-1,5-6,8-10</v>
      </c>
      <c r="F147" s="1" t="str">
        <f>TEXT(Таблица13[[#This Row],[Потери]],"0,0") &amp; "-" &amp;Таблица13[[#This Row],[Полная марка кабеля]]</f>
        <v>0,6-ВВГнг(A)-LS-3x2,5</v>
      </c>
    </row>
    <row r="148" spans="1:6" x14ac:dyDescent="0.25">
      <c r="A148" s="1" t="s">
        <v>32</v>
      </c>
      <c r="B148" s="9"/>
      <c r="C148" s="1"/>
      <c r="D148" s="1" t="s">
        <v>159</v>
      </c>
      <c r="E14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ШС-6/M06-6,0-10,1-15</v>
      </c>
      <c r="F148" s="1" t="str">
        <f>TEXT(Таблица13[[#This Row],[Потери]],"0,0") &amp; "-" &amp;Таблица13[[#This Row],[Полная марка кабеля]]</f>
        <v>0,6-ВВГнг(A)-LS-5x2,5</v>
      </c>
    </row>
    <row r="149" spans="1:6" x14ac:dyDescent="0.25">
      <c r="A149" s="1" t="s">
        <v>32</v>
      </c>
      <c r="B149" s="9"/>
      <c r="C149" s="1"/>
      <c r="D149" s="1" t="s">
        <v>71</v>
      </c>
      <c r="E14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ШС-6/M07-2,0-10,1-20</v>
      </c>
      <c r="F149" s="1" t="str">
        <f>TEXT(Таблица13[[#This Row],[Потери]],"0,0") &amp; "-" &amp;Таблица13[[#This Row],[Полная марка кабеля]]</f>
        <v>1,5-ВВГнг(A)-LS-3x2,5</v>
      </c>
    </row>
    <row r="150" spans="1:6" x14ac:dyDescent="0.25">
      <c r="A150" s="1" t="s">
        <v>32</v>
      </c>
      <c r="B150" s="9"/>
      <c r="C150" s="1"/>
      <c r="D150" s="1" t="s">
        <v>237</v>
      </c>
      <c r="E15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ШС-6/M08-15,0-25,3-15</v>
      </c>
      <c r="F150" s="1" t="str">
        <f>TEXT(Таблица13[[#This Row],[Потери]],"0,0") &amp; "-" &amp;Таблица13[[#This Row],[Полная марка кабеля]]</f>
        <v>0,4-ВВГнг(A)-LS-5x10</v>
      </c>
    </row>
    <row r="151" spans="1:6" x14ac:dyDescent="0.25">
      <c r="A151" s="1" t="s">
        <v>32</v>
      </c>
      <c r="B151" s="9"/>
      <c r="C151" s="1"/>
      <c r="D151" s="1" t="s">
        <v>160</v>
      </c>
      <c r="E15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ШС-6/M09-2,0-10,1-10</v>
      </c>
      <c r="F151" s="1" t="str">
        <f>TEXT(Таблица13[[#This Row],[Потери]],"0,0") &amp; "-" &amp;Таблица13[[#This Row],[Полная марка кабеля]]</f>
        <v>0,7-ВВГнг(A)-LS-3x2,5</v>
      </c>
    </row>
    <row r="152" spans="1:6" x14ac:dyDescent="0.25">
      <c r="A152" s="1" t="s">
        <v>32</v>
      </c>
      <c r="B152" s="9" t="s">
        <v>30</v>
      </c>
      <c r="C152" s="1" t="s">
        <v>511</v>
      </c>
      <c r="D152" s="1" t="s">
        <v>263</v>
      </c>
      <c r="E15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ШС-6/M03-43,8-56,2-30</v>
      </c>
      <c r="F152" s="1" t="str">
        <f>TEXT(Таблица13[[#This Row],[Потери]],"0,0") &amp; "-" &amp;Таблица13[[#This Row],[Полная марка кабеля]]</f>
        <v>0,5-КГ-3x35+1x10</v>
      </c>
    </row>
    <row r="153" spans="1:6" x14ac:dyDescent="0.25">
      <c r="A153" s="1" t="s">
        <v>33</v>
      </c>
      <c r="B153" s="9"/>
      <c r="C153" s="1"/>
      <c r="D153" s="1"/>
      <c r="E15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53" s="25" t="e">
        <f>TEXT(Таблица13[[#This Row],[Потери]],"0,0") &amp; "-" &amp;Таблица13[[#This Row],[Полная марка кабеля]]</f>
        <v>#DIV/0!</v>
      </c>
    </row>
    <row r="154" spans="1:6" x14ac:dyDescent="0.25">
      <c r="A154" s="1" t="s">
        <v>33</v>
      </c>
      <c r="B154" s="13" t="s">
        <v>349</v>
      </c>
      <c r="C154" s="1" t="s">
        <v>161</v>
      </c>
      <c r="D154" s="1" t="s">
        <v>74</v>
      </c>
      <c r="E15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ВРУ-В2/M01-207,0-235,2-50</v>
      </c>
      <c r="F154" s="1" t="str">
        <f>TEXT(Таблица13[[#This Row],[Потери]],"0,0") &amp; "-" &amp;Таблица13[[#This Row],[Полная марка кабеля]]</f>
        <v>1,3-КГ-3x95+1x35</v>
      </c>
    </row>
    <row r="155" spans="1:6" x14ac:dyDescent="0.25">
      <c r="A155" s="1" t="s">
        <v>33</v>
      </c>
      <c r="B155" s="13" t="s">
        <v>333</v>
      </c>
      <c r="C155" s="1" t="s">
        <v>114</v>
      </c>
      <c r="D155" s="1" t="s">
        <v>407</v>
      </c>
      <c r="E15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ВРУ-В2/M02-116,0-175,8-80</v>
      </c>
      <c r="F155" s="1" t="str">
        <f>TEXT(Таблица13[[#This Row],[Потери]],"0,0") &amp; "-" &amp;Таблица13[[#This Row],[Полная марка кабеля]]</f>
        <v>1,5-КГ-3x95+1x35</v>
      </c>
    </row>
    <row r="156" spans="1:6" x14ac:dyDescent="0.25">
      <c r="A156" s="1" t="s">
        <v>33</v>
      </c>
      <c r="B156" s="9" t="s">
        <v>32</v>
      </c>
      <c r="C156" s="1" t="s">
        <v>512</v>
      </c>
      <c r="D156" s="1" t="s">
        <v>263</v>
      </c>
      <c r="E15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ВРУ-В2/M03-158,1-222,1-90</v>
      </c>
      <c r="F156" s="1" t="str">
        <f>TEXT(Таблица13[[#This Row],[Потери]],"0,0") &amp; "-" &amp;Таблица13[[#This Row],[Полная марка кабеля]]</f>
        <v>2,2-КГ-3x95+1x35</v>
      </c>
    </row>
    <row r="157" spans="1:6" x14ac:dyDescent="0.25">
      <c r="A157" s="1" t="s">
        <v>33</v>
      </c>
      <c r="B157" s="13" t="s">
        <v>330</v>
      </c>
      <c r="C157" s="1" t="s">
        <v>134</v>
      </c>
      <c r="D157" s="1" t="s">
        <v>407</v>
      </c>
      <c r="E15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ВРУ-В2/M04-114,0-172,7-80</v>
      </c>
      <c r="F157" s="1" t="str">
        <f>TEXT(Таблица13[[#This Row],[Потери]],"0,0") &amp; "-" &amp;Таблица13[[#This Row],[Полная марка кабеля]]</f>
        <v>1,5-КГ-3x95+1x35</v>
      </c>
    </row>
    <row r="158" spans="1:6" x14ac:dyDescent="0.25">
      <c r="A158" s="1" t="s">
        <v>33</v>
      </c>
      <c r="B158" s="13" t="s">
        <v>364</v>
      </c>
      <c r="C158" s="1" t="s">
        <v>163</v>
      </c>
      <c r="D158" s="1" t="s">
        <v>406</v>
      </c>
      <c r="E15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ВРУ-В2/M05-110,0-166,7-35</v>
      </c>
      <c r="F158" s="1" t="str">
        <f>TEXT(Таблица13[[#This Row],[Потери]],"0,0") &amp; "-" &amp;Таблица13[[#This Row],[Полная марка кабеля]]</f>
        <v>0,6-КГ-3x95+1x35</v>
      </c>
    </row>
    <row r="159" spans="1:6" x14ac:dyDescent="0.25">
      <c r="A159" s="1" t="s">
        <v>33</v>
      </c>
      <c r="B159" s="13" t="s">
        <v>290</v>
      </c>
      <c r="C159" s="1" t="s">
        <v>167</v>
      </c>
      <c r="D159" s="1" t="s">
        <v>94</v>
      </c>
      <c r="E15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ВРУ-В2/M06-11,7-22,2-10</v>
      </c>
      <c r="F159" s="1" t="str">
        <f>TEXT(Таблица13[[#This Row],[Потери]],"0,0") &amp; "-" &amp;Таблица13[[#This Row],[Полная марка кабеля]]</f>
        <v>0,2-ВВГнг(A)-LS-5x10</v>
      </c>
    </row>
    <row r="160" spans="1:6" x14ac:dyDescent="0.25">
      <c r="A160" s="1" t="s">
        <v>33</v>
      </c>
      <c r="B160" s="13" t="s">
        <v>291</v>
      </c>
      <c r="C160" s="1" t="s">
        <v>168</v>
      </c>
      <c r="D160" s="1" t="s">
        <v>94</v>
      </c>
      <c r="E16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ВРУ-В2/M07-32,7-61,9-20</v>
      </c>
      <c r="F160" s="1" t="str">
        <f>TEXT(Таблица13[[#This Row],[Потери]],"0,0") &amp; "-" &amp;Таблица13[[#This Row],[Полная марка кабеля]]</f>
        <v>0,7-ВВГнг(A)-LS-5x16</v>
      </c>
    </row>
    <row r="161" spans="1:6" x14ac:dyDescent="0.25">
      <c r="A161" s="1" t="s">
        <v>33</v>
      </c>
      <c r="B161" s="9" t="s">
        <v>28</v>
      </c>
      <c r="C161" s="1" t="s">
        <v>511</v>
      </c>
      <c r="D161" s="1" t="s">
        <v>263</v>
      </c>
      <c r="E16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ВРУ-В2/M08-50,4-76,0-60</v>
      </c>
      <c r="F161" s="1" t="str">
        <f>TEXT(Таблица13[[#This Row],[Потери]],"0,0") &amp; "-" &amp;Таблица13[[#This Row],[Полная марка кабеля]]</f>
        <v>1,2-КГ-3x35+1x10</v>
      </c>
    </row>
    <row r="162" spans="1:6" x14ac:dyDescent="0.25">
      <c r="A162" s="1" t="s">
        <v>33</v>
      </c>
      <c r="B162" s="9" t="s">
        <v>27</v>
      </c>
      <c r="C162" s="1" t="s">
        <v>511</v>
      </c>
      <c r="D162" s="1" t="s">
        <v>263</v>
      </c>
      <c r="E16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ВРУ-В2/M09-58,0-106,8-40</v>
      </c>
      <c r="F162" s="1" t="str">
        <f>TEXT(Таблица13[[#This Row],[Потери]],"0,0") &amp; "-" &amp;Таблица13[[#This Row],[Полная марка кабеля]]</f>
        <v>0,6-КГ-3x70+1x25</v>
      </c>
    </row>
    <row r="163" spans="1:6" x14ac:dyDescent="0.25">
      <c r="A163" s="1" t="s">
        <v>34</v>
      </c>
      <c r="B163" s="13" t="s">
        <v>282</v>
      </c>
      <c r="C163" s="1" t="s">
        <v>172</v>
      </c>
      <c r="D163" s="1" t="s">
        <v>94</v>
      </c>
      <c r="E16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ШС-2-1/M01-13,8-26,1-25</v>
      </c>
      <c r="F163" s="1" t="str">
        <f>TEXT(Таблица13[[#This Row],[Потери]],"0,0") &amp; "-" &amp;Таблица13[[#This Row],[Полная марка кабеля]]</f>
        <v>0,6-ВВГнг(A)-LS-5x10</v>
      </c>
    </row>
    <row r="164" spans="1:6" x14ac:dyDescent="0.25">
      <c r="A164" s="1" t="s">
        <v>34</v>
      </c>
      <c r="B164" s="13" t="s">
        <v>288</v>
      </c>
      <c r="C164" s="1" t="s">
        <v>173</v>
      </c>
      <c r="D164" s="1" t="s">
        <v>94</v>
      </c>
      <c r="E16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ШС-2-1/M02-7,9-15,0-25</v>
      </c>
      <c r="F164" s="1" t="str">
        <f>TEXT(Таблица13[[#This Row],[Потери]],"0,0") &amp; "-" &amp;Таблица13[[#This Row],[Полная марка кабеля]]</f>
        <v>0,3-ВВГнг(A)-LS-5x10</v>
      </c>
    </row>
    <row r="165" spans="1:6" x14ac:dyDescent="0.25">
      <c r="A165" s="1" t="s">
        <v>34</v>
      </c>
      <c r="B165" s="9"/>
      <c r="C165" s="1"/>
      <c r="D165" s="1" t="s">
        <v>169</v>
      </c>
      <c r="E16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ШС-2-1/M03-15,0-28,4-20</v>
      </c>
      <c r="F165" s="1" t="str">
        <f>TEXT(Таблица13[[#This Row],[Потери]],"0,0") &amp; "-" &amp;Таблица13[[#This Row],[Полная марка кабеля]]</f>
        <v>0,5-ВВГнг(A)-LS-5x10</v>
      </c>
    </row>
    <row r="166" spans="1:6" x14ac:dyDescent="0.25">
      <c r="A166" s="1" t="s">
        <v>34</v>
      </c>
      <c r="B166" s="9"/>
      <c r="C166" s="1"/>
      <c r="D166" s="1" t="s">
        <v>170</v>
      </c>
      <c r="E16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ШС-2-1/M04-2,0-10,1-10</v>
      </c>
      <c r="F166" s="1" t="str">
        <f>TEXT(Таблица13[[#This Row],[Потери]],"0,0") &amp; "-" &amp;Таблица13[[#This Row],[Полная марка кабеля]]</f>
        <v>0,7-ВВГнг(A)-LS-3x2,5</v>
      </c>
    </row>
    <row r="167" spans="1:6" x14ac:dyDescent="0.25">
      <c r="A167" s="1" t="s">
        <v>34</v>
      </c>
      <c r="B167" s="9"/>
      <c r="C167" s="1"/>
      <c r="D167" s="1" t="s">
        <v>72</v>
      </c>
      <c r="E16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ШС-2-1/M05-2,0-10,1-10</v>
      </c>
      <c r="F167" s="1" t="str">
        <f>TEXT(Таблица13[[#This Row],[Потери]],"0,0") &amp; "-" &amp;Таблица13[[#This Row],[Полная марка кабеля]]</f>
        <v>0,7-ВВГнг(A)-LS-3x2,5</v>
      </c>
    </row>
    <row r="168" spans="1:6" x14ac:dyDescent="0.25">
      <c r="A168" s="1" t="s">
        <v>35</v>
      </c>
      <c r="B168" s="9" t="s">
        <v>34</v>
      </c>
      <c r="C168" s="1" t="s">
        <v>511</v>
      </c>
      <c r="D168" s="1" t="s">
        <v>263</v>
      </c>
      <c r="E16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ШС-2/M00-40,7-61,0-30</v>
      </c>
      <c r="F168" s="1" t="str">
        <f>TEXT(Таблица13[[#This Row],[Потери]],"0,0") &amp; "-" &amp;Таблица13[[#This Row],[Полная марка кабеля]]</f>
        <v>0,2-КГ-3x95+1x35</v>
      </c>
    </row>
    <row r="169" spans="1:6" x14ac:dyDescent="0.25">
      <c r="A169" s="1" t="s">
        <v>35</v>
      </c>
      <c r="B169" s="13" t="s">
        <v>292</v>
      </c>
      <c r="C169" s="8" t="s">
        <v>177</v>
      </c>
      <c r="D169" s="8" t="s">
        <v>94</v>
      </c>
      <c r="E16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ШС-2/M01-30,1-57,0-10</v>
      </c>
      <c r="F169" s="1" t="str">
        <f>TEXT(Таблица13[[#This Row],[Потери]],"0,0") &amp; "-" &amp;Таблица13[[#This Row],[Полная марка кабеля]]</f>
        <v>0,2-ВВГнг(A)-LS-5x25</v>
      </c>
    </row>
    <row r="170" spans="1:6" x14ac:dyDescent="0.25">
      <c r="A170" s="1" t="s">
        <v>35</v>
      </c>
      <c r="B170" s="13" t="s">
        <v>293</v>
      </c>
      <c r="C170" s="8" t="s">
        <v>177</v>
      </c>
      <c r="D170" s="8" t="s">
        <v>94</v>
      </c>
      <c r="E17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ШС-2/M02-30,1-57,0-10</v>
      </c>
      <c r="F170" s="1" t="str">
        <f>TEXT(Таблица13[[#This Row],[Потери]],"0,0") &amp; "-" &amp;Таблица13[[#This Row],[Полная марка кабеля]]</f>
        <v>0,2-ВВГнг(A)-LS-5x25</v>
      </c>
    </row>
    <row r="171" spans="1:6" x14ac:dyDescent="0.25">
      <c r="A171" s="1" t="s">
        <v>35</v>
      </c>
      <c r="B171" s="9"/>
      <c r="C171" s="1"/>
      <c r="D171" s="1" t="s">
        <v>175</v>
      </c>
      <c r="E17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ШС-2/M03-0,1-0,5-10</v>
      </c>
      <c r="F171" s="1" t="str">
        <f>TEXT(Таблица13[[#This Row],[Потери]],"0,0") &amp; "-" &amp;Таблица13[[#This Row],[Полная марка кабеля]]</f>
        <v>0,1-ВВГнг(A)-LS-3x1,5</v>
      </c>
    </row>
    <row r="172" spans="1:6" x14ac:dyDescent="0.25">
      <c r="A172" s="1" t="s">
        <v>35</v>
      </c>
      <c r="B172" s="9"/>
      <c r="C172" s="1"/>
      <c r="D172" s="1" t="s">
        <v>176</v>
      </c>
      <c r="E17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ШС-2/M04-0,4-2,0-10</v>
      </c>
      <c r="F172" s="1" t="str">
        <f>TEXT(Таблица13[[#This Row],[Потери]],"0,0") &amp; "-" &amp;Таблица13[[#This Row],[Полная марка кабеля]]</f>
        <v>0,2-ВВГнг(A)-LS-3x1,5</v>
      </c>
    </row>
    <row r="173" spans="1:6" x14ac:dyDescent="0.25">
      <c r="A173" s="1" t="s">
        <v>36</v>
      </c>
      <c r="B173" s="13" t="s">
        <v>337</v>
      </c>
      <c r="C173" s="1" t="s">
        <v>179</v>
      </c>
      <c r="D173" s="1" t="s">
        <v>178</v>
      </c>
      <c r="E17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ШС-1-2Б/M01-5,0-8,4-10</v>
      </c>
      <c r="F173" s="1" t="str">
        <f>TEXT(Таблица13[[#This Row],[Потери]],"0,0") &amp; "-" &amp;Таблица13[[#This Row],[Полная марка кабеля]]</f>
        <v>0,2-ВВГнг(A)-LS-5x4</v>
      </c>
    </row>
    <row r="174" spans="1:6" x14ac:dyDescent="0.25">
      <c r="A174" s="1" t="s">
        <v>36</v>
      </c>
      <c r="B174" s="13" t="s">
        <v>338</v>
      </c>
      <c r="C174" s="1" t="s">
        <v>180</v>
      </c>
      <c r="D174" s="1" t="s">
        <v>178</v>
      </c>
      <c r="E17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ШС-1-2Б/M02-12,0-20,2-10</v>
      </c>
      <c r="F174" s="1" t="str">
        <f>TEXT(Таблица13[[#This Row],[Потери]],"0,0") &amp; "-" &amp;Таблица13[[#This Row],[Полная марка кабеля]]</f>
        <v>0,5-ВВГнг(A)-LS-5x4</v>
      </c>
    </row>
    <row r="175" spans="1:6" x14ac:dyDescent="0.25">
      <c r="A175" s="1" t="s">
        <v>36</v>
      </c>
      <c r="B175" s="13" t="s">
        <v>339</v>
      </c>
      <c r="C175" s="1" t="s">
        <v>181</v>
      </c>
      <c r="D175" s="1" t="s">
        <v>178</v>
      </c>
      <c r="E17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ШС-1-2Б/M03-12,5-21,0-10</v>
      </c>
      <c r="F175" s="1" t="str">
        <f>TEXT(Таблица13[[#This Row],[Потери]],"0,0") &amp; "-" &amp;Таблица13[[#This Row],[Полная марка кабеля]]</f>
        <v>0,5-ВВГнг(A)-LS-5x4</v>
      </c>
    </row>
    <row r="176" spans="1:6" x14ac:dyDescent="0.25">
      <c r="A176" s="1" t="s">
        <v>36</v>
      </c>
      <c r="B176" s="13" t="s">
        <v>340</v>
      </c>
      <c r="C176" s="1" t="s">
        <v>182</v>
      </c>
      <c r="D176" s="1" t="s">
        <v>178</v>
      </c>
      <c r="E17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ШС-1-2Б/M04-28,6-48,1-10</v>
      </c>
      <c r="F176" s="1" t="str">
        <f>TEXT(Таблица13[[#This Row],[Потери]],"0,0") &amp; "-" &amp;Таблица13[[#This Row],[Полная марка кабеля]]</f>
        <v>0,5-ВВГнг(A)-LS-5x10</v>
      </c>
    </row>
    <row r="177" spans="1:6" x14ac:dyDescent="0.25">
      <c r="A177" s="1" t="s">
        <v>38</v>
      </c>
      <c r="B177" s="13" t="s">
        <v>324</v>
      </c>
      <c r="C177" s="1"/>
      <c r="D177" s="1" t="s">
        <v>97</v>
      </c>
      <c r="E17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ШС-1-2Б/M03-21,0-31,8-45</v>
      </c>
      <c r="F177" s="1" t="str">
        <f>TEXT(Таблица13[[#This Row],[Потери]],"0,0") &amp; "-" &amp;Таблица13[[#This Row],[Полная марка кабеля]]</f>
        <v>0,9-ВВГнг(A)-LS-5x16</v>
      </c>
    </row>
    <row r="178" spans="1:6" x14ac:dyDescent="0.25">
      <c r="A178" s="1" t="s">
        <v>36</v>
      </c>
      <c r="B178" s="9"/>
      <c r="C178" s="1"/>
      <c r="D178" s="1" t="s">
        <v>72</v>
      </c>
      <c r="E17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ШС-1-2Б/M06-2,0-10,1-10</v>
      </c>
      <c r="F178" s="1" t="str">
        <f>TEXT(Таблица13[[#This Row],[Потери]],"0,0") &amp; "-" &amp;Таблица13[[#This Row],[Полная марка кабеля]]</f>
        <v>0,7-ВВГнг(A)-LS-3x2,5</v>
      </c>
    </row>
    <row r="179" spans="1:6" x14ac:dyDescent="0.25">
      <c r="A179" s="1" t="s">
        <v>36</v>
      </c>
      <c r="B179" s="9"/>
      <c r="C179" s="1"/>
      <c r="D179" s="1" t="s">
        <v>73</v>
      </c>
      <c r="E17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ШС-1-2Б/M07-0,5-2,5-70</v>
      </c>
      <c r="F179" s="1" t="str">
        <f>TEXT(Таблица13[[#This Row],[Потери]],"0,0") &amp; "-" &amp;Таблица13[[#This Row],[Полная марка кабеля]]</f>
        <v>2,3-ВВГнг(A)-LS-3x1,5</v>
      </c>
    </row>
    <row r="180" spans="1:6" x14ac:dyDescent="0.25">
      <c r="A180" s="1" t="s">
        <v>37</v>
      </c>
      <c r="B180" s="9" t="s">
        <v>36</v>
      </c>
      <c r="C180" s="1" t="s">
        <v>511</v>
      </c>
      <c r="D180" s="1" t="s">
        <v>263</v>
      </c>
      <c r="E18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ШС-1-2А/M00-60,6-66,3-30</v>
      </c>
      <c r="F180" s="1" t="str">
        <f>TEXT(Таблица13[[#This Row],[Потери]],"0,0") &amp; "-" &amp;Таблица13[[#This Row],[Полная марка кабеля]]</f>
        <v>0,8-КГ-4x25</v>
      </c>
    </row>
    <row r="181" spans="1:6" x14ac:dyDescent="0.25">
      <c r="A181" s="1" t="s">
        <v>37</v>
      </c>
      <c r="B181" s="9"/>
      <c r="C181" s="1"/>
      <c r="D181" s="1" t="s">
        <v>498</v>
      </c>
      <c r="E18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81" s="25" t="e">
        <f>TEXT(Таблица13[[#This Row],[Потери]],"0,0") &amp; "-" &amp;Таблица13[[#This Row],[Полная марка кабеля]]</f>
        <v>#DIV/0!</v>
      </c>
    </row>
    <row r="182" spans="1:6" x14ac:dyDescent="0.25">
      <c r="A182" s="1" t="s">
        <v>37</v>
      </c>
      <c r="B182" s="9"/>
      <c r="C182" s="1"/>
      <c r="D182" s="1" t="s">
        <v>498</v>
      </c>
      <c r="E182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82" s="25" t="e">
        <f>TEXT(Таблица13[[#This Row],[Потери]],"0,0") &amp; "-" &amp;Таблица13[[#This Row],[Полная марка кабеля]]</f>
        <v>#DIV/0!</v>
      </c>
    </row>
    <row r="183" spans="1:6" x14ac:dyDescent="0.25">
      <c r="A183" s="1" t="s">
        <v>37</v>
      </c>
      <c r="B183" s="9"/>
      <c r="C183" s="1"/>
      <c r="D183" s="1" t="s">
        <v>498</v>
      </c>
      <c r="E18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83" s="25" t="e">
        <f>TEXT(Таблица13[[#This Row],[Потери]],"0,0") &amp; "-" &amp;Таблица13[[#This Row],[Полная марка кабеля]]</f>
        <v>#DIV/0!</v>
      </c>
    </row>
    <row r="184" spans="1:6" x14ac:dyDescent="0.25">
      <c r="A184" s="1" t="s">
        <v>37</v>
      </c>
      <c r="B184" s="9"/>
      <c r="C184" s="1"/>
      <c r="D184" s="1" t="s">
        <v>498</v>
      </c>
      <c r="E184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84" s="25" t="e">
        <f>TEXT(Таблица13[[#This Row],[Потери]],"0,0") &amp; "-" &amp;Таблица13[[#This Row],[Полная марка кабеля]]</f>
        <v>#DIV/0!</v>
      </c>
    </row>
    <row r="185" spans="1:6" x14ac:dyDescent="0.25">
      <c r="A185" s="1" t="s">
        <v>37</v>
      </c>
      <c r="B185" s="9"/>
      <c r="C185" s="1"/>
      <c r="D185" s="1" t="s">
        <v>72</v>
      </c>
      <c r="E18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ШС-1-2А/M05-2,0-10,1-10</v>
      </c>
      <c r="F185" s="1" t="str">
        <f>TEXT(Таблица13[[#This Row],[Потери]],"0,0") &amp; "-" &amp;Таблица13[[#This Row],[Полная марка кабеля]]</f>
        <v>0,7-ВВГнг(A)-LS-3x2,5</v>
      </c>
    </row>
    <row r="186" spans="1:6" x14ac:dyDescent="0.25">
      <c r="A186" s="1" t="s">
        <v>37</v>
      </c>
      <c r="B186" s="9"/>
      <c r="C186" s="1"/>
      <c r="D186" s="1" t="s">
        <v>73</v>
      </c>
      <c r="E18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ШС-1-2А/M06-0,5-2,5-70</v>
      </c>
      <c r="F186" s="1" t="str">
        <f>TEXT(Таблица13[[#This Row],[Потери]],"0,0") &amp; "-" &amp;Таблица13[[#This Row],[Полная марка кабеля]]</f>
        <v>2,3-ВВГнг(A)-LS-3x1,5</v>
      </c>
    </row>
    <row r="187" spans="1:6" x14ac:dyDescent="0.25">
      <c r="A187" s="1" t="s">
        <v>38</v>
      </c>
      <c r="B187" s="13" t="s">
        <v>309</v>
      </c>
      <c r="C187" s="1" t="s">
        <v>185</v>
      </c>
      <c r="D187" s="1" t="s">
        <v>94</v>
      </c>
      <c r="E18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ШС-1-2/M01-21,0-39,8-10</v>
      </c>
      <c r="F187" s="1" t="str">
        <f>TEXT(Таблица13[[#This Row],[Потери]],"0,0") &amp; "-" &amp;Таблица13[[#This Row],[Полная марка кабеля]]</f>
        <v>0,1-ВВГнг(A)-LS-5x25</v>
      </c>
    </row>
    <row r="188" spans="1:6" x14ac:dyDescent="0.25">
      <c r="A188" s="1" t="s">
        <v>38</v>
      </c>
      <c r="B188" s="9" t="s">
        <v>37</v>
      </c>
      <c r="C188" s="1" t="s">
        <v>511</v>
      </c>
      <c r="D188" s="1" t="s">
        <v>263</v>
      </c>
      <c r="E18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ШС-1-2/M02-63,2-85,0-10</v>
      </c>
      <c r="F188" s="1" t="str">
        <f>TEXT(Таблица13[[#This Row],[Потери]],"0,0") &amp; "-" &amp;Таблица13[[#This Row],[Полная марка кабеля]]</f>
        <v>0,3-КГ-4x25</v>
      </c>
    </row>
    <row r="189" spans="1:6" x14ac:dyDescent="0.25">
      <c r="A189" s="1" t="s">
        <v>39</v>
      </c>
      <c r="B189" s="13" t="s">
        <v>313</v>
      </c>
      <c r="C189" s="1"/>
      <c r="D189" s="1" t="s">
        <v>97</v>
      </c>
      <c r="E18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ШС-1-1А/M01-27,0-40,9-10</v>
      </c>
      <c r="F189" s="1" t="str">
        <f>TEXT(Таблица13[[#This Row],[Потери]],"0,0") &amp; "-" &amp;Таблица13[[#This Row],[Полная марка кабеля]]</f>
        <v>0,4-ВВГнг(A)-LS-5x10</v>
      </c>
    </row>
    <row r="190" spans="1:6" x14ac:dyDescent="0.25">
      <c r="A190" s="1" t="s">
        <v>39</v>
      </c>
      <c r="B190" s="9"/>
      <c r="C190" s="1"/>
      <c r="D190" s="1" t="s">
        <v>73</v>
      </c>
      <c r="E19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ШС-1-1А/M02-0,5-2,5-70</v>
      </c>
      <c r="F190" s="1" t="str">
        <f>TEXT(Таблица13[[#This Row],[Потери]],"0,0") &amp; "-" &amp;Таблица13[[#This Row],[Полная марка кабеля]]</f>
        <v>2,3-ВВГнг(A)-LS-3x1,5</v>
      </c>
    </row>
    <row r="191" spans="1:6" x14ac:dyDescent="0.25">
      <c r="A191" s="1" t="s">
        <v>39</v>
      </c>
      <c r="B191" s="9"/>
      <c r="C191" s="1"/>
      <c r="D191" s="1" t="s">
        <v>72</v>
      </c>
      <c r="E19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ШС-1-1А/M03-2,0-10,1-10</v>
      </c>
      <c r="F191" s="1" t="str">
        <f>TEXT(Таблица13[[#This Row],[Потери]],"0,0") &amp; "-" &amp;Таблица13[[#This Row],[Полная марка кабеля]]</f>
        <v>0,7-ВВГнг(A)-LS-3x2,5</v>
      </c>
    </row>
    <row r="192" spans="1:6" x14ac:dyDescent="0.25">
      <c r="A192" s="1" t="s">
        <v>40</v>
      </c>
      <c r="B192" s="13" t="s">
        <v>281</v>
      </c>
      <c r="C192" s="1" t="s">
        <v>99</v>
      </c>
      <c r="D192" s="1" t="s">
        <v>94</v>
      </c>
      <c r="E19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ШС-1-1/M01-27,0-51,1-10</v>
      </c>
      <c r="F192" s="1" t="str">
        <f>TEXT(Таблица13[[#This Row],[Потери]],"0,0") &amp; "-" &amp;Таблица13[[#This Row],[Полная марка кабеля]]</f>
        <v>0,3-ВВГнг(A)-LS-5x16</v>
      </c>
    </row>
    <row r="193" spans="1:6" x14ac:dyDescent="0.25">
      <c r="A193" s="1" t="s">
        <v>40</v>
      </c>
      <c r="B193" s="9" t="s">
        <v>39</v>
      </c>
      <c r="C193" s="1" t="s">
        <v>511</v>
      </c>
      <c r="D193" s="1" t="s">
        <v>263</v>
      </c>
      <c r="E19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ШС-1-1/M02-29,5-45,1-20</v>
      </c>
      <c r="F193" s="1" t="str">
        <f>TEXT(Таблица13[[#This Row],[Потери]],"0,0") &amp; "-" &amp;Таблица13[[#This Row],[Полная марка кабеля]]</f>
        <v>0,6-КГ-4x16</v>
      </c>
    </row>
    <row r="194" spans="1:6" x14ac:dyDescent="0.25">
      <c r="A194" s="1" t="s">
        <v>41</v>
      </c>
      <c r="B194" s="9"/>
      <c r="C194" s="1"/>
      <c r="D194" s="1"/>
      <c r="E194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194" s="25" t="e">
        <f>TEXT(Таблица13[[#This Row],[Потери]],"0,0") &amp; "-" &amp;Таблица13[[#This Row],[Полная марка кабеля]]</f>
        <v>#DIV/0!</v>
      </c>
    </row>
    <row r="195" spans="1:6" x14ac:dyDescent="0.25">
      <c r="A195" s="1" t="s">
        <v>41</v>
      </c>
      <c r="B195" s="9" t="s">
        <v>40</v>
      </c>
      <c r="C195" s="1" t="s">
        <v>512</v>
      </c>
      <c r="D195" s="1" t="s">
        <v>263</v>
      </c>
      <c r="E19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ВРУ-В1/M01-29,5-55,3-25</v>
      </c>
      <c r="F195" s="1" t="str">
        <f>TEXT(Таблица13[[#This Row],[Потери]],"0,0") &amp; "-" &amp;Таблица13[[#This Row],[Полная марка кабеля]]</f>
        <v>0,3-КГ-3x50+1x16</v>
      </c>
    </row>
    <row r="196" spans="1:6" x14ac:dyDescent="0.25">
      <c r="A196" s="1" t="s">
        <v>41</v>
      </c>
      <c r="B196" s="9" t="s">
        <v>38</v>
      </c>
      <c r="C196" s="1" t="s">
        <v>512</v>
      </c>
      <c r="D196" s="1" t="s">
        <v>263</v>
      </c>
      <c r="E19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ВРУ-В1/M02-84,2-116,8-20</v>
      </c>
      <c r="F196" s="1" t="str">
        <f>TEXT(Таблица13[[#This Row],[Потери]],"0,0") &amp; "-" &amp;Таблица13[[#This Row],[Полная марка кабеля]]</f>
        <v>0,5-КГ-3x50+1x16</v>
      </c>
    </row>
    <row r="197" spans="1:6" x14ac:dyDescent="0.25">
      <c r="A197" s="1" t="s">
        <v>41</v>
      </c>
      <c r="B197" s="13" t="s">
        <v>327</v>
      </c>
      <c r="C197" s="1" t="s">
        <v>186</v>
      </c>
      <c r="D197" s="1" t="s">
        <v>407</v>
      </c>
      <c r="E19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ВРУ-В1/M03-60,0-90,9-80</v>
      </c>
      <c r="F197" s="1" t="str">
        <f>TEXT(Таблица13[[#This Row],[Потери]],"0,0") &amp; "-" &amp;Таблица13[[#This Row],[Полная марка кабеля]]</f>
        <v>1,1-КГ-3x70+1x25</v>
      </c>
    </row>
    <row r="198" spans="1:6" x14ac:dyDescent="0.25">
      <c r="A198" s="1" t="s">
        <v>41</v>
      </c>
      <c r="B198" s="9" t="s">
        <v>35</v>
      </c>
      <c r="C198" s="1" t="s">
        <v>512</v>
      </c>
      <c r="D198" s="1" t="s">
        <v>263</v>
      </c>
      <c r="E19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ВРУ-В1/M04-101,4-152,9-60</v>
      </c>
      <c r="F198" s="1" t="str">
        <f>TEXT(Таблица13[[#This Row],[Потери]],"0,0") &amp; "-" &amp;Таблица13[[#This Row],[Полная марка кабеля]]</f>
        <v>1,0-КГ-3x95+1x35</v>
      </c>
    </row>
    <row r="199" spans="1:6" x14ac:dyDescent="0.25">
      <c r="A199" s="1" t="s">
        <v>41</v>
      </c>
      <c r="B199" s="13" t="s">
        <v>350</v>
      </c>
      <c r="C199" s="1" t="s">
        <v>161</v>
      </c>
      <c r="D199" s="1" t="s">
        <v>74</v>
      </c>
      <c r="E19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ВРУ-В1/M05-207,0-235,2-50</v>
      </c>
      <c r="F199" s="1" t="str">
        <f>TEXT(Таблица13[[#This Row],[Потери]],"0,0") &amp; "-" &amp;Таблица13[[#This Row],[Полная марка кабеля]]</f>
        <v>1,3-КГ-3x95+1x35</v>
      </c>
    </row>
    <row r="200" spans="1:6" x14ac:dyDescent="0.25">
      <c r="A200" s="1" t="s">
        <v>41</v>
      </c>
      <c r="B200" s="13" t="s">
        <v>326</v>
      </c>
      <c r="C200" s="1" t="s">
        <v>134</v>
      </c>
      <c r="D200" s="1" t="s">
        <v>407</v>
      </c>
      <c r="E20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ВРУ-В1/M06-114,0-172,7-80</v>
      </c>
      <c r="F200" s="1" t="str">
        <f>TEXT(Таблица13[[#This Row],[Потери]],"0,0") &amp; "-" &amp;Таблица13[[#This Row],[Полная марка кабеля]]</f>
        <v>1,5-КГ-3x95+1x35</v>
      </c>
    </row>
    <row r="201" spans="1:6" x14ac:dyDescent="0.25">
      <c r="A201" s="1" t="s">
        <v>42</v>
      </c>
      <c r="B201" s="9"/>
      <c r="C201" s="1"/>
      <c r="D201" s="1"/>
      <c r="E20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01" s="25" t="e">
        <f>TEXT(Таблица13[[#This Row],[Потери]],"0,0") &amp; "-" &amp;Таблица13[[#This Row],[Полная марка кабеля]]</f>
        <v>#DIV/0!</v>
      </c>
    </row>
    <row r="202" spans="1:6" x14ac:dyDescent="0.25">
      <c r="A202" s="1" t="s">
        <v>42</v>
      </c>
      <c r="B202" s="13" t="s">
        <v>376</v>
      </c>
      <c r="C202" s="1" t="s">
        <v>188</v>
      </c>
      <c r="D202" s="1" t="s">
        <v>405</v>
      </c>
      <c r="E20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ШС-4-5/M01-2,4-4,5-15</v>
      </c>
      <c r="F202" s="1" t="str">
        <f>TEXT(Таблица13[[#This Row],[Потери]],"0,0") &amp; "-" &amp;Таблица13[[#This Row],[Полная марка кабеля]]</f>
        <v>0,1-ВВГнг(A)-LS-5x4</v>
      </c>
    </row>
    <row r="203" spans="1:6" x14ac:dyDescent="0.25">
      <c r="A203" s="1" t="s">
        <v>42</v>
      </c>
      <c r="B203" s="13" t="s">
        <v>377</v>
      </c>
      <c r="C203" s="1" t="s">
        <v>189</v>
      </c>
      <c r="D203" s="1" t="s">
        <v>405</v>
      </c>
      <c r="E20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ШС-4-5/M02-3,0-5,6-15</v>
      </c>
      <c r="F203" s="1" t="str">
        <f>TEXT(Таблица13[[#This Row],[Потери]],"0,0") &amp; "-" &amp;Таблица13[[#This Row],[Полная марка кабеля]]</f>
        <v>0,2-ВВГнг(A)-LS-5x4</v>
      </c>
    </row>
    <row r="204" spans="1:6" x14ac:dyDescent="0.25">
      <c r="A204" s="1" t="s">
        <v>42</v>
      </c>
      <c r="B204" s="13" t="s">
        <v>378</v>
      </c>
      <c r="C204" s="1" t="s">
        <v>189</v>
      </c>
      <c r="D204" s="1" t="s">
        <v>405</v>
      </c>
      <c r="E20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ШС-4-5/M03-3,0-5,6-20</v>
      </c>
      <c r="F204" s="1" t="str">
        <f>TEXT(Таблица13[[#This Row],[Потери]],"0,0") &amp; "-" &amp;Таблица13[[#This Row],[Полная марка кабеля]]</f>
        <v>0,2-ВВГнг(A)-LS-5x4</v>
      </c>
    </row>
    <row r="205" spans="1:6" x14ac:dyDescent="0.25">
      <c r="A205" s="1" t="s">
        <v>42</v>
      </c>
      <c r="B205" s="13" t="s">
        <v>379</v>
      </c>
      <c r="C205" s="1" t="s">
        <v>190</v>
      </c>
      <c r="D205" s="1" t="s">
        <v>405</v>
      </c>
      <c r="E20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ШС-4-5/M04-3,0-5,6-25</v>
      </c>
      <c r="F205" s="1" t="str">
        <f>TEXT(Таблица13[[#This Row],[Потери]],"0,0") &amp; "-" &amp;Таблица13[[#This Row],[Полная марка кабеля]]</f>
        <v>0,3-ВВГнг(A)-LS-5x4</v>
      </c>
    </row>
    <row r="206" spans="1:6" x14ac:dyDescent="0.25">
      <c r="A206" s="1" t="s">
        <v>42</v>
      </c>
      <c r="B206" s="13" t="s">
        <v>380</v>
      </c>
      <c r="C206" s="1" t="s">
        <v>190</v>
      </c>
      <c r="D206" s="1" t="s">
        <v>405</v>
      </c>
      <c r="E20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ШС-4-5/M05-3,0-5,6-25</v>
      </c>
      <c r="F206" s="1" t="str">
        <f>TEXT(Таблица13[[#This Row],[Потери]],"0,0") &amp; "-" &amp;Таблица13[[#This Row],[Полная марка кабеля]]</f>
        <v>0,3-ВВГнг(A)-LS-5x4</v>
      </c>
    </row>
    <row r="207" spans="1:6" x14ac:dyDescent="0.25">
      <c r="A207" s="1" t="s">
        <v>42</v>
      </c>
      <c r="B207" s="9"/>
      <c r="C207" s="1"/>
      <c r="D207" s="1" t="s">
        <v>72</v>
      </c>
      <c r="E20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ШС-4-5/M06-2,0-10,1-10</v>
      </c>
      <c r="F207" s="1" t="str">
        <f>TEXT(Таблица13[[#This Row],[Потери]],"0,0") &amp; "-" &amp;Таблица13[[#This Row],[Полная марка кабеля]]</f>
        <v>0,7-ВВГнг(A)-LS-3x2,5</v>
      </c>
    </row>
    <row r="208" spans="1:6" x14ac:dyDescent="0.25">
      <c r="A208" s="1" t="s">
        <v>42</v>
      </c>
      <c r="B208" s="9"/>
      <c r="C208" s="1"/>
      <c r="D208" s="1" t="s">
        <v>73</v>
      </c>
      <c r="E20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ШС-4-5/M07-0,2-1,1-40</v>
      </c>
      <c r="F208" s="1" t="str">
        <f>TEXT(Таблица13[[#This Row],[Потери]],"0,0") &amp; "-" &amp;Таблица13[[#This Row],[Полная марка кабеля]]</f>
        <v>0,6-ВВГнг(A)-LS-3x1,5</v>
      </c>
    </row>
    <row r="209" spans="1:6" x14ac:dyDescent="0.25">
      <c r="A209" s="1" t="s">
        <v>43</v>
      </c>
      <c r="B209" s="9"/>
      <c r="C209" s="1"/>
      <c r="D209" s="1"/>
      <c r="E209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09" s="25" t="e">
        <f>TEXT(Таблица13[[#This Row],[Потери]],"0,0") &amp; "-" &amp;Таблица13[[#This Row],[Полная марка кабеля]]</f>
        <v>#DIV/0!</v>
      </c>
    </row>
    <row r="210" spans="1:6" x14ac:dyDescent="0.25">
      <c r="A210" s="1" t="s">
        <v>43</v>
      </c>
      <c r="B210" s="9"/>
      <c r="C210" s="1"/>
      <c r="D210" s="1" t="s">
        <v>72</v>
      </c>
      <c r="E21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ШС-4-4/M01-2,0-10,1-10</v>
      </c>
      <c r="F210" s="1" t="str">
        <f>TEXT(Таблица13[[#This Row],[Потери]],"0,0") &amp; "-" &amp;Таблица13[[#This Row],[Полная марка кабеля]]</f>
        <v>0,7-ВВГнг(A)-LS-3x2,5</v>
      </c>
    </row>
    <row r="211" spans="1:6" x14ac:dyDescent="0.25">
      <c r="A211" s="1" t="s">
        <v>43</v>
      </c>
      <c r="B211" s="13" t="s">
        <v>360</v>
      </c>
      <c r="C211" s="1" t="s">
        <v>146</v>
      </c>
      <c r="D211" s="1" t="s">
        <v>139</v>
      </c>
      <c r="E2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ШС-4-4/M02-10,0-18,9-10</v>
      </c>
      <c r="F211" s="1" t="str">
        <f>TEXT(Таблица13[[#This Row],[Потери]],"0,0") &amp; "-" &amp;Таблица13[[#This Row],[Полная марка кабеля]]</f>
        <v>0,2-ВВГнг(A)-LS-5x10</v>
      </c>
    </row>
    <row r="212" spans="1:6" x14ac:dyDescent="0.25">
      <c r="A212" s="1" t="s">
        <v>43</v>
      </c>
      <c r="B212" s="9"/>
      <c r="C212" s="1"/>
      <c r="D212" s="1" t="s">
        <v>192</v>
      </c>
      <c r="E2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ШС-4-4/M03-7,0-13,3-10</v>
      </c>
      <c r="F212" s="1" t="str">
        <f>TEXT(Таблица13[[#This Row],[Потери]],"0,0") &amp; "-" &amp;Таблица13[[#This Row],[Полная марка кабеля]]</f>
        <v>0,1-ВВГнг(A)-LS-5x10</v>
      </c>
    </row>
    <row r="213" spans="1:6" x14ac:dyDescent="0.25">
      <c r="A213" s="1" t="s">
        <v>43</v>
      </c>
      <c r="B213" s="13" t="s">
        <v>373</v>
      </c>
      <c r="C213" s="1" t="s">
        <v>144</v>
      </c>
      <c r="D213" s="1" t="s">
        <v>140</v>
      </c>
      <c r="E2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ШС-4-4/M04-2,5-4,7-10</v>
      </c>
      <c r="F213" s="1" t="str">
        <f>TEXT(Таблица13[[#This Row],[Потери]],"0,0") &amp; "-" &amp;Таблица13[[#This Row],[Полная марка кабеля]]</f>
        <v>0,0-ВВГнг(A)-LS-5x10</v>
      </c>
    </row>
    <row r="214" spans="1:6" x14ac:dyDescent="0.25">
      <c r="A214" s="1" t="s">
        <v>43</v>
      </c>
      <c r="B214" s="9"/>
      <c r="C214" s="1"/>
      <c r="D214" s="1" t="s">
        <v>191</v>
      </c>
      <c r="E21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ШС-4-4/M05-1,0-5,1-10</v>
      </c>
      <c r="F214" s="1" t="str">
        <f>TEXT(Таблица13[[#This Row],[Потери]],"0,0") &amp; "-" &amp;Таблица13[[#This Row],[Полная марка кабеля]]</f>
        <v>0,6-ВВГнг(A)-LS-3x1,5</v>
      </c>
    </row>
    <row r="215" spans="1:6" x14ac:dyDescent="0.25">
      <c r="A215" s="1" t="s">
        <v>44</v>
      </c>
      <c r="B215" s="13" t="s">
        <v>401</v>
      </c>
      <c r="C215" s="1" t="s">
        <v>194</v>
      </c>
      <c r="D215" s="1" t="s">
        <v>405</v>
      </c>
      <c r="E2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ШС-4-3/M01-14,0-26,5-10</v>
      </c>
      <c r="F215" s="1" t="str">
        <f>TEXT(Таблица13[[#This Row],[Потери]],"0,0") &amp; "-" &amp;Таблица13[[#This Row],[Полная марка кабеля]]</f>
        <v>0,2-ВВГнг(A)-LS-5x10</v>
      </c>
    </row>
    <row r="216" spans="1:6" x14ac:dyDescent="0.25">
      <c r="A216" s="1" t="s">
        <v>44</v>
      </c>
      <c r="B216" s="13" t="s">
        <v>381</v>
      </c>
      <c r="C216" s="1" t="s">
        <v>195</v>
      </c>
      <c r="D216" s="1" t="s">
        <v>193</v>
      </c>
      <c r="E2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ШС-4-3/M02-12,0-22,7-20</v>
      </c>
      <c r="F216" s="1" t="str">
        <f>TEXT(Таблица13[[#This Row],[Потери]],"0,0") &amp; "-" &amp;Таблица13[[#This Row],[Полная марка кабеля]]</f>
        <v>0,9-ВВГнг(A)-LS-5x4</v>
      </c>
    </row>
    <row r="217" spans="1:6" x14ac:dyDescent="0.25">
      <c r="A217" s="1" t="s">
        <v>44</v>
      </c>
      <c r="B217" s="13" t="s">
        <v>319</v>
      </c>
      <c r="C217" s="1"/>
      <c r="D217" s="1" t="s">
        <v>97</v>
      </c>
      <c r="E2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ШС-4-3/M03-30,0-45,5-20</v>
      </c>
      <c r="F217" s="1" t="str">
        <f>TEXT(Таблица13[[#This Row],[Потери]],"0,0") &amp; "-" &amp;Таблица13[[#This Row],[Полная марка кабеля]]</f>
        <v>0,6-ВВГнг(A)-LS-5x16</v>
      </c>
    </row>
    <row r="218" spans="1:6" x14ac:dyDescent="0.25">
      <c r="A218" s="1" t="s">
        <v>44</v>
      </c>
      <c r="B218" s="9"/>
      <c r="C218" s="1"/>
      <c r="D218" s="1" t="s">
        <v>73</v>
      </c>
      <c r="E2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ШС-4-3/M04-0,4-2,0-90</v>
      </c>
      <c r="F218" s="1" t="str">
        <f>TEXT(Таблица13[[#This Row],[Потери]],"0,0") &amp; "-" &amp;Таблица13[[#This Row],[Полная марка кабеля]]</f>
        <v>2,4-ВВГнг(A)-LS-3x1,5</v>
      </c>
    </row>
    <row r="219" spans="1:6" x14ac:dyDescent="0.25">
      <c r="A219" s="1" t="s">
        <v>45</v>
      </c>
      <c r="B219" s="13" t="s">
        <v>385</v>
      </c>
      <c r="C219" s="1" t="s">
        <v>200</v>
      </c>
      <c r="D219" s="1" t="s">
        <v>196</v>
      </c>
      <c r="E2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ШС-4-2Б/M01-15,0-28,4-10</v>
      </c>
      <c r="F219" s="1" t="str">
        <f>TEXT(Таблица13[[#This Row],[Потери]],"0,0") &amp; "-" &amp;Таблица13[[#This Row],[Полная марка кабеля]]</f>
        <v>0,4-ВВГнг(A)-LS-5x6</v>
      </c>
    </row>
    <row r="220" spans="1:6" x14ac:dyDescent="0.25">
      <c r="A220" s="1" t="s">
        <v>45</v>
      </c>
      <c r="B220" s="13" t="s">
        <v>386</v>
      </c>
      <c r="C220" s="1" t="s">
        <v>201</v>
      </c>
      <c r="D220" s="1" t="s">
        <v>197</v>
      </c>
      <c r="E2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ШС-4-2Б/M02-0,8-1,5-10</v>
      </c>
      <c r="F220" s="1" t="str">
        <f>TEXT(Таблица13[[#This Row],[Потери]],"0,0") &amp; "-" &amp;Таблица13[[#This Row],[Полная марка кабеля]]</f>
        <v>0,1-ВВГнг(A)-LS-5x2,5</v>
      </c>
    </row>
    <row r="221" spans="1:6" x14ac:dyDescent="0.25">
      <c r="A221" s="1" t="s">
        <v>45</v>
      </c>
      <c r="B221" s="13" t="s">
        <v>387</v>
      </c>
      <c r="C221" s="1" t="s">
        <v>202</v>
      </c>
      <c r="D221" s="1" t="s">
        <v>198</v>
      </c>
      <c r="E2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ШС-4-2Б/M03-1,5-2,8-10</v>
      </c>
      <c r="F221" s="1" t="str">
        <f>TEXT(Таблица13[[#This Row],[Потери]],"0,0") &amp; "-" &amp;Таблица13[[#This Row],[Полная марка кабеля]]</f>
        <v>0,1-ВВГнг(A)-LS-5x2,5</v>
      </c>
    </row>
    <row r="222" spans="1:6" x14ac:dyDescent="0.25">
      <c r="A222" s="1" t="s">
        <v>45</v>
      </c>
      <c r="B222" s="13" t="s">
        <v>374</v>
      </c>
      <c r="C222" s="1" t="s">
        <v>203</v>
      </c>
      <c r="D222" s="1" t="s">
        <v>408</v>
      </c>
      <c r="E2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ШС-4-2Б/M04-4,5-8,5-10</v>
      </c>
      <c r="F222" s="1" t="str">
        <f>TEXT(Таблица13[[#This Row],[Потери]],"0,0") &amp; "-" &amp;Таблица13[[#This Row],[Полная марка кабеля]]</f>
        <v>0,3-ВВГнг(A)-LS-5x2,5</v>
      </c>
    </row>
    <row r="223" spans="1:6" x14ac:dyDescent="0.25">
      <c r="A223" s="1" t="s">
        <v>45</v>
      </c>
      <c r="B223" s="13" t="s">
        <v>388</v>
      </c>
      <c r="C223" s="1" t="s">
        <v>204</v>
      </c>
      <c r="D223" s="1" t="s">
        <v>199</v>
      </c>
      <c r="E2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ШС-4-2Б/M05-4,0-7,6-10</v>
      </c>
      <c r="F223" s="1" t="str">
        <f>TEXT(Таблица13[[#This Row],[Потери]],"0,0") &amp; "-" &amp;Таблица13[[#This Row],[Полная марка кабеля]]</f>
        <v>0,3-ВВГнг(A)-LS-5x2,5</v>
      </c>
    </row>
    <row r="224" spans="1:6" x14ac:dyDescent="0.25">
      <c r="A224" s="1" t="s">
        <v>45</v>
      </c>
      <c r="B224" s="9"/>
      <c r="C224" s="1"/>
      <c r="D224" s="1" t="s">
        <v>73</v>
      </c>
      <c r="E2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ШС-4-2Б/M06-0,4-1,9-60</v>
      </c>
      <c r="F224" s="1" t="str">
        <f>TEXT(Таблица13[[#This Row],[Потери]],"0,0") &amp; "-" &amp;Таблица13[[#This Row],[Полная марка кабеля]]</f>
        <v>1,5-ВВГнг(A)-LS-3x1,5</v>
      </c>
    </row>
    <row r="225" spans="1:6" x14ac:dyDescent="0.25">
      <c r="A225" s="1" t="s">
        <v>46</v>
      </c>
      <c r="B225" s="9"/>
      <c r="C225" s="1"/>
      <c r="D225" s="1"/>
      <c r="E225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25" s="25" t="e">
        <f>TEXT(Таблица13[[#This Row],[Потери]],"0,0") &amp; "-" &amp;Таблица13[[#This Row],[Полная марка кабеля]]</f>
        <v>#DIV/0!</v>
      </c>
    </row>
    <row r="226" spans="1:6" x14ac:dyDescent="0.25">
      <c r="A226" s="1" t="s">
        <v>46</v>
      </c>
      <c r="B226" s="13" t="s">
        <v>382</v>
      </c>
      <c r="C226" s="1" t="s">
        <v>206</v>
      </c>
      <c r="D226" s="1" t="s">
        <v>205</v>
      </c>
      <c r="E22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ШС-4-2А/M01-2,0-10,1-10</v>
      </c>
      <c r="F226" s="1" t="str">
        <f>TEXT(Таблица13[[#This Row],[Потери]],"0,0") &amp; "-" &amp;Таблица13[[#This Row],[Полная марка кабеля]]</f>
        <v>0,3-ВВГнг(A)-LS-3x6</v>
      </c>
    </row>
    <row r="227" spans="1:6" x14ac:dyDescent="0.25">
      <c r="A227" s="1" t="s">
        <v>46</v>
      </c>
      <c r="B227" s="13" t="s">
        <v>383</v>
      </c>
      <c r="C227" s="1" t="s">
        <v>207</v>
      </c>
      <c r="D227" s="1" t="s">
        <v>205</v>
      </c>
      <c r="E2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ШС-4-2А/M02-1,0-5,1-10</v>
      </c>
      <c r="F227" s="1" t="str">
        <f>TEXT(Таблица13[[#This Row],[Потери]],"0,0") &amp; "-" &amp;Таблица13[[#This Row],[Полная марка кабеля]]</f>
        <v>0,2-ВВГнг(A)-LS-3x4</v>
      </c>
    </row>
    <row r="228" spans="1:6" x14ac:dyDescent="0.25">
      <c r="A228" s="1" t="s">
        <v>46</v>
      </c>
      <c r="B228" s="9"/>
      <c r="C228" s="1"/>
      <c r="D228" s="1" t="s">
        <v>208</v>
      </c>
      <c r="E22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ШС-4-2А/M03-2,0-10,1-10</v>
      </c>
      <c r="F228" s="1" t="str">
        <f>TEXT(Таблица13[[#This Row],[Потери]],"0,0") &amp; "-" &amp;Таблица13[[#This Row],[Полная марка кабеля]]</f>
        <v>0,7-ВВГнг(A)-LS-3x2,5</v>
      </c>
    </row>
    <row r="229" spans="1:6" x14ac:dyDescent="0.25">
      <c r="A229" s="1" t="s">
        <v>47</v>
      </c>
      <c r="B229" s="9"/>
      <c r="C229" s="1"/>
      <c r="D229" s="1"/>
      <c r="E229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29" s="25" t="e">
        <f>TEXT(Таблица13[[#This Row],[Потери]],"0,0") &amp; "-" &amp;Таблица13[[#This Row],[Полная марка кабеля]]</f>
        <v>#DIV/0!</v>
      </c>
    </row>
    <row r="230" spans="1:6" x14ac:dyDescent="0.25">
      <c r="A230" s="1" t="s">
        <v>47</v>
      </c>
      <c r="B230" s="9" t="s">
        <v>46</v>
      </c>
      <c r="C230" s="1" t="s">
        <v>511</v>
      </c>
      <c r="D230" s="1" t="s">
        <v>263</v>
      </c>
      <c r="E23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ШС-4-2/M01-5,0-10,1-10</v>
      </c>
      <c r="F230" s="1" t="str">
        <f>TEXT(Таблица13[[#This Row],[Потери]],"0,0") &amp; "-" &amp;Таблица13[[#This Row],[Полная марка кабеля]]</f>
        <v>0,1-ВВГнг(A)-LS-5x10</v>
      </c>
    </row>
    <row r="231" spans="1:6" x14ac:dyDescent="0.25">
      <c r="A231" s="1" t="s">
        <v>47</v>
      </c>
      <c r="B231" s="13" t="s">
        <v>389</v>
      </c>
      <c r="C231" s="1" t="s">
        <v>212</v>
      </c>
      <c r="D231" s="1" t="s">
        <v>210</v>
      </c>
      <c r="E2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ШС-4-2/M02-10,0-18,9-10</v>
      </c>
      <c r="F231" s="1" t="str">
        <f>TEXT(Таблица13[[#This Row],[Потери]],"0,0") &amp; "-" &amp;Таблица13[[#This Row],[Полная марка кабеля]]</f>
        <v>0,3-ВВГнг(A)-LS-5x6</v>
      </c>
    </row>
    <row r="232" spans="1:6" x14ac:dyDescent="0.25">
      <c r="A232" s="1" t="s">
        <v>47</v>
      </c>
      <c r="B232" s="9"/>
      <c r="C232" s="1"/>
      <c r="D232" s="1" t="s">
        <v>72</v>
      </c>
      <c r="E2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ШС-4-2/M03-2,0-10,1-10</v>
      </c>
      <c r="F232" s="1" t="str">
        <f>TEXT(Таблица13[[#This Row],[Потери]],"0,0") &amp; "-" &amp;Таблица13[[#This Row],[Полная марка кабеля]]</f>
        <v>0,7-ВВГнг(A)-LS-3x2,5</v>
      </c>
    </row>
    <row r="233" spans="1:6" x14ac:dyDescent="0.25">
      <c r="A233" s="1" t="s">
        <v>47</v>
      </c>
      <c r="B233" s="9"/>
      <c r="C233" s="1"/>
      <c r="D233" s="1" t="s">
        <v>124</v>
      </c>
      <c r="E23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ШС-4-2/M04-2,0-3,4-10</v>
      </c>
      <c r="F233" s="1" t="str">
        <f>TEXT(Таблица13[[#This Row],[Потери]],"0,0") &amp; "-" &amp;Таблица13[[#This Row],[Полная марка кабеля]]</f>
        <v>0,1-ВВГнг(A)-LS-5x2,5</v>
      </c>
    </row>
    <row r="234" spans="1:6" x14ac:dyDescent="0.25">
      <c r="A234" s="1" t="s">
        <v>47</v>
      </c>
      <c r="B234" s="13" t="s">
        <v>395</v>
      </c>
      <c r="C234" s="1"/>
      <c r="D234" s="1" t="s">
        <v>211</v>
      </c>
      <c r="E2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ШС-4-2/M05-5,0-8,4-10</v>
      </c>
      <c r="F234" s="1" t="str">
        <f>TEXT(Таблица13[[#This Row],[Потери]],"0,0") &amp; "-" &amp;Таблица13[[#This Row],[Полная марка кабеля]]</f>
        <v>0,2-ВВГнг(A)-LS-5x4</v>
      </c>
    </row>
    <row r="235" spans="1:6" x14ac:dyDescent="0.25">
      <c r="A235" s="1" t="s">
        <v>47</v>
      </c>
      <c r="B235" s="9"/>
      <c r="C235" s="1"/>
      <c r="D235" s="1" t="s">
        <v>73</v>
      </c>
      <c r="E2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ШС-4-2/M06-0,9-4,4-100</v>
      </c>
      <c r="F235" s="1" t="str">
        <f>TEXT(Таблица13[[#This Row],[Потери]],"0,0") &amp; "-" &amp;Таблица13[[#This Row],[Полная марка кабеля]]</f>
        <v>5,7-ВВГнг(A)-LS-3x1,5</v>
      </c>
    </row>
    <row r="236" spans="1:6" x14ac:dyDescent="0.25">
      <c r="A236" s="1" t="s">
        <v>47</v>
      </c>
      <c r="B236" s="9" t="s">
        <v>45</v>
      </c>
      <c r="C236" s="1" t="s">
        <v>511</v>
      </c>
      <c r="D236" s="1" t="s">
        <v>263</v>
      </c>
      <c r="E23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ШС-4-2/M07-26,2-39,6-20</v>
      </c>
      <c r="F236" s="1" t="str">
        <f>TEXT(Таблица13[[#This Row],[Потери]],"0,0") &amp; "-" &amp;Таблица13[[#This Row],[Полная марка кабеля]]</f>
        <v>0,3-ВВГнг(A)-LS-5x25</v>
      </c>
    </row>
    <row r="237" spans="1:6" x14ac:dyDescent="0.25">
      <c r="A237" s="1" t="s">
        <v>48</v>
      </c>
      <c r="B237" s="13" t="s">
        <v>402</v>
      </c>
      <c r="C237" s="1"/>
      <c r="D237" s="1" t="s">
        <v>409</v>
      </c>
      <c r="E2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ШС-4-1/M01-32,7-49,5-5</v>
      </c>
      <c r="F237" s="1" t="str">
        <f>TEXT(Таблица13[[#This Row],[Потери]],"0,0") &amp; "-" &amp;Таблица13[[#This Row],[Полная марка кабеля]]</f>
        <v>0,1-ВВГнг(A)-LS-5x25</v>
      </c>
    </row>
    <row r="238" spans="1:6" x14ac:dyDescent="0.25">
      <c r="A238" s="1" t="s">
        <v>48</v>
      </c>
      <c r="B238" s="13" t="s">
        <v>403</v>
      </c>
      <c r="C238" s="1"/>
      <c r="D238" s="1" t="s">
        <v>410</v>
      </c>
      <c r="E2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ШС-4-1/M02-11,7-17,7-5</v>
      </c>
      <c r="F238" s="1" t="str">
        <f>TEXT(Таблица13[[#This Row],[Потери]],"0,0") &amp; "-" &amp;Таблица13[[#This Row],[Полная марка кабеля]]</f>
        <v>0,1-ВВГнг(A)-LS-5x10</v>
      </c>
    </row>
    <row r="239" spans="1:6" x14ac:dyDescent="0.25">
      <c r="A239" s="1" t="s">
        <v>48</v>
      </c>
      <c r="B239" s="9"/>
      <c r="C239" s="1"/>
      <c r="D239" s="1" t="s">
        <v>73</v>
      </c>
      <c r="E2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ШС-4-1/M03-0,7-3,4-150</v>
      </c>
      <c r="F239" s="1" t="str">
        <f>TEXT(Таблица13[[#This Row],[Потери]],"0,0") &amp; "-" &amp;Таблица13[[#This Row],[Полная марка кабеля]]</f>
        <v>6,8-ВВГнг(A)-LS-3x1,5</v>
      </c>
    </row>
    <row r="240" spans="1:6" x14ac:dyDescent="0.25">
      <c r="A240" s="1" t="s">
        <v>48</v>
      </c>
      <c r="B240" s="9"/>
      <c r="C240" s="1"/>
      <c r="D240" s="1" t="s">
        <v>73</v>
      </c>
      <c r="E2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ШС-4-1/M04-0,2-0,9-90</v>
      </c>
      <c r="F240" s="1" t="str">
        <f>TEXT(Таблица13[[#This Row],[Потери]],"0,0") &amp; "-" &amp;Таблица13[[#This Row],[Полная марка кабеля]]</f>
        <v>1,1-ВВГнг(A)-LS-3x1,5</v>
      </c>
    </row>
    <row r="241" spans="1:6" x14ac:dyDescent="0.25">
      <c r="A241" s="1" t="s">
        <v>49</v>
      </c>
      <c r="B241" s="9"/>
      <c r="C241" s="1"/>
      <c r="D241" s="1"/>
      <c r="E24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41" s="25" t="e">
        <f>TEXT(Таблица13[[#This Row],[Потери]],"0,0") &amp; "-" &amp;Таблица13[[#This Row],[Полная марка кабеля]]</f>
        <v>#DIV/0!</v>
      </c>
    </row>
    <row r="242" spans="1:6" x14ac:dyDescent="0.25">
      <c r="A242" s="1" t="s">
        <v>49</v>
      </c>
      <c r="B242" s="9" t="s">
        <v>48</v>
      </c>
      <c r="C242" s="1" t="s">
        <v>511</v>
      </c>
      <c r="D242" s="1" t="s">
        <v>263</v>
      </c>
      <c r="E24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ШР-2/M01-45,3-55,0-30</v>
      </c>
      <c r="F242" s="1" t="str">
        <f>TEXT(Таблица13[[#This Row],[Потери]],"0,0") &amp; "-" &amp;Таблица13[[#This Row],[Полная марка кабеля]]</f>
        <v>0,7-КГ-4x25</v>
      </c>
    </row>
    <row r="243" spans="1:6" x14ac:dyDescent="0.25">
      <c r="A243" s="1" t="s">
        <v>49</v>
      </c>
      <c r="B243" s="9" t="s">
        <v>47</v>
      </c>
      <c r="C243" s="1" t="s">
        <v>511</v>
      </c>
      <c r="D243" s="1" t="s">
        <v>263</v>
      </c>
      <c r="E24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ШР-2/M00-51,1-74,8-20</v>
      </c>
      <c r="F243" s="1" t="str">
        <f>TEXT(Таблица13[[#This Row],[Потери]],"0,0") &amp; "-" &amp;Таблица13[[#This Row],[Полная марка кабеля]]</f>
        <v>0,4-КГ-4x35</v>
      </c>
    </row>
    <row r="244" spans="1:6" x14ac:dyDescent="0.25">
      <c r="A244" s="1" t="s">
        <v>49</v>
      </c>
      <c r="B244" s="9" t="s">
        <v>44</v>
      </c>
      <c r="C244" s="1" t="s">
        <v>511</v>
      </c>
      <c r="D244" s="1" t="s">
        <v>263</v>
      </c>
      <c r="E24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ШР-2/M03-56,4-62,0-40</v>
      </c>
      <c r="F244" s="1" t="str">
        <f>TEXT(Таблица13[[#This Row],[Потери]],"0,0") &amp; "-" &amp;Таблица13[[#This Row],[Полная марка кабеля]]</f>
        <v>2,3-ПВС-5x10</v>
      </c>
    </row>
    <row r="245" spans="1:6" x14ac:dyDescent="0.25">
      <c r="A245" s="1" t="s">
        <v>49</v>
      </c>
      <c r="B245" s="9" t="s">
        <v>43</v>
      </c>
      <c r="C245" s="1" t="s">
        <v>511</v>
      </c>
      <c r="D245" s="1" t="s">
        <v>263</v>
      </c>
      <c r="E24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ШР-2/M02-22,5-33,6-35</v>
      </c>
      <c r="F245" s="1" t="str">
        <f>TEXT(Таблица13[[#This Row],[Потери]],"0,0") &amp; "-" &amp;Таблица13[[#This Row],[Полная марка кабеля]]</f>
        <v>0,6-ВВГ-4x16</v>
      </c>
    </row>
    <row r="246" spans="1:6" x14ac:dyDescent="0.25">
      <c r="A246" s="1" t="s">
        <v>49</v>
      </c>
      <c r="B246" s="9" t="s">
        <v>42</v>
      </c>
      <c r="C246" s="1" t="s">
        <v>511</v>
      </c>
      <c r="D246" s="1" t="s">
        <v>263</v>
      </c>
      <c r="E24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ШР-2/M05-16,4-24,5-40</v>
      </c>
      <c r="F246" s="1" t="str">
        <f>TEXT(Таблица13[[#This Row],[Потери]],"0,0") &amp; "-" &amp;Таблица13[[#This Row],[Полная марка кабеля]]</f>
        <v>0,8-ПВС-5x10</v>
      </c>
    </row>
    <row r="247" spans="1:6" x14ac:dyDescent="0.25">
      <c r="A247" s="1" t="s">
        <v>50</v>
      </c>
      <c r="B247" s="13" t="s">
        <v>311</v>
      </c>
      <c r="C247" s="1" t="s">
        <v>218</v>
      </c>
      <c r="D247" s="1" t="s">
        <v>94</v>
      </c>
      <c r="E24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ШС-2-3/M01-38,6-73,1-20</v>
      </c>
      <c r="F247" s="1" t="str">
        <f>TEXT(Таблица13[[#This Row],[Потери]],"0,0") &amp; "-" &amp;Таблица13[[#This Row],[Полная марка кабеля]]</f>
        <v>0,5-ВВГнг(A)-LS-5x25</v>
      </c>
    </row>
    <row r="248" spans="1:6" x14ac:dyDescent="0.25">
      <c r="A248" s="1" t="s">
        <v>50</v>
      </c>
      <c r="B248" s="13" t="s">
        <v>304</v>
      </c>
      <c r="C248" s="1" t="s">
        <v>223</v>
      </c>
      <c r="D248" s="1" t="s">
        <v>94</v>
      </c>
      <c r="E24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ШС-2-3/M02-36,0-68,2-5</v>
      </c>
      <c r="F248" s="1" t="str">
        <f>TEXT(Таблица13[[#This Row],[Потери]],"0,0") &amp; "-" &amp;Таблица13[[#This Row],[Полная марка кабеля]]</f>
        <v>0,1-ВВГнг(A)-LS-5x25</v>
      </c>
    </row>
    <row r="249" spans="1:6" x14ac:dyDescent="0.25">
      <c r="A249" s="1" t="s">
        <v>50</v>
      </c>
      <c r="B249" s="13" t="s">
        <v>325</v>
      </c>
      <c r="C249" s="1"/>
      <c r="D249" s="1" t="s">
        <v>97</v>
      </c>
      <c r="E24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ШС-2-3/M03-38,6-58,5-45</v>
      </c>
      <c r="F249" s="1" t="str">
        <f>TEXT(Таблица13[[#This Row],[Потери]],"0,0") &amp; "-" &amp;Таблица13[[#This Row],[Полная марка кабеля]]</f>
        <v>1,1-ВВГнг(A)-LS-5x25</v>
      </c>
    </row>
    <row r="250" spans="1:6" x14ac:dyDescent="0.25">
      <c r="A250" s="1" t="s">
        <v>50</v>
      </c>
      <c r="B250" s="9"/>
      <c r="C250" s="1"/>
      <c r="D250" s="1" t="s">
        <v>215</v>
      </c>
      <c r="E25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ШС-2-3/M04-15,0-25,3-25</v>
      </c>
      <c r="F250" s="1" t="str">
        <f>TEXT(Таблица13[[#This Row],[Потери]],"0,0") &amp; "-" &amp;Таблица13[[#This Row],[Полная марка кабеля]]</f>
        <v>0,6-ВВГнг(A)-LS-5x10</v>
      </c>
    </row>
    <row r="251" spans="1:6" x14ac:dyDescent="0.25">
      <c r="A251" s="1" t="s">
        <v>50</v>
      </c>
      <c r="B251" s="13" t="s">
        <v>283</v>
      </c>
      <c r="C251" s="1" t="s">
        <v>224</v>
      </c>
      <c r="D251" s="1" t="s">
        <v>94</v>
      </c>
      <c r="E25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ШС-2-3/M05-9,7-18,4-10</v>
      </c>
      <c r="F251" s="1" t="str">
        <f>TEXT(Таблица13[[#This Row],[Потери]],"0,0") &amp; "-" &amp;Таблица13[[#This Row],[Полная марка кабеля]]</f>
        <v>0,4-ВВГнг(A)-LS-5x4</v>
      </c>
    </row>
    <row r="252" spans="1:6" x14ac:dyDescent="0.25">
      <c r="A252" s="1" t="s">
        <v>50</v>
      </c>
      <c r="B252" s="13" t="s">
        <v>289</v>
      </c>
      <c r="C252" s="1" t="s">
        <v>100</v>
      </c>
      <c r="D252" s="1" t="s">
        <v>94</v>
      </c>
      <c r="E25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ШС-2-3/M06-19,0-36,0-20</v>
      </c>
      <c r="F252" s="1" t="str">
        <f>TEXT(Таблица13[[#This Row],[Потери]],"0,0") &amp; "-" &amp;Таблица13[[#This Row],[Полная марка кабеля]]</f>
        <v>0,6-ВВГнг(A)-LS-5x10</v>
      </c>
    </row>
    <row r="253" spans="1:6" x14ac:dyDescent="0.25">
      <c r="A253" s="1" t="s">
        <v>50</v>
      </c>
      <c r="B253" s="13" t="s">
        <v>296</v>
      </c>
      <c r="C253" s="1" t="s">
        <v>224</v>
      </c>
      <c r="D253" s="1" t="s">
        <v>94</v>
      </c>
      <c r="E25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ШС-2-3/M07-9,7-18,4-10</v>
      </c>
      <c r="F253" s="1" t="str">
        <f>TEXT(Таблица13[[#This Row],[Потери]],"0,0") &amp; "-" &amp;Таблица13[[#This Row],[Полная марка кабеля]]</f>
        <v>0,4-ВВГнг(A)-LS-5x4</v>
      </c>
    </row>
    <row r="254" spans="1:6" x14ac:dyDescent="0.25">
      <c r="A254" s="1" t="s">
        <v>51</v>
      </c>
      <c r="B254" s="9" t="s">
        <v>220</v>
      </c>
      <c r="C254" s="1" t="s">
        <v>514</v>
      </c>
      <c r="D254" s="1" t="s">
        <v>263</v>
      </c>
      <c r="E25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ШС-2-2/M01-50,0-94,7-35</v>
      </c>
      <c r="F254" s="1" t="str">
        <f>TEXT(Таблица13[[#This Row],[Потери]],"0,0") &amp; "-" &amp;Таблица13[[#This Row],[Полная марка кабеля]]</f>
        <v>0,6-КГ-5x50</v>
      </c>
    </row>
    <row r="255" spans="1:6" x14ac:dyDescent="0.25">
      <c r="A255" s="1" t="s">
        <v>51</v>
      </c>
      <c r="B255" s="9" t="s">
        <v>221</v>
      </c>
      <c r="C255" s="1" t="s">
        <v>514</v>
      </c>
      <c r="D255" s="1" t="s">
        <v>263</v>
      </c>
      <c r="E25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ШС-2-2/M02-15,0-23,9-25</v>
      </c>
      <c r="F255" s="1" t="str">
        <f>TEXT(Таблица13[[#This Row],[Потери]],"0,0") &amp; "-" &amp;Таблица13[[#This Row],[Полная марка кабеля]]</f>
        <v>1,0-КГ-5x6</v>
      </c>
    </row>
    <row r="256" spans="1:6" x14ac:dyDescent="0.25">
      <c r="A256" s="1" t="s">
        <v>51</v>
      </c>
      <c r="B256" s="13" t="s">
        <v>301</v>
      </c>
      <c r="C256" s="1" t="s">
        <v>223</v>
      </c>
      <c r="D256" s="1" t="s">
        <v>94</v>
      </c>
      <c r="E25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ШС-2-2/M03-36,0-68,2-20</v>
      </c>
      <c r="F256" s="1" t="str">
        <f>TEXT(Таблица13[[#This Row],[Потери]],"0,0") &amp; "-" &amp;Таблица13[[#This Row],[Полная марка кабеля]]</f>
        <v>0,5-ВВГнг(A)-LS-5x25</v>
      </c>
    </row>
    <row r="257" spans="1:6" x14ac:dyDescent="0.25">
      <c r="A257" s="1" t="s">
        <v>51</v>
      </c>
      <c r="B257" s="13" t="s">
        <v>302</v>
      </c>
      <c r="C257" s="1" t="s">
        <v>225</v>
      </c>
      <c r="D257" s="1" t="s">
        <v>94</v>
      </c>
      <c r="E25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ШС-2-2/M04-11,3-21,4-20</v>
      </c>
      <c r="F257" s="1" t="str">
        <f>TEXT(Таблица13[[#This Row],[Потери]],"0,0") &amp; "-" &amp;Таблица13[[#This Row],[Полная марка кабеля]]</f>
        <v>0,4-ВВГнг(A)-LS-5x10</v>
      </c>
    </row>
    <row r="258" spans="1:6" x14ac:dyDescent="0.25">
      <c r="A258" s="1" t="s">
        <v>51</v>
      </c>
      <c r="B258" s="9"/>
      <c r="C258" s="1"/>
      <c r="D258" s="1" t="s">
        <v>222</v>
      </c>
      <c r="E25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ШС-2-2/M05-0,2-0,9-100</v>
      </c>
      <c r="F258" s="1" t="str">
        <f>TEXT(Таблица13[[#This Row],[Потери]],"0,0") &amp; "-" &amp;Таблица13[[#This Row],[Полная марка кабеля]]</f>
        <v>1,2-ВВГнг(A)-LS-3x1,5</v>
      </c>
    </row>
    <row r="259" spans="1:6" x14ac:dyDescent="0.25">
      <c r="A259" s="1" t="s">
        <v>52</v>
      </c>
      <c r="B259" s="9"/>
      <c r="C259" s="1"/>
      <c r="D259" s="1" t="s">
        <v>73</v>
      </c>
      <c r="E25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ШС-2-1А/M01-0,1-0,5-15</v>
      </c>
      <c r="F259" s="1" t="str">
        <f>TEXT(Таблица13[[#This Row],[Потери]],"0,0") &amp; "-" &amp;Таблица13[[#This Row],[Полная марка кабеля]]</f>
        <v>0,1-ВВГнг(A)-LS-3x1,5</v>
      </c>
    </row>
    <row r="260" spans="1:6" x14ac:dyDescent="0.25">
      <c r="A260" s="1" t="s">
        <v>52</v>
      </c>
      <c r="B260" s="13" t="s">
        <v>392</v>
      </c>
      <c r="C260" s="1" t="s">
        <v>233</v>
      </c>
      <c r="D260" s="1" t="s">
        <v>226</v>
      </c>
      <c r="E26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ШС-2-1А/M02-3,0-4,5-10</v>
      </c>
      <c r="F260" s="1" t="str">
        <f>TEXT(Таблица13[[#This Row],[Потери]],"0,0") &amp; "-" &amp;Таблица13[[#This Row],[Полная марка кабеля]]</f>
        <v>0,1-ВВГнг(A)-LS-5x4</v>
      </c>
    </row>
    <row r="261" spans="1:6" x14ac:dyDescent="0.25">
      <c r="A261" s="1" t="s">
        <v>52</v>
      </c>
      <c r="B261" s="9"/>
      <c r="C261" s="1"/>
      <c r="D261" s="1" t="s">
        <v>227</v>
      </c>
      <c r="E26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ШС-2-1А/M03-3,0-5,7-10</v>
      </c>
      <c r="F261" s="1" t="str">
        <f>TEXT(Таблица13[[#This Row],[Потери]],"0,0") &amp; "-" &amp;Таблица13[[#This Row],[Полная марка кабеля]]</f>
        <v>0,2-ВВГнг(A)-LS-5x2,5</v>
      </c>
    </row>
    <row r="262" spans="1:6" x14ac:dyDescent="0.25">
      <c r="A262" s="1" t="s">
        <v>52</v>
      </c>
      <c r="B262" s="9"/>
      <c r="C262" s="1"/>
      <c r="D262" s="1" t="s">
        <v>228</v>
      </c>
      <c r="E26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ШС-2-1А/M04-5,0-7,6-50</v>
      </c>
      <c r="F262" s="1" t="str">
        <f>TEXT(Таблица13[[#This Row],[Потери]],"0,0") &amp; "-" &amp;Таблица13[[#This Row],[Полная марка кабеля]]</f>
        <v>1,0-ВВГнг(A)-LS-5x4</v>
      </c>
    </row>
    <row r="263" spans="1:6" x14ac:dyDescent="0.25">
      <c r="A263" s="1" t="s">
        <v>52</v>
      </c>
      <c r="B263" s="13" t="s">
        <v>384</v>
      </c>
      <c r="C263" s="1" t="s">
        <v>230</v>
      </c>
      <c r="D263" s="1" t="s">
        <v>229</v>
      </c>
      <c r="E26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ШС-2-1А/M05-7,5-14,2-10</v>
      </c>
      <c r="F263" s="1" t="str">
        <f>TEXT(Таблица13[[#This Row],[Потери]],"0,0") &amp; "-" &amp;Таблица13[[#This Row],[Полная марка кабеля]]</f>
        <v>0,3-ВВГнг(A)-LS-5x4</v>
      </c>
    </row>
    <row r="264" spans="1:6" x14ac:dyDescent="0.25">
      <c r="A264" s="1" t="s">
        <v>52</v>
      </c>
      <c r="B264" s="13" t="s">
        <v>361</v>
      </c>
      <c r="C264" s="1" t="s">
        <v>231</v>
      </c>
      <c r="D264" s="1" t="s">
        <v>152</v>
      </c>
      <c r="E26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ШС-2-1А/M06-15,0-28,4-10</v>
      </c>
      <c r="F264" s="1" t="str">
        <f>TEXT(Таблица13[[#This Row],[Потери]],"0,0") &amp; "-" &amp;Таблица13[[#This Row],[Полная марка кабеля]]</f>
        <v>0,2-ВВГнг(A)-LS-5x10</v>
      </c>
    </row>
    <row r="265" spans="1:6" x14ac:dyDescent="0.25">
      <c r="A265" s="1" t="s">
        <v>52</v>
      </c>
      <c r="B265" s="13" t="s">
        <v>367</v>
      </c>
      <c r="C265" s="1" t="s">
        <v>232</v>
      </c>
      <c r="D265" s="1" t="s">
        <v>152</v>
      </c>
      <c r="E26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ШС-2-1А/M07-15,0-28,4-10</v>
      </c>
      <c r="F265" s="1" t="str">
        <f>TEXT(Таблица13[[#This Row],[Потери]],"0,0") &amp; "-" &amp;Таблица13[[#This Row],[Полная марка кабеля]]</f>
        <v>0,2-ВВГнг(A)-LS-5x10</v>
      </c>
    </row>
    <row r="266" spans="1:6" x14ac:dyDescent="0.25">
      <c r="A266" s="1" t="s">
        <v>53</v>
      </c>
      <c r="B266" s="9" t="s">
        <v>52</v>
      </c>
      <c r="C266" s="1" t="s">
        <v>511</v>
      </c>
      <c r="D266" s="1" t="s">
        <v>263</v>
      </c>
      <c r="E26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ШС-2-1/M01-48,6-71,2-40</v>
      </c>
      <c r="F266" s="1" t="str">
        <f>TEXT(Таблица13[[#This Row],[Потери]],"0,0") &amp; "-" &amp;Таблица13[[#This Row],[Полная марка кабеля]]</f>
        <v>1,6-КГ-5x16</v>
      </c>
    </row>
    <row r="267" spans="1:6" x14ac:dyDescent="0.25">
      <c r="A267" s="1" t="s">
        <v>53</v>
      </c>
      <c r="B267" s="9"/>
      <c r="C267" s="1"/>
      <c r="D267" s="1" t="s">
        <v>123</v>
      </c>
      <c r="E26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ШС-2-1/M02-7,0-13,3-20</v>
      </c>
      <c r="F267" s="1" t="str">
        <f>TEXT(Таблица13[[#This Row],[Потери]],"0,0") &amp; "-" &amp;Таблица13[[#This Row],[Полная марка кабеля]]</f>
        <v>0,5-ВВГнг(A)-LS-5x4</v>
      </c>
    </row>
    <row r="268" spans="1:6" x14ac:dyDescent="0.25">
      <c r="A268" s="1" t="s">
        <v>53</v>
      </c>
      <c r="B268" s="9" t="s">
        <v>234</v>
      </c>
      <c r="C268" s="1" t="s">
        <v>511</v>
      </c>
      <c r="D268" s="1" t="s">
        <v>263</v>
      </c>
      <c r="E26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ШС-2-1/M03-15,0-22,7-10</v>
      </c>
      <c r="F268" s="1" t="str">
        <f>TEXT(Таблица13[[#This Row],[Потери]],"0,0") &amp; "-" &amp;Таблица13[[#This Row],[Полная марка кабеля]]</f>
        <v>0,2-КГ-5x10</v>
      </c>
    </row>
    <row r="269" spans="1:6" x14ac:dyDescent="0.25">
      <c r="A269" s="1" t="s">
        <v>53</v>
      </c>
      <c r="B269" s="9"/>
      <c r="C269" s="1"/>
      <c r="D269" s="1" t="s">
        <v>236</v>
      </c>
      <c r="E26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ШС-2-1/M04-2,0-10,1-10</v>
      </c>
      <c r="F269" s="1" t="str">
        <f>TEXT(Таблица13[[#This Row],[Потери]],"0,0") &amp; "-" &amp;Таблица13[[#This Row],[Полная марка кабеля]]</f>
        <v>0,7-ВВГнг(A)-LS-3x2,5</v>
      </c>
    </row>
    <row r="270" spans="1:6" x14ac:dyDescent="0.25">
      <c r="A270" s="1" t="s">
        <v>53</v>
      </c>
      <c r="B270" s="9"/>
      <c r="C270" s="1"/>
      <c r="D270" s="1" t="s">
        <v>73</v>
      </c>
      <c r="E27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ШС-2-1/M05-0,4-2,1-60</v>
      </c>
      <c r="F270" s="1" t="str">
        <f>TEXT(Таблица13[[#This Row],[Потери]],"0,0") &amp; "-" &amp;Таблица13[[#This Row],[Полная марка кабеля]]</f>
        <v>1,6-ВВГнг(A)-LS-3x1,5</v>
      </c>
    </row>
    <row r="271" spans="1:6" x14ac:dyDescent="0.25">
      <c r="A271" s="1" t="s">
        <v>54</v>
      </c>
      <c r="B271" s="9"/>
      <c r="C271" s="1"/>
      <c r="D271" s="1"/>
      <c r="E271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71" s="25" t="e">
        <f>TEXT(Таблица13[[#This Row],[Потери]],"0,0") &amp; "-" &amp;Таблица13[[#This Row],[Полная марка кабеля]]</f>
        <v>#DIV/0!</v>
      </c>
    </row>
    <row r="272" spans="1:6" x14ac:dyDescent="0.25">
      <c r="A272" s="1" t="s">
        <v>54</v>
      </c>
      <c r="B272" s="9" t="s">
        <v>53</v>
      </c>
      <c r="C272" s="1" t="s">
        <v>511</v>
      </c>
      <c r="D272" s="1" t="s">
        <v>263</v>
      </c>
      <c r="E27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ШВ-2/M01-73,0-103,2-70</v>
      </c>
      <c r="F272" s="1" t="str">
        <f>TEXT(Таблица13[[#This Row],[Потери]],"0,0") &amp; "-" &amp;Таблица13[[#This Row],[Полная марка кабеля]]</f>
        <v>1,4-КГ-3x50+1x16</v>
      </c>
    </row>
    <row r="273" spans="1:6" x14ac:dyDescent="0.25">
      <c r="A273" s="1" t="s">
        <v>54</v>
      </c>
      <c r="B273" s="9" t="s">
        <v>51</v>
      </c>
      <c r="C273" s="1" t="s">
        <v>512</v>
      </c>
      <c r="D273" s="1" t="s">
        <v>263</v>
      </c>
      <c r="E27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ШВ-2/M02-112,5-160,6-90</v>
      </c>
      <c r="F273" s="1" t="str">
        <f>TEXT(Таблица13[[#This Row],[Потери]],"0,0") &amp; "-" &amp;Таблица13[[#This Row],[Полная марка кабеля]]</f>
        <v>7,9-КГ-4x16</v>
      </c>
    </row>
    <row r="274" spans="1:6" x14ac:dyDescent="0.25">
      <c r="A274" s="1" t="s">
        <v>54</v>
      </c>
      <c r="B274" s="9" t="s">
        <v>50</v>
      </c>
      <c r="C274" s="1" t="s">
        <v>512</v>
      </c>
      <c r="D274" s="1" t="s">
        <v>263</v>
      </c>
      <c r="E27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ШВ-2/M03-128,0-191,4-80</v>
      </c>
      <c r="F274" s="1" t="str">
        <f>TEXT(Таблица13[[#This Row],[Потери]],"0,0") &amp; "-" &amp;Таблица13[[#This Row],[Полная марка кабеля]]</f>
        <v>1,7-КГ-3x95+1x35</v>
      </c>
    </row>
    <row r="275" spans="1:6" x14ac:dyDescent="0.25">
      <c r="A275" s="1" t="s">
        <v>54</v>
      </c>
      <c r="B275" s="9" t="s">
        <v>49</v>
      </c>
      <c r="C275" s="1" t="s">
        <v>513</v>
      </c>
      <c r="D275" s="1" t="s">
        <v>265</v>
      </c>
      <c r="E27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ШВ-2/M04-192,6-248,6-5</v>
      </c>
      <c r="F275" s="1" t="str">
        <f>TEXT(Таблица13[[#This Row],[Потери]],"0,0") &amp; "-" &amp;Таблица13[[#This Row],[Полная марка кабеля]]</f>
        <v>0,1-КГ-3x95+1x35</v>
      </c>
    </row>
    <row r="276" spans="1:6" x14ac:dyDescent="0.25">
      <c r="A276" s="1" t="s">
        <v>55</v>
      </c>
      <c r="B276" s="9"/>
      <c r="C276" s="1"/>
      <c r="D276" s="1" t="s">
        <v>269</v>
      </c>
      <c r="E27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ШС-3-2/M01-15,0-22,7-10</v>
      </c>
      <c r="F276" s="1" t="str">
        <f>TEXT(Таблица13[[#This Row],[Потери]],"0,0") &amp; "-" &amp;Таблица13[[#This Row],[Полная марка кабеля]]</f>
        <v>0,2-ВВГнг(A)-LS-5x10</v>
      </c>
    </row>
    <row r="277" spans="1:6" x14ac:dyDescent="0.25">
      <c r="A277" s="1" t="s">
        <v>55</v>
      </c>
      <c r="B277" s="9" t="s">
        <v>270</v>
      </c>
      <c r="C277" s="1" t="s">
        <v>511</v>
      </c>
      <c r="D277" s="1" t="s">
        <v>263</v>
      </c>
      <c r="E27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ШС-3-2/M02-8,5-10,7-30</v>
      </c>
      <c r="F277" s="1" t="str">
        <f>TEXT(Таблица13[[#This Row],[Потери]],"0,0") &amp; "-" &amp;Таблица13[[#This Row],[Полная марка кабеля]]</f>
        <v>0,5-ВВГнг(A)-LS-5x6</v>
      </c>
    </row>
    <row r="278" spans="1:6" x14ac:dyDescent="0.25">
      <c r="A278" s="1" t="s">
        <v>55</v>
      </c>
      <c r="B278" s="9"/>
      <c r="C278" s="1"/>
      <c r="D278" s="1" t="s">
        <v>72</v>
      </c>
      <c r="E27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ШС-3-2/M03-2,0-10,1-40</v>
      </c>
      <c r="F278" s="1" t="str">
        <f>TEXT(Таблица13[[#This Row],[Потери]],"0,0") &amp; "-" &amp;Таблица13[[#This Row],[Полная марка кабеля]]</f>
        <v>3,0-ВВГнг(A)-LS-3x2,5</v>
      </c>
    </row>
    <row r="279" spans="1:6" x14ac:dyDescent="0.25">
      <c r="A279" s="1" t="s">
        <v>55</v>
      </c>
      <c r="B279" s="9"/>
      <c r="C279" s="1"/>
      <c r="D279" s="1" t="s">
        <v>72</v>
      </c>
      <c r="E27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ШС-3-2/M04-2,0-10,1-30</v>
      </c>
      <c r="F279" s="1" t="str">
        <f>TEXT(Таблица13[[#This Row],[Потери]],"0,0") &amp; "-" &amp;Таблица13[[#This Row],[Полная марка кабеля]]</f>
        <v>2,2-ВВГнг(A)-LS-3x2,5</v>
      </c>
    </row>
    <row r="280" spans="1:6" x14ac:dyDescent="0.25">
      <c r="A280" s="1" t="s">
        <v>55</v>
      </c>
      <c r="B280" s="9"/>
      <c r="C280" s="1"/>
      <c r="D280" s="1" t="s">
        <v>72</v>
      </c>
      <c r="E28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ШС-3-2/M05-2,0-10,1-30</v>
      </c>
      <c r="F280" s="1" t="str">
        <f>TEXT(Таблица13[[#This Row],[Потери]],"0,0") &amp; "-" &amp;Таблица13[[#This Row],[Полная марка кабеля]]</f>
        <v>2,2-ВВГнг(A)-LS-3x2,5</v>
      </c>
    </row>
    <row r="281" spans="1:6" x14ac:dyDescent="0.25">
      <c r="A281" s="1" t="s">
        <v>55</v>
      </c>
      <c r="B281" s="9"/>
      <c r="C281" s="1"/>
      <c r="D281" s="1" t="s">
        <v>72</v>
      </c>
      <c r="E28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ШС-3-2/M06-2,0-10,1-30</v>
      </c>
      <c r="F281" s="1" t="str">
        <f>TEXT(Таблица13[[#This Row],[Потери]],"0,0") &amp; "-" &amp;Таблица13[[#This Row],[Полная марка кабеля]]</f>
        <v>2,2-ВВГнг(A)-LS-3x2,5</v>
      </c>
    </row>
    <row r="282" spans="1:6" x14ac:dyDescent="0.25">
      <c r="A282" s="1" t="s">
        <v>55</v>
      </c>
      <c r="B282" s="9"/>
      <c r="C282" s="1"/>
      <c r="D282" s="1" t="s">
        <v>72</v>
      </c>
      <c r="E28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ШС-3-2/M07-2,0-10,1-40</v>
      </c>
      <c r="F282" s="1" t="str">
        <f>TEXT(Таблица13[[#This Row],[Потери]],"0,0") &amp; "-" &amp;Таблица13[[#This Row],[Полная марка кабеля]]</f>
        <v>3,0-ВВГнг(A)-LS-3x2,5</v>
      </c>
    </row>
    <row r="283" spans="1:6" x14ac:dyDescent="0.25">
      <c r="A283" s="1" t="s">
        <v>56</v>
      </c>
      <c r="B283" s="9"/>
      <c r="C283" s="1"/>
      <c r="D283" s="1"/>
      <c r="E283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83" s="25" t="e">
        <f>TEXT(Таблица13[[#This Row],[Потери]],"0,0") &amp; "-" &amp;Таблица13[[#This Row],[Полная марка кабеля]]</f>
        <v>#DIV/0!</v>
      </c>
    </row>
    <row r="284" spans="1:6" x14ac:dyDescent="0.25">
      <c r="A284" s="1" t="s">
        <v>56</v>
      </c>
      <c r="B284" s="13" t="s">
        <v>368</v>
      </c>
      <c r="C284" s="1" t="s">
        <v>241</v>
      </c>
      <c r="D284" s="1" t="s">
        <v>152</v>
      </c>
      <c r="E28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ШР-1/M01-15,0-28,4-10</v>
      </c>
      <c r="F284" s="1" t="str">
        <f>TEXT(Таблица13[[#This Row],[Потери]],"0,0") &amp; "-" &amp;Таблица13[[#This Row],[Полная марка кабеля]]</f>
        <v>0,2-КГ-4x16</v>
      </c>
    </row>
    <row r="285" spans="1:6" x14ac:dyDescent="0.25">
      <c r="A285" s="1" t="s">
        <v>56</v>
      </c>
      <c r="B285" s="9"/>
      <c r="C285" s="1"/>
      <c r="D285" s="1" t="s">
        <v>73</v>
      </c>
      <c r="E28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ШР-1/M02-0,2-0,9-40</v>
      </c>
      <c r="F285" s="1" t="str">
        <f>TEXT(Таблица13[[#This Row],[Потери]],"0,0") &amp; "-" &amp;Таблица13[[#This Row],[Полная марка кабеля]]</f>
        <v>0,7-ПВС-3x1</v>
      </c>
    </row>
    <row r="286" spans="1:6" x14ac:dyDescent="0.25">
      <c r="A286" s="1" t="s">
        <v>56</v>
      </c>
      <c r="B286" s="9" t="s">
        <v>55</v>
      </c>
      <c r="C286" s="1" t="s">
        <v>511</v>
      </c>
      <c r="D286" s="1" t="s">
        <v>263</v>
      </c>
      <c r="E28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ШР-1/M03-35,3-44,7-40</v>
      </c>
      <c r="F286" s="1" t="str">
        <f>TEXT(Таблица13[[#This Row],[Потери]],"0,0") &amp; "-" &amp;Таблица13[[#This Row],[Полная марка кабеля]]</f>
        <v>1,1-КГ-4x16</v>
      </c>
    </row>
    <row r="287" spans="1:6" x14ac:dyDescent="0.25">
      <c r="A287" s="1" t="s">
        <v>57</v>
      </c>
      <c r="B287" s="9"/>
      <c r="C287" s="1"/>
      <c r="D287" s="1" t="s">
        <v>72</v>
      </c>
      <c r="E28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ШС-1-2/M01-2,0-10,1-10</v>
      </c>
      <c r="F287" s="1" t="str">
        <f>TEXT(Таблица13[[#This Row],[Потери]],"0,0") &amp; "-" &amp;Таблица13[[#This Row],[Полная марка кабеля]]</f>
        <v>0,7-ВВГнг(A)-LS-3x2,5</v>
      </c>
    </row>
    <row r="288" spans="1:6" x14ac:dyDescent="0.25">
      <c r="A288" s="1" t="s">
        <v>57</v>
      </c>
      <c r="B288" s="9"/>
      <c r="C288" s="1"/>
      <c r="D288" s="1" t="s">
        <v>73</v>
      </c>
      <c r="E28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ШС-1-2/M02-0,3-1,4-40</v>
      </c>
      <c r="F288" s="1" t="str">
        <f>TEXT(Таблица13[[#This Row],[Потери]],"0,0") &amp; "-" &amp;Таблица13[[#This Row],[Полная марка кабеля]]</f>
        <v>0,7-ВВГнг(A)-LS-3x1,5</v>
      </c>
    </row>
    <row r="289" spans="1:6" x14ac:dyDescent="0.25">
      <c r="A289" s="1" t="s">
        <v>57</v>
      </c>
      <c r="B289" s="9"/>
      <c r="C289" s="1"/>
      <c r="D289" s="1" t="s">
        <v>242</v>
      </c>
      <c r="E28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ШС-1-2/M03-2,0-10,1-10</v>
      </c>
      <c r="F289" s="1" t="str">
        <f>TEXT(Таблица13[[#This Row],[Потери]],"0,0") &amp; "-" &amp;Таблица13[[#This Row],[Полная марка кабеля]]</f>
        <v>0,7-ВВГнг(A)-LS-3x2,5</v>
      </c>
    </row>
    <row r="290" spans="1:6" x14ac:dyDescent="0.25">
      <c r="A290" s="1" t="s">
        <v>57</v>
      </c>
      <c r="B290" s="9"/>
      <c r="C290" s="1"/>
      <c r="D290" s="1" t="s">
        <v>243</v>
      </c>
      <c r="E29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ШС-1-2/M04-1,0-5,1-10</v>
      </c>
      <c r="F290" s="1" t="str">
        <f>TEXT(Таблица13[[#This Row],[Потери]],"0,0") &amp; "-" &amp;Таблица13[[#This Row],[Полная марка кабеля]]</f>
        <v>0,4-ВВГнг(A)-LS-3x2,5</v>
      </c>
    </row>
    <row r="291" spans="1:6" x14ac:dyDescent="0.25">
      <c r="A291" s="1" t="s">
        <v>57</v>
      </c>
      <c r="B291" s="9"/>
      <c r="C291" s="1"/>
      <c r="D291" s="1" t="s">
        <v>73</v>
      </c>
      <c r="E29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ШС-1-2/M05-0,8-3,6-90</v>
      </c>
      <c r="F291" s="1" t="str">
        <f>TEXT(Таблица13[[#This Row],[Потери]],"0,0") &amp; "-" &amp;Таблица13[[#This Row],[Полная марка кабеля]]</f>
        <v>4,2-ВВГнг(A)-LS-3x1,5</v>
      </c>
    </row>
    <row r="292" spans="1:6" x14ac:dyDescent="0.25">
      <c r="A292" s="1" t="s">
        <v>245</v>
      </c>
      <c r="B292" s="9" t="s">
        <v>246</v>
      </c>
      <c r="C292" s="1" t="s">
        <v>514</v>
      </c>
      <c r="D292" s="1" t="s">
        <v>263</v>
      </c>
      <c r="E29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ТЦ/M01-30,5-38,5-100</v>
      </c>
      <c r="F292" s="1" t="str">
        <f>TEXT(Таблица13[[#This Row],[Потери]],"0,0") &amp; "-" &amp;Таблица13[[#This Row],[Полная марка кабеля]]</f>
        <v>0,4-КГ-3x95+1x35</v>
      </c>
    </row>
    <row r="293" spans="1:6" x14ac:dyDescent="0.25">
      <c r="A293" s="1" t="s">
        <v>245</v>
      </c>
      <c r="B293" s="9" t="s">
        <v>247</v>
      </c>
      <c r="C293" s="1" t="s">
        <v>511</v>
      </c>
      <c r="D293" s="1" t="s">
        <v>263</v>
      </c>
      <c r="E29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ТЦ/M02-50,0-94,7-90</v>
      </c>
      <c r="F293" s="1" t="str">
        <f>TEXT(Таблица13[[#This Row],[Потери]],"0,0") &amp; "-" &amp;Таблица13[[#This Row],[Полная марка кабеля]]</f>
        <v>1,6-КГ-3x50+1x16</v>
      </c>
    </row>
    <row r="294" spans="1:6" x14ac:dyDescent="0.25">
      <c r="A294" s="1" t="s">
        <v>245</v>
      </c>
      <c r="B294" s="9" t="s">
        <v>248</v>
      </c>
      <c r="C294" s="1" t="s">
        <v>514</v>
      </c>
      <c r="D294" s="1" t="s">
        <v>263</v>
      </c>
      <c r="E29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ТЦ/M03-30,0-56,8-80</v>
      </c>
      <c r="F294" s="1" t="str">
        <f>TEXT(Таблица13[[#This Row],[Потери]],"0,0") &amp; "-" &amp;Таблица13[[#This Row],[Полная марка кабеля]]</f>
        <v>2,4-КГ-4x16</v>
      </c>
    </row>
    <row r="295" spans="1:6" x14ac:dyDescent="0.25">
      <c r="A295" s="1" t="s">
        <v>245</v>
      </c>
      <c r="B295" s="9" t="s">
        <v>249</v>
      </c>
      <c r="C295" s="1" t="s">
        <v>514</v>
      </c>
      <c r="D295" s="1" t="s">
        <v>263</v>
      </c>
      <c r="E29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 ТЦ/M04-19,7-31,1-90</v>
      </c>
      <c r="F295" s="1" t="str">
        <f>TEXT(Таблица13[[#This Row],[Потери]],"0,0") &amp; "-" &amp;Таблица13[[#This Row],[Полная марка кабеля]]</f>
        <v>1,7-КГ-4x16</v>
      </c>
    </row>
    <row r="296" spans="1:6" x14ac:dyDescent="0.25">
      <c r="A296" s="1" t="s">
        <v>58</v>
      </c>
      <c r="B296" s="9"/>
      <c r="C296" s="1"/>
      <c r="D296" s="1"/>
      <c r="E296" s="25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296" s="25" t="e">
        <f>TEXT(Таблица13[[#This Row],[Потери]],"0,0") &amp; "-" &amp;Таблица13[[#This Row],[Полная марка кабеля]]</f>
        <v>#DIV/0!</v>
      </c>
    </row>
    <row r="297" spans="1:6" x14ac:dyDescent="0.25">
      <c r="A297" s="1" t="s">
        <v>58</v>
      </c>
      <c r="B297" s="9" t="s">
        <v>254</v>
      </c>
      <c r="C297" s="1" t="s">
        <v>512</v>
      </c>
      <c r="D297" s="1" t="s">
        <v>263</v>
      </c>
      <c r="E29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ШВ-1/M01-50,0-94,7-90</v>
      </c>
      <c r="F297" s="1" t="str">
        <f>TEXT(Таблица13[[#This Row],[Потери]],"0,0") &amp; "-" &amp;Таблица13[[#This Row],[Полная марка кабеля]]</f>
        <v>3,0-КГ-4x25</v>
      </c>
    </row>
    <row r="298" spans="1:6" x14ac:dyDescent="0.25">
      <c r="A298" s="1" t="s">
        <v>58</v>
      </c>
      <c r="B298" s="9" t="s">
        <v>245</v>
      </c>
      <c r="C298" s="1" t="s">
        <v>513</v>
      </c>
      <c r="D298" s="1" t="s">
        <v>265</v>
      </c>
      <c r="E29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ШВ-1/M02-130,2-175,4-5</v>
      </c>
      <c r="F298" s="1" t="str">
        <f>TEXT(Таблица13[[#This Row],[Потери]],"0,0") &amp; "-" &amp;Таблица13[[#This Row],[Полная марка кабеля]]</f>
        <v>0,1-КГ-3x95+1x35</v>
      </c>
    </row>
    <row r="299" spans="1:6" x14ac:dyDescent="0.25">
      <c r="A299" s="1" t="s">
        <v>58</v>
      </c>
      <c r="B299" s="9" t="s">
        <v>57</v>
      </c>
      <c r="C299" s="1" t="s">
        <v>511</v>
      </c>
      <c r="D299" s="1" t="s">
        <v>263</v>
      </c>
      <c r="E29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ШВ-1/M05-6,1-10,2-10</v>
      </c>
      <c r="F299" s="1" t="str">
        <f>TEXT(Таблица13[[#This Row],[Потери]],"0,0") &amp; "-" &amp;Таблица13[[#This Row],[Полная марка кабеля]]</f>
        <v>0,2-ПВС-5x4</v>
      </c>
    </row>
    <row r="300" spans="1:6" x14ac:dyDescent="0.25">
      <c r="A300" s="1" t="s">
        <v>58</v>
      </c>
      <c r="B300" s="9" t="s">
        <v>257</v>
      </c>
      <c r="C300" s="1" t="s">
        <v>511</v>
      </c>
      <c r="D300" s="1" t="s">
        <v>263</v>
      </c>
      <c r="E30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ШВ-1/M04-5,0-8,4-60</v>
      </c>
      <c r="F300" s="1" t="str">
        <f>TEXT(Таблица13[[#This Row],[Потери]],"0,0") &amp; "-" &amp;Таблица13[[#This Row],[Полная марка кабеля]]</f>
        <v>1,9-ПВС-5x2,5</v>
      </c>
    </row>
    <row r="301" spans="1:6" x14ac:dyDescent="0.25">
      <c r="A301" s="1" t="s">
        <v>58</v>
      </c>
      <c r="B301" s="9" t="s">
        <v>56</v>
      </c>
      <c r="C301" s="1" t="s">
        <v>513</v>
      </c>
      <c r="D301" s="1" t="s">
        <v>265</v>
      </c>
      <c r="E30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ШВ-1/M03-50,5-67,7-5</v>
      </c>
      <c r="F301" s="1" t="str">
        <f>TEXT(Таблица13[[#This Row],[Потери]],"0,0") &amp; "-" &amp;Таблица13[[#This Row],[Полная марка кабеля]]</f>
        <v>0,0-КГ-3x95+1x35</v>
      </c>
    </row>
    <row r="302" spans="1:6" x14ac:dyDescent="0.25">
      <c r="A302" s="1" t="s">
        <v>10</v>
      </c>
      <c r="B302" s="9" t="s">
        <v>58</v>
      </c>
      <c r="C302" s="1" t="s">
        <v>513</v>
      </c>
      <c r="D302" s="1" t="s">
        <v>265</v>
      </c>
      <c r="E30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ТП-445/M01-241,8-348,0-100</v>
      </c>
      <c r="F302" s="1" t="str">
        <f>TEXT(Таблица13[[#This Row],[Потери]],"0,0") &amp; "-" &amp;Таблица13[[#This Row],[Полная марка кабеля]]</f>
        <v>1,9-АВБШв-4x240</v>
      </c>
    </row>
    <row r="303" spans="1:6" x14ac:dyDescent="0.25">
      <c r="A303" s="1" t="s">
        <v>10</v>
      </c>
      <c r="B303" s="9" t="s">
        <v>54</v>
      </c>
      <c r="C303" s="1" t="s">
        <v>513</v>
      </c>
      <c r="D303" s="1" t="s">
        <v>265</v>
      </c>
      <c r="E30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ТП-445/M02-506,2-399,6-100</v>
      </c>
      <c r="F303" s="1" t="str">
        <f>TEXT(Таблица13[[#This Row],[Потери]],"0,0") &amp; "-" &amp;Таблица13[[#This Row],[Полная марка кабеля]]</f>
        <v>2,2-АВБШв-4x240</v>
      </c>
    </row>
    <row r="304" spans="1:6" x14ac:dyDescent="0.25">
      <c r="A304" s="1" t="s">
        <v>8</v>
      </c>
      <c r="B304" s="9" t="s">
        <v>41</v>
      </c>
      <c r="C304" s="1" t="s">
        <v>515</v>
      </c>
      <c r="D304" s="1" t="s">
        <v>264</v>
      </c>
      <c r="E30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ТП-2884/M01-596,1-492,6-30</v>
      </c>
      <c r="F304" s="1" t="str">
        <f>TEXT(Таблица13[[#This Row],[Потери]],"0,0") &amp; "-" &amp;Таблица13[[#This Row],[Полная марка кабеля]]</f>
        <v>0,6-АВБШв-4x370</v>
      </c>
    </row>
    <row r="305" spans="1:6" x14ac:dyDescent="0.25">
      <c r="A305" s="1" t="s">
        <v>8</v>
      </c>
      <c r="B305" s="9" t="s">
        <v>33</v>
      </c>
      <c r="C305" s="1" t="s">
        <v>515</v>
      </c>
      <c r="D305" s="1" t="s">
        <v>264</v>
      </c>
      <c r="E30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ТП-2884/M02-857,9-500,1-30</v>
      </c>
      <c r="F305" s="1" t="str">
        <f>TEXT(Таблица13[[#This Row],[Потери]],"0,0") &amp; "-" &amp;Таблица13[[#This Row],[Полная марка кабеля]]</f>
        <v>0,6-АВБШв-4x370</v>
      </c>
    </row>
    <row r="306" spans="1:6" x14ac:dyDescent="0.25">
      <c r="A306" s="1" t="s">
        <v>8</v>
      </c>
      <c r="B306" s="9" t="s">
        <v>26</v>
      </c>
      <c r="C306" s="1" t="s">
        <v>515</v>
      </c>
      <c r="D306" s="1" t="s">
        <v>264</v>
      </c>
      <c r="E30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ТП-2884/M03-479,3-500,8-30</v>
      </c>
      <c r="F306" s="1" t="str">
        <f>TEXT(Таблица13[[#This Row],[Потери]],"0,0") &amp; "-" &amp;Таблица13[[#This Row],[Полная марка кабеля]]</f>
        <v>0,6-АВБШв-4x370</v>
      </c>
    </row>
    <row r="307" spans="1:6" x14ac:dyDescent="0.25">
      <c r="A307" s="1" t="s">
        <v>75</v>
      </c>
      <c r="B307" s="9" t="s">
        <v>10</v>
      </c>
      <c r="C307" s="1"/>
      <c r="D307" s="1"/>
      <c r="E30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Электроснабжение/M01-747,2-872,3-0</v>
      </c>
      <c r="F307" s="1" t="e">
        <f>TEXT(Таблица13[[#This Row],[Потери]],"0,0") &amp; "-" &amp;Таблица13[[#This Row],[Полная марка кабеля]]</f>
        <v>#DIV/0!</v>
      </c>
    </row>
    <row r="308" spans="1:6" x14ac:dyDescent="0.25">
      <c r="A308" s="1" t="s">
        <v>75</v>
      </c>
      <c r="B308" s="9" t="s">
        <v>8</v>
      </c>
      <c r="C308" s="1"/>
      <c r="D308" s="1"/>
      <c r="E30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Электроснабжение/M02-1925,3-1584,8-0</v>
      </c>
      <c r="F308" s="1" t="e">
        <f>TEXT(Таблица13[[#This Row],[Потери]],"0,0") &amp; "-" &amp;Таблица13[[#This Row],[Полная марка кабеля]]</f>
        <v>#DIV/0!</v>
      </c>
    </row>
    <row r="309" spans="1:6" x14ac:dyDescent="0.25">
      <c r="A309" s="1" t="s">
        <v>75</v>
      </c>
      <c r="B309" s="11" t="s">
        <v>19</v>
      </c>
      <c r="C309" s="5"/>
      <c r="D309" s="5" t="s">
        <v>264</v>
      </c>
      <c r="E30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Электроснабжение/M03-1152,8-955,1-0</v>
      </c>
      <c r="F309" s="1" t="e">
        <f>TEXT(Таблица13[[#This Row],[Потери]],"0,0") &amp; "-" &amp;Таблица13[[#This Row],[Полная марка кабеля]]</f>
        <v>#DIV/0!</v>
      </c>
    </row>
    <row r="310" spans="1:6" x14ac:dyDescent="0.25">
      <c r="A310" s="1" t="s">
        <v>41</v>
      </c>
      <c r="B310" s="10" t="s">
        <v>260</v>
      </c>
      <c r="C310" s="1"/>
      <c r="D310" s="1" t="s">
        <v>261</v>
      </c>
      <c r="E310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310" s="1" t="e">
        <f>TEXT(Таблица13[[#This Row],[Потери]],"0,0") &amp; "-" &amp;Таблица13[[#This Row],[Полная марка кабеля]]</f>
        <v>#DIV/0!</v>
      </c>
    </row>
    <row r="311" spans="1:6" x14ac:dyDescent="0.25">
      <c r="A311" s="1" t="s">
        <v>49</v>
      </c>
      <c r="B311" s="9"/>
      <c r="C311" s="1"/>
      <c r="D311" s="1" t="s">
        <v>73</v>
      </c>
      <c r="E31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ШР-2/M06-0,8-4,0-100</v>
      </c>
      <c r="F311" s="1" t="str">
        <f>TEXT(Таблица13[[#This Row],[Потери]],"0,0") &amp; "-" &amp;Таблица13[[#This Row],[Полная марка кабеля]]</f>
        <v>5,2-ВВГнг(A)-LS-3x1,5</v>
      </c>
    </row>
    <row r="312" spans="1:6" x14ac:dyDescent="0.25">
      <c r="A312" s="1" t="s">
        <v>55</v>
      </c>
      <c r="B312" s="9"/>
      <c r="C312" s="1"/>
      <c r="D312" s="1" t="s">
        <v>73</v>
      </c>
      <c r="E31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ШС-3-2/M08-0,4-2,0-100</v>
      </c>
      <c r="F312" s="1" t="str">
        <f>TEXT(Таблица13[[#This Row],[Потери]],"0,0") &amp; "-" &amp;Таблица13[[#This Row],[Полная марка кабеля]]</f>
        <v>2,7-ВВГнг(A)-LS-3x1,5</v>
      </c>
    </row>
    <row r="313" spans="1:6" x14ac:dyDescent="0.25">
      <c r="A313" s="1" t="s">
        <v>55</v>
      </c>
      <c r="B313" s="9"/>
      <c r="C313" s="1"/>
      <c r="D313" s="1" t="s">
        <v>73</v>
      </c>
      <c r="E31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ШС-3-2/M09-0,4-1,9-50</v>
      </c>
      <c r="F313" s="1" t="str">
        <f>TEXT(Таблица13[[#This Row],[Потери]],"0,0") &amp; "-" &amp;Таблица13[[#This Row],[Полная марка кабеля]]</f>
        <v>1,2-ВВГнг(A)-LS-3x1,5</v>
      </c>
    </row>
    <row r="314" spans="1:6" x14ac:dyDescent="0.25">
      <c r="A314" s="1" t="s">
        <v>55</v>
      </c>
      <c r="B314" s="9"/>
      <c r="C314" s="1"/>
      <c r="D314" s="1" t="s">
        <v>73</v>
      </c>
      <c r="E31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ШС-3-2/M10-0,6-2,8-50</v>
      </c>
      <c r="F314" s="1" t="str">
        <f>TEXT(Таблица13[[#This Row],[Потери]],"0,0") &amp; "-" &amp;Таблица13[[#This Row],[Полная марка кабеля]]</f>
        <v>1,8-ВВГнг(A)-LS-3x1,5</v>
      </c>
    </row>
    <row r="315" spans="1:6" x14ac:dyDescent="0.25">
      <c r="A315" s="1" t="s">
        <v>55</v>
      </c>
      <c r="B315" s="12"/>
      <c r="C315" s="1"/>
      <c r="D315" s="1" t="s">
        <v>73</v>
      </c>
      <c r="E31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ШС-3-2/M11-0,4-2,0-80</v>
      </c>
      <c r="F315" s="1" t="str">
        <f>TEXT(Таблица13[[#This Row],[Потери]],"0,0") &amp; "-" &amp;Таблица13[[#This Row],[Полная марка кабеля]]</f>
        <v>2,1-ВВГнг(A)-LS-3x1,5</v>
      </c>
    </row>
    <row r="316" spans="1:6" x14ac:dyDescent="0.25">
      <c r="A316" s="9" t="s">
        <v>270</v>
      </c>
      <c r="B316" s="9"/>
      <c r="C316" s="1"/>
      <c r="D316" s="1" t="s">
        <v>72</v>
      </c>
      <c r="E31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/M01-2,0-9,5-20</v>
      </c>
      <c r="F316" s="1" t="str">
        <f>TEXT(Таблица13[[#This Row],[Потери]],"0,0") &amp; "-" &amp;Таблица13[[#This Row],[Полная марка кабеля]]</f>
        <v>1,5-ВВГнг(A)-LS-3x2,5</v>
      </c>
    </row>
    <row r="317" spans="1:6" x14ac:dyDescent="0.25">
      <c r="A317" s="9" t="s">
        <v>270</v>
      </c>
      <c r="B317" s="9"/>
      <c r="C317" s="1"/>
      <c r="D317" s="1" t="s">
        <v>73</v>
      </c>
      <c r="E31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/M02-2,0-9,5-40</v>
      </c>
      <c r="F317" s="1" t="str">
        <f>TEXT(Таблица13[[#This Row],[Потери]],"0,0") &amp; "-" &amp;Таблица13[[#This Row],[Полная марка кабеля]]</f>
        <v>3,0-ВВГнг(A)-LS-3x2,5</v>
      </c>
    </row>
    <row r="318" spans="1:6" x14ac:dyDescent="0.25">
      <c r="A318" s="9" t="s">
        <v>270</v>
      </c>
      <c r="B318" s="9"/>
      <c r="C318" s="1"/>
      <c r="D318" s="1" t="s">
        <v>72</v>
      </c>
      <c r="E31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/M03-2,0-9,5-10</v>
      </c>
      <c r="F318" s="1" t="str">
        <f>TEXT(Таблица13[[#This Row],[Потери]],"0,0") &amp; "-" &amp;Таблица13[[#This Row],[Полная марка кабеля]]</f>
        <v>0,7-ВВГнг(A)-LS-3x2,5</v>
      </c>
    </row>
    <row r="319" spans="1:6" x14ac:dyDescent="0.25">
      <c r="A319" s="9" t="s">
        <v>270</v>
      </c>
      <c r="B319" s="9"/>
      <c r="C319" s="1"/>
      <c r="D319" s="1" t="s">
        <v>72</v>
      </c>
      <c r="E31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/M04-0,5-2,4-30</v>
      </c>
      <c r="F319" s="1" t="str">
        <f>TEXT(Таблица13[[#This Row],[Потери]],"0,0") &amp; "-" &amp;Таблица13[[#This Row],[Полная марка кабеля]]</f>
        <v>0,6-ВВГнг(A)-LS-3x2,5</v>
      </c>
    </row>
    <row r="320" spans="1:6" x14ac:dyDescent="0.25">
      <c r="A320" s="9" t="s">
        <v>270</v>
      </c>
      <c r="B320" s="9"/>
      <c r="C320" s="1"/>
      <c r="D320" s="1" t="s">
        <v>73</v>
      </c>
      <c r="E32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/M05-0,5-2,4-30</v>
      </c>
      <c r="F320" s="1" t="str">
        <f>TEXT(Таблица13[[#This Row],[Потери]],"0,0") &amp; "-" &amp;Таблица13[[#This Row],[Полная марка кабеля]]</f>
        <v>0,6-ВВГнг(A)-LS-3x2,5</v>
      </c>
    </row>
    <row r="321" spans="1:6" x14ac:dyDescent="0.25">
      <c r="A321" s="9" t="s">
        <v>270</v>
      </c>
      <c r="B321" s="9"/>
      <c r="C321" s="1"/>
      <c r="D321" s="1" t="s">
        <v>72</v>
      </c>
      <c r="E32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/M06-0,5-2,4-30</v>
      </c>
      <c r="F321" s="1" t="str">
        <f>TEXT(Таблица13[[#This Row],[Потери]],"0,0") &amp; "-" &amp;Таблица13[[#This Row],[Полная марка кабеля]]</f>
        <v>0,6-ВВГнг(A)-LS-3x2,5</v>
      </c>
    </row>
    <row r="322" spans="1:6" x14ac:dyDescent="0.25">
      <c r="A322" s="9" t="s">
        <v>270</v>
      </c>
      <c r="B322" s="9"/>
      <c r="C322" s="1"/>
      <c r="D322" s="1" t="s">
        <v>73</v>
      </c>
      <c r="E32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/M07-0,5-2,4-30</v>
      </c>
      <c r="F322" s="1" t="str">
        <f>TEXT(Таблица13[[#This Row],[Потери]],"0,0") &amp; "-" &amp;Таблица13[[#This Row],[Полная марка кабеля]]</f>
        <v>0,9-ВВГнг(A)-LS-3x1,5</v>
      </c>
    </row>
    <row r="323" spans="1:6" x14ac:dyDescent="0.25">
      <c r="A323" s="9" t="s">
        <v>270</v>
      </c>
      <c r="B323" s="9"/>
      <c r="C323" s="1"/>
      <c r="D323" s="1" t="s">
        <v>475</v>
      </c>
      <c r="E32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/M08-0,5-2,4-30</v>
      </c>
      <c r="F323" s="1" t="str">
        <f>TEXT(Таблица13[[#This Row],[Потери]],"0,0") &amp; "-" &amp;Таблица13[[#This Row],[Полная марка кабеля]]</f>
        <v>0,9-ВВГнг(A)-LS-3x1,5</v>
      </c>
    </row>
    <row r="324" spans="1:6" x14ac:dyDescent="0.25">
      <c r="A324" s="9" t="s">
        <v>246</v>
      </c>
      <c r="B324" s="9"/>
      <c r="C324" s="1"/>
      <c r="D324" s="1"/>
      <c r="E32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/M01-1,0-4,7-70</v>
      </c>
      <c r="F324" s="1" t="str">
        <f>TEXT(Таблица13[[#This Row],[Потери]],"0,0") &amp; "-" &amp;Таблица13[[#This Row],[Полная марка кабеля]]</f>
        <v>2,6-ВВГнг(A)-LS-3x2,5</v>
      </c>
    </row>
    <row r="325" spans="1:6" x14ac:dyDescent="0.25">
      <c r="A325" s="9" t="s">
        <v>246</v>
      </c>
      <c r="B325" s="9"/>
      <c r="C325" s="1"/>
      <c r="D325" s="1"/>
      <c r="E325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325" s="1" t="e">
        <f>TEXT(Таблица13[[#This Row],[Потери]],"0,0") &amp; "-" &amp;Таблица13[[#This Row],[Полная марка кабеля]]</f>
        <v>#DIV/0!</v>
      </c>
    </row>
    <row r="326" spans="1:6" x14ac:dyDescent="0.25">
      <c r="A326" s="9" t="s">
        <v>246</v>
      </c>
      <c r="B326" s="9"/>
      <c r="C326" s="1"/>
      <c r="D326" s="1"/>
      <c r="E326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326" s="1" t="e">
        <f>TEXT(Таблица13[[#This Row],[Потери]],"0,0") &amp; "-" &amp;Таблица13[[#This Row],[Полная марка кабеля]]</f>
        <v>#DIV/0!</v>
      </c>
    </row>
    <row r="327" spans="1:6" x14ac:dyDescent="0.25">
      <c r="A327" s="9" t="s">
        <v>246</v>
      </c>
      <c r="B327" s="9"/>
      <c r="C327" s="1"/>
      <c r="D327" s="1"/>
      <c r="E32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/M04-0,5-2,4-50</v>
      </c>
      <c r="F327" s="1" t="str">
        <f>TEXT(Таблица13[[#This Row],[Потери]],"0,0") &amp; "-" &amp;Таблица13[[#This Row],[Полная марка кабеля]]</f>
        <v>0,9-ВВГнг(A)-LS-3x2,5</v>
      </c>
    </row>
    <row r="328" spans="1:6" x14ac:dyDescent="0.25">
      <c r="A328" s="9" t="s">
        <v>246</v>
      </c>
      <c r="B328" s="9"/>
      <c r="C328" s="1"/>
      <c r="D328" s="1"/>
      <c r="E32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/M05-4,0-18,9-30</v>
      </c>
      <c r="F328" s="1" t="str">
        <f>TEXT(Таблица13[[#This Row],[Потери]],"0,0") &amp; "-" &amp;Таблица13[[#This Row],[Полная марка кабеля]]</f>
        <v>2,8-ВВГнг(A)-LS-3x4</v>
      </c>
    </row>
    <row r="329" spans="1:6" x14ac:dyDescent="0.25">
      <c r="A329" s="9" t="s">
        <v>246</v>
      </c>
      <c r="B329" s="9"/>
      <c r="C329" s="1"/>
      <c r="D329" s="1"/>
      <c r="E329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329" s="1" t="e">
        <f>TEXT(Таблица13[[#This Row],[Потери]],"0,0") &amp; "-" &amp;Таблица13[[#This Row],[Полная марка кабеля]]</f>
        <v>#DIV/0!</v>
      </c>
    </row>
    <row r="330" spans="1:6" x14ac:dyDescent="0.25">
      <c r="A330" s="9" t="s">
        <v>246</v>
      </c>
      <c r="B330" s="9"/>
      <c r="C330" s="1"/>
      <c r="D330" s="1"/>
      <c r="E330" s="1" t="e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#DIV/0!</v>
      </c>
      <c r="F330" s="1" t="e">
        <f>TEXT(Таблица13[[#This Row],[Потери]],"0,0") &amp; "-" &amp;Таблица13[[#This Row],[Полная марка кабеля]]</f>
        <v>#DIV/0!</v>
      </c>
    </row>
    <row r="331" spans="1:6" x14ac:dyDescent="0.25">
      <c r="A331" s="9" t="s">
        <v>246</v>
      </c>
      <c r="B331" s="9"/>
      <c r="C331" s="1"/>
      <c r="D331" s="1"/>
      <c r="E33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/M08-5,0-23,7-20</v>
      </c>
      <c r="F331" s="1" t="str">
        <f>TEXT(Таблица13[[#This Row],[Потери]],"0,0") &amp; "-" &amp;Таблица13[[#This Row],[Полная марка кабеля]]</f>
        <v>1,6-ВВГнг(A)-LS-3x6</v>
      </c>
    </row>
    <row r="332" spans="1:6" x14ac:dyDescent="0.25">
      <c r="A332" s="9" t="s">
        <v>246</v>
      </c>
      <c r="B332" s="9"/>
      <c r="C332" s="1"/>
      <c r="D332" s="1"/>
      <c r="E332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/M09-5,0-23,7-30</v>
      </c>
      <c r="F332" s="1" t="str">
        <f>TEXT(Таблица13[[#This Row],[Потери]],"0,0") &amp; "-" &amp;Таблица13[[#This Row],[Полная марка кабеля]]</f>
        <v>2,3-ВВГнг(A)-LS-3x6</v>
      </c>
    </row>
    <row r="333" spans="1:6" x14ac:dyDescent="0.25">
      <c r="A333" s="9" t="s">
        <v>246</v>
      </c>
      <c r="B333" s="9"/>
      <c r="C333" s="1"/>
      <c r="D333" s="1"/>
      <c r="E333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/M10-5,0-23,7-40</v>
      </c>
      <c r="F333" s="1" t="str">
        <f>TEXT(Таблица13[[#This Row],[Потери]],"0,0") &amp; "-" &amp;Таблица13[[#This Row],[Полная марка кабеля]]</f>
        <v>3,1-ВВГнг(A)-LS-3x6</v>
      </c>
    </row>
    <row r="334" spans="1:6" x14ac:dyDescent="0.25">
      <c r="A334" s="9" t="s">
        <v>246</v>
      </c>
      <c r="B334" s="9"/>
      <c r="C334" s="1"/>
      <c r="D334" s="1"/>
      <c r="E334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/M11-5,0-23,7-30</v>
      </c>
      <c r="F334" s="1" t="str">
        <f>TEXT(Таблица13[[#This Row],[Потери]],"0,0") &amp; "-" &amp;Таблица13[[#This Row],[Полная марка кабеля]]</f>
        <v>1,4-ВВГнг(A)-LS-3x10</v>
      </c>
    </row>
    <row r="335" spans="1:6" x14ac:dyDescent="0.25">
      <c r="A335" s="9" t="s">
        <v>246</v>
      </c>
      <c r="B335" s="9"/>
      <c r="C335" s="1"/>
      <c r="D335" s="1"/>
      <c r="E335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/M12-5,0-23,7-10</v>
      </c>
      <c r="F335" s="1" t="str">
        <f>TEXT(Таблица13[[#This Row],[Потери]],"0,0") &amp; "-" &amp;Таблица13[[#This Row],[Полная марка кабеля]]</f>
        <v>0,8-ВВГнг(A)-LS-3x6</v>
      </c>
    </row>
    <row r="336" spans="1:6" x14ac:dyDescent="0.25">
      <c r="A336" s="1" t="s">
        <v>249</v>
      </c>
      <c r="B336" s="9"/>
      <c r="C336" s="1"/>
      <c r="D336" s="1"/>
      <c r="E336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/M01-5,0-23,7-25</v>
      </c>
      <c r="F336" s="1" t="str">
        <f>TEXT(Таблица13[[#This Row],[Потери]],"0,0") &amp; "-" &amp;Таблица13[[#This Row],[Полная марка кабеля]]</f>
        <v>2,9-ВВГнг(A)-LS-3x4</v>
      </c>
    </row>
    <row r="337" spans="1:6" x14ac:dyDescent="0.25">
      <c r="A337" s="1" t="s">
        <v>249</v>
      </c>
      <c r="B337" s="9"/>
      <c r="C337" s="1"/>
      <c r="D337" s="1"/>
      <c r="E337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/M02-5,0-23,7-20</v>
      </c>
      <c r="F337" s="1" t="str">
        <f>TEXT(Таблица13[[#This Row],[Потери]],"0,0") &amp; "-" &amp;Таблица13[[#This Row],[Полная марка кабеля]]</f>
        <v>2,3-ВВГнг(A)-LS-3x4</v>
      </c>
    </row>
    <row r="338" spans="1:6" x14ac:dyDescent="0.25">
      <c r="A338" s="1" t="s">
        <v>249</v>
      </c>
      <c r="B338" s="9"/>
      <c r="C338" s="1"/>
      <c r="D338" s="1"/>
      <c r="E338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/M03-5,0-23,7-15</v>
      </c>
      <c r="F338" s="1" t="str">
        <f>TEXT(Таблица13[[#This Row],[Потери]],"0,0") &amp; "-" &amp;Таблица13[[#This Row],[Полная марка кабеля]]</f>
        <v>1,8-ВВГнг(A)-LS-3x4</v>
      </c>
    </row>
    <row r="339" spans="1:6" x14ac:dyDescent="0.25">
      <c r="A339" s="1" t="s">
        <v>249</v>
      </c>
      <c r="B339" s="9"/>
      <c r="C339" s="1"/>
      <c r="D339" s="1" t="s">
        <v>72</v>
      </c>
      <c r="E339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/M04-2,0-10,1-10</v>
      </c>
      <c r="F339" s="1" t="str">
        <f>TEXT(Таблица13[[#This Row],[Потери]],"0,0") &amp; "-" &amp;Таблица13[[#This Row],[Полная марка кабеля]]</f>
        <v>0,7-ВВГнг(A)-LS-3x2,5</v>
      </c>
    </row>
    <row r="340" spans="1:6" x14ac:dyDescent="0.25">
      <c r="A340" s="1" t="s">
        <v>249</v>
      </c>
      <c r="B340" s="9"/>
      <c r="C340" s="1"/>
      <c r="D340" s="1" t="s">
        <v>73</v>
      </c>
      <c r="E340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/M06-0,7-3,3-100</v>
      </c>
      <c r="F340" s="1" t="str">
        <f>TEXT(Таблица13[[#This Row],[Потери]],"0,0") &amp; "-" &amp;Таблица13[[#This Row],[Полная марка кабеля]]</f>
        <v>4,3-ВВГнг(A)-LS-3x1,5</v>
      </c>
    </row>
    <row r="341" spans="1:6" x14ac:dyDescent="0.25">
      <c r="A341" s="1" t="s">
        <v>249</v>
      </c>
      <c r="B341" s="9"/>
      <c r="C341" s="1"/>
      <c r="D341" s="1"/>
      <c r="E341" s="1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/M05-2,0-9,5-60</v>
      </c>
      <c r="F341" s="1" t="str">
        <f>TEXT(Таблица13[[#This Row],[Потери]],"0,0") &amp; "-" &amp;Таблица13[[#This Row],[Полная марка кабеля]]</f>
        <v>2,8-ВВГнг(A)-LS-3x4</v>
      </c>
    </row>
    <row r="342" spans="1:6" x14ac:dyDescent="0.25">
      <c r="A342" s="1" t="s">
        <v>516</v>
      </c>
      <c r="B342" s="9" t="s">
        <v>504</v>
      </c>
      <c r="C342" s="1" t="s">
        <v>511</v>
      </c>
      <c r="D342" s="1" t="s">
        <v>263</v>
      </c>
      <c r="E342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ДГУ-1/M01-150,0-236,7-50</v>
      </c>
      <c r="F342" s="25" t="str">
        <f>TEXT(Таблица13[[#This Row],[Потери]],"0,0") &amp; "-" &amp;Таблица13[[#This Row],[Полная марка кабеля]]</f>
        <v>1,3-АВБШв-4x95</v>
      </c>
    </row>
    <row r="343" spans="1:6" x14ac:dyDescent="0.25">
      <c r="A343" s="1" t="s">
        <v>517</v>
      </c>
      <c r="B343" s="9" t="s">
        <v>504</v>
      </c>
      <c r="C343" s="1" t="s">
        <v>511</v>
      </c>
      <c r="D343" s="1" t="s">
        <v>263</v>
      </c>
      <c r="E343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ДГУ-2/M01-150,0-236,7-50</v>
      </c>
      <c r="F343" s="25" t="str">
        <f>TEXT(Таблица13[[#This Row],[Потери]],"0,0") &amp; "-" &amp;Таблица13[[#This Row],[Полная марка кабеля]]</f>
        <v>1,3-АВБШв-4x95</v>
      </c>
    </row>
    <row r="344" spans="1:6" x14ac:dyDescent="0.25">
      <c r="A344" s="1" t="s">
        <v>504</v>
      </c>
      <c r="B344" s="9" t="s">
        <v>58</v>
      </c>
      <c r="C344" s="1" t="s">
        <v>513</v>
      </c>
      <c r="D344" s="1" t="s">
        <v>265</v>
      </c>
      <c r="E344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ШВГ/M01-100,0-157,8-5</v>
      </c>
      <c r="F344" s="25" t="str">
        <f>TEXT(Таблица13[[#This Row],[Потери]],"0,0") &amp; "-" &amp;Таблица13[[#This Row],[Полная марка кабеля]]</f>
        <v>0,1-КГ-3x95+1x35</v>
      </c>
    </row>
    <row r="345" spans="1:6" x14ac:dyDescent="0.25">
      <c r="A345" s="1" t="s">
        <v>504</v>
      </c>
      <c r="B345" s="9" t="s">
        <v>56</v>
      </c>
      <c r="C345" s="1" t="s">
        <v>513</v>
      </c>
      <c r="D345" s="1" t="s">
        <v>265</v>
      </c>
      <c r="E345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ШВГ/M02-50,0-78,9-5</v>
      </c>
      <c r="F345" s="25" t="str">
        <f>TEXT(Таблица13[[#This Row],[Потери]],"0,0") &amp; "-" &amp;Таблица13[[#This Row],[Полная марка кабеля]]</f>
        <v>0,0-КГ-3x95+1x35</v>
      </c>
    </row>
    <row r="346" spans="1:6" x14ac:dyDescent="0.25">
      <c r="A346" s="1" t="s">
        <v>504</v>
      </c>
      <c r="B346" s="9" t="s">
        <v>54</v>
      </c>
      <c r="C346" s="1" t="s">
        <v>513</v>
      </c>
      <c r="D346" s="1" t="s">
        <v>265</v>
      </c>
      <c r="E346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ШВГ/M03-150,0-236,7-5</v>
      </c>
      <c r="F346" s="25" t="str">
        <f>TEXT(Таблица13[[#This Row],[Потери]],"0,0") &amp; "-" &amp;Таблица13[[#This Row],[Полная марка кабеля]]</f>
        <v>0,1-КГ-3x95+1x35</v>
      </c>
    </row>
    <row r="347" spans="1:6" x14ac:dyDescent="0.25">
      <c r="A347" s="1" t="s">
        <v>518</v>
      </c>
      <c r="B347" s="9" t="s">
        <v>41</v>
      </c>
      <c r="C347" s="1" t="s">
        <v>515</v>
      </c>
      <c r="D347" s="1" t="s">
        <v>264</v>
      </c>
      <c r="E347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ДГУ-3/M01-150,0-236,7-30</v>
      </c>
      <c r="F347" s="25" t="str">
        <f>TEXT(Таблица13[[#This Row],[Потери]],"0,0") &amp; "-" &amp;Таблица13[[#This Row],[Полная марка кабеля]]</f>
        <v>0,5-КГ-4x150</v>
      </c>
    </row>
    <row r="348" spans="1:6" x14ac:dyDescent="0.25">
      <c r="A348" s="1" t="s">
        <v>518</v>
      </c>
      <c r="B348" s="9" t="s">
        <v>33</v>
      </c>
      <c r="C348" s="1" t="s">
        <v>515</v>
      </c>
      <c r="D348" s="1" t="s">
        <v>264</v>
      </c>
      <c r="E348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ДГУ-3/M02-150,0-236,7-30</v>
      </c>
      <c r="F348" s="25" t="str">
        <f>TEXT(Таблица13[[#This Row],[Потери]],"0,0") &amp; "-" &amp;Таблица13[[#This Row],[Полная марка кабеля]]</f>
        <v>0,5-КГ-4x150</v>
      </c>
    </row>
    <row r="349" spans="1:6" x14ac:dyDescent="0.25">
      <c r="A349" s="1" t="s">
        <v>518</v>
      </c>
      <c r="B349" s="9" t="s">
        <v>26</v>
      </c>
      <c r="C349" s="1" t="s">
        <v>515</v>
      </c>
      <c r="D349" s="1" t="s">
        <v>264</v>
      </c>
      <c r="E349" s="25" t="str">
        <f>Таблица13[[#This Row],[Код кабеля]] &amp; "-" &amp; TEXT(Таблица13[[#This Row],[Pуст, кВт]],"0,0") &amp; "-" &amp; TEXT(Таблица13[[#This Row],[Iр, А]],"0,0") &amp; "-" &amp;Таблица13[[#This Row],[Длина]]</f>
        <v>ДГУ-3/M03-150,0-236,7-30</v>
      </c>
      <c r="F349" s="25" t="str">
        <f>TEXT(Таблица13[[#This Row],[Потери]],"0,0") &amp; "-" &amp;Таблица13[[#This Row],[Полная марка кабеля]]</f>
        <v>0,5-КГ-4x150</v>
      </c>
    </row>
  </sheetData>
  <autoFilter ref="A1:F349" xr:uid="{9B3CF750-718D-4E9D-8F0D-DEE158B7A9E0}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оборудования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Ушаков Вадим Константинович</dc:creator>
  <cp:lastModifiedBy>Vadim</cp:lastModifiedBy>
  <cp:lastPrinted>2019-08-26T13:43:36Z</cp:lastPrinted>
  <dcterms:created xsi:type="dcterms:W3CDTF">2018-10-29T09:25:39Z</dcterms:created>
  <dcterms:modified xsi:type="dcterms:W3CDTF">2019-08-29T10:25:36Z</dcterms:modified>
</cp:coreProperties>
</file>